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xl/externalLinks/externalLink1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updateLinks="always"/>
  <mc:AlternateContent xmlns:mc="http://schemas.openxmlformats.org/markup-compatibility/2006">
    <mc:Choice Requires="x15">
      <x15ac:absPath xmlns:x15ac="http://schemas.microsoft.com/office/spreadsheetml/2010/11/ac" url="X:\UPRA\Contratacion 2022\LP y PA\Cadena maiz\POP\20220628_Web UPRA\"/>
    </mc:Choice>
  </mc:AlternateContent>
  <bookViews>
    <workbookView xWindow="-120" yWindow="-120" windowWidth="20730" windowHeight="11160" activeTab="2"/>
  </bookViews>
  <sheets>
    <sheet name="Instructivo" sheetId="1" r:id="rId1"/>
    <sheet name="Directrices  Generales " sheetId="2" r:id="rId2"/>
    <sheet name="Glosario categoria de costos" sheetId="33" r:id="rId3"/>
    <sheet name="Categoria Costos Def" sheetId="32" r:id="rId4"/>
    <sheet name="Estimación anualizada " sheetId="21" r:id="rId5"/>
    <sheet name="Estimación por período" sheetId="14" r:id="rId6"/>
    <sheet name="Fuentes" sheetId="36" r:id="rId7"/>
    <sheet name="P1" sheetId="5" r:id="rId8"/>
    <sheet name="P2" sheetId="35" r:id="rId9"/>
    <sheet name="P3" sheetId="23" r:id="rId10"/>
    <sheet name="P4" sheetId="24" r:id="rId11"/>
    <sheet name="P5" sheetId="25" r:id="rId12"/>
    <sheet name="P6" sheetId="8" r:id="rId13"/>
    <sheet name="P7" sheetId="9" r:id="rId14"/>
    <sheet name="P8" sheetId="27" r:id="rId15"/>
    <sheet name="P9" sheetId="20" r:id="rId16"/>
    <sheet name="Portafolio_Cadena_Maíz" sheetId="3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#N/A</definedName>
    <definedName name="\b">#N/A</definedName>
    <definedName name="_____hhh444" localSheetId="3">#REF!</definedName>
    <definedName name="_____hhh444" localSheetId="1">#REF!</definedName>
    <definedName name="_____hhh444" localSheetId="7">#REF!</definedName>
    <definedName name="_____hhh444" localSheetId="8">#REF!</definedName>
    <definedName name="_____hhh444" localSheetId="10">#REF!</definedName>
    <definedName name="_____hhh444" localSheetId="11">#REF!</definedName>
    <definedName name="_____hhh444" localSheetId="12">#REF!</definedName>
    <definedName name="_____hhh444" localSheetId="13">#REF!</definedName>
    <definedName name="_____hhh444" localSheetId="14">#REF!</definedName>
    <definedName name="_____hhh444" localSheetId="15">#REF!</definedName>
    <definedName name="_____hhh444" localSheetId="16">#REF!</definedName>
    <definedName name="_____hhh444">#REF!</definedName>
    <definedName name="___hhh444" localSheetId="3">#REF!</definedName>
    <definedName name="___hhh444" localSheetId="1">#REF!</definedName>
    <definedName name="___hhh444">#REF!</definedName>
    <definedName name="_xlnm._FilterDatabase" localSheetId="16" hidden="1">Portafolio_Cadena_Maíz!$A$1:$G$155</definedName>
    <definedName name="_ftnref3" localSheetId="16">Portafolio_Cadena_Maíz!#REF!</definedName>
    <definedName name="_ftnref4" localSheetId="16">Portafolio_Cadena_Maíz!#REF!</definedName>
    <definedName name="_ftnref5" localSheetId="16">Portafolio_Cadena_Maíz!#REF!</definedName>
    <definedName name="_hhh444" localSheetId="3">#REF!</definedName>
    <definedName name="_hhh444" localSheetId="1">#REF!</definedName>
    <definedName name="_hhh444" localSheetId="10">#REF!</definedName>
    <definedName name="_hhh444" localSheetId="11">#REF!</definedName>
    <definedName name="_hhh444" localSheetId="14">#REF!</definedName>
    <definedName name="_hhh444" localSheetId="15">#REF!</definedName>
    <definedName name="_hhh444" localSheetId="16">#REF!</definedName>
    <definedName name="_hhh444">#REF!</definedName>
    <definedName name="A_impresión_IM" localSheetId="3">#REF!</definedName>
    <definedName name="A_impresión_IM">#REF!</definedName>
    <definedName name="aaa" localSheetId="3">#REF!</definedName>
    <definedName name="aaa">#REF!</definedName>
    <definedName name="abuela" localSheetId="3">#REF!</definedName>
    <definedName name="abuela">#REF!</definedName>
    <definedName name="africa" localSheetId="3">#REF!</definedName>
    <definedName name="africa">#REF!</definedName>
    <definedName name="aleman" localSheetId="3">#REF!</definedName>
    <definedName name="aleman">#REF!</definedName>
    <definedName name="ALO" localSheetId="3">#REF!</definedName>
    <definedName name="ALO">#REF!</definedName>
    <definedName name="AREA_COSECHADA" localSheetId="3">#REF!</definedName>
    <definedName name="AREA_COSECHADA">#REF!</definedName>
    <definedName name="_xlnm.Print_Area" localSheetId="3">#REF!</definedName>
    <definedName name="_xlnm.Print_Area">#REF!</definedName>
    <definedName name="AREA_SEMBRADA" localSheetId="3">#REF!</definedName>
    <definedName name="AREA_SEMBRADA">#REF!</definedName>
    <definedName name="asia" localSheetId="3">#REF!</definedName>
    <definedName name="asia">#REF!</definedName>
    <definedName name="astringente" localSheetId="3">#REF!</definedName>
    <definedName name="astringente">#REF!</definedName>
    <definedName name="autralia" localSheetId="3">#REF!</definedName>
    <definedName name="autralia">#REF!</definedName>
    <definedName name="bobada" localSheetId="3">#REF!</definedName>
    <definedName name="bobada">#REF!</definedName>
    <definedName name="cambio" localSheetId="3">#REF!</definedName>
    <definedName name="cambio">#REF!</definedName>
    <definedName name="cccc">#N/A</definedName>
    <definedName name="centro" localSheetId="3">#REF!</definedName>
    <definedName name="centro" localSheetId="1">#REF!</definedName>
    <definedName name="centro" localSheetId="7">#REF!</definedName>
    <definedName name="centro" localSheetId="8">#REF!</definedName>
    <definedName name="centro" localSheetId="10">#REF!</definedName>
    <definedName name="centro" localSheetId="11">#REF!</definedName>
    <definedName name="centro" localSheetId="12">#REF!</definedName>
    <definedName name="centro" localSheetId="13">#REF!</definedName>
    <definedName name="centro" localSheetId="14">#REF!</definedName>
    <definedName name="centro" localSheetId="15">#REF!</definedName>
    <definedName name="centro" localSheetId="16">#REF!</definedName>
    <definedName name="centro">#REF!</definedName>
    <definedName name="contestar" localSheetId="3">#REF!</definedName>
    <definedName name="contestar" localSheetId="1">#REF!</definedName>
    <definedName name="contestar">#REF!</definedName>
    <definedName name="cuadro2a" localSheetId="3">#REF!</definedName>
    <definedName name="cuadro2a" localSheetId="1">#REF!</definedName>
    <definedName name="cuadro2a">#REF!</definedName>
    <definedName name="CULTIVOS">[1]Hoja1!$AK$1:$AK$99</definedName>
    <definedName name="d" localSheetId="3">#REF!</definedName>
    <definedName name="d" localSheetId="7">#REF!</definedName>
    <definedName name="d" localSheetId="8">#REF!</definedName>
    <definedName name="d" localSheetId="10">#REF!</definedName>
    <definedName name="d" localSheetId="11">#REF!</definedName>
    <definedName name="d" localSheetId="12">#REF!</definedName>
    <definedName name="d" localSheetId="13">#REF!</definedName>
    <definedName name="d" localSheetId="14">#REF!</definedName>
    <definedName name="d" localSheetId="15">#REF!</definedName>
    <definedName name="d" localSheetId="16">#REF!</definedName>
    <definedName name="d">#REF!</definedName>
    <definedName name="desconocido" localSheetId="3">#REF!</definedName>
    <definedName name="desconocido" localSheetId="1">#REF!</definedName>
    <definedName name="desconocido">#REF!</definedName>
    <definedName name="Desespero" localSheetId="3">#REF!</definedName>
    <definedName name="Desespero" localSheetId="1">#REF!</definedName>
    <definedName name="Desespero">#REF!</definedName>
    <definedName name="DME_Dirty" hidden="1">"False"</definedName>
    <definedName name="DME_LocalFile" hidden="1">"True"</definedName>
    <definedName name="Extraordinario" localSheetId="3">#REF!</definedName>
    <definedName name="Extraordinario" localSheetId="1">#REF!</definedName>
    <definedName name="Extraordinario" localSheetId="7">#REF!</definedName>
    <definedName name="Extraordinario" localSheetId="8">#REF!</definedName>
    <definedName name="Extraordinario" localSheetId="10">#REF!</definedName>
    <definedName name="Extraordinario" localSheetId="11">#REF!</definedName>
    <definedName name="Extraordinario" localSheetId="12">#REF!</definedName>
    <definedName name="Extraordinario" localSheetId="13">#REF!</definedName>
    <definedName name="Extraordinario" localSheetId="14">#REF!</definedName>
    <definedName name="Extraordinario" localSheetId="15">#REF!</definedName>
    <definedName name="Extraordinario" localSheetId="16">#REF!</definedName>
    <definedName name="Extraordinario">#REF!</definedName>
    <definedName name="FECHA" localSheetId="3">#REF!</definedName>
    <definedName name="FECHA" localSheetId="1">#REF!</definedName>
    <definedName name="FECHA">#REF!</definedName>
    <definedName name="ffffddddd" localSheetId="3">#REF!</definedName>
    <definedName name="ffffddddd" localSheetId="1">#REF!</definedName>
    <definedName name="ffffddddd">#REF!</definedName>
    <definedName name="fffsd" localSheetId="3">#REF!</definedName>
    <definedName name="fffsd">#REF!</definedName>
    <definedName name="fgfgfg" localSheetId="3">#REF!</definedName>
    <definedName name="fgfgfg">#REF!</definedName>
    <definedName name="fhfhfhfjjj" localSheetId="3">#REF!</definedName>
    <definedName name="fhfhfhfjjj">#REF!</definedName>
    <definedName name="ggg" localSheetId="3">#REF!</definedName>
    <definedName name="ggg">#REF!</definedName>
    <definedName name="ggggg" localSheetId="3">#REF!</definedName>
    <definedName name="ggggg">#REF!</definedName>
    <definedName name="gggggg" localSheetId="3">#REF!</definedName>
    <definedName name="gggggg">#REF!</definedName>
    <definedName name="gggggg5" localSheetId="3">#REF!</definedName>
    <definedName name="gggggg5">#REF!</definedName>
    <definedName name="global" localSheetId="3">#REF!</definedName>
    <definedName name="global">#REF!</definedName>
    <definedName name="hfhfhfhfhf" localSheetId="3">#REF!</definedName>
    <definedName name="hfhfhfhfhf">#REF!</definedName>
    <definedName name="hhh" localSheetId="3">#REF!</definedName>
    <definedName name="hhh">#REF!</definedName>
    <definedName name="hijo" localSheetId="3">#REF!</definedName>
    <definedName name="hijo">#REF!</definedName>
    <definedName name="hoas" localSheetId="3">#REF!</definedName>
    <definedName name="hoas">#REF!</definedName>
    <definedName name="hoja" localSheetId="3">#REF!</definedName>
    <definedName name="hoja">#REF!</definedName>
    <definedName name="idea" localSheetId="3">#REF!</definedName>
    <definedName name="idea">#REF!</definedName>
    <definedName name="Increible" localSheetId="3">#REF!</definedName>
    <definedName name="Increible">#REF!</definedName>
    <definedName name="jjjjjjjjkkkk" localSheetId="3">#REF!</definedName>
    <definedName name="jjjjjjjjkkkk">#REF!</definedName>
    <definedName name="jjjkkkk" localSheetId="3">#REF!</definedName>
    <definedName name="jjjkkkk">#REF!</definedName>
    <definedName name="joder" localSheetId="3">#REF!</definedName>
    <definedName name="joder">#REF!</definedName>
    <definedName name="kkkkkkk" localSheetId="3">#REF!</definedName>
    <definedName name="kkkkkkk">#REF!</definedName>
    <definedName name="Lista1" localSheetId="1">[2]Datos!$E$4:$E$6</definedName>
    <definedName name="Lista1" localSheetId="0">[3]Datos!$E$4:$E$6</definedName>
    <definedName name="Lista1">[4]Datos!$E$4:$E$6</definedName>
    <definedName name="Logico">[5]Configuracion!$A$4:$A$5</definedName>
    <definedName name="Mamada" localSheetId="3">#REF!</definedName>
    <definedName name="Mamada" localSheetId="1">#REF!</definedName>
    <definedName name="Mamada" localSheetId="7">#REF!</definedName>
    <definedName name="Mamada" localSheetId="8">#REF!</definedName>
    <definedName name="Mamada" localSheetId="10">#REF!</definedName>
    <definedName name="Mamada" localSheetId="11">#REF!</definedName>
    <definedName name="Mamada" localSheetId="12">#REF!</definedName>
    <definedName name="Mamada" localSheetId="13">#REF!</definedName>
    <definedName name="Mamada" localSheetId="14">#REF!</definedName>
    <definedName name="Mamada" localSheetId="15">#REF!</definedName>
    <definedName name="Mamada" localSheetId="16">#REF!</definedName>
    <definedName name="Mamada">#REF!</definedName>
    <definedName name="manera" localSheetId="3">#REF!</definedName>
    <definedName name="manera" localSheetId="1">#REF!</definedName>
    <definedName name="manera">#REF!</definedName>
    <definedName name="marina" localSheetId="3">#REF!</definedName>
    <definedName name="marina" localSheetId="1">#REF!</definedName>
    <definedName name="marina">#REF!</definedName>
    <definedName name="marta" localSheetId="3">#REF!</definedName>
    <definedName name="marta">#REF!</definedName>
    <definedName name="mundo" localSheetId="3">#REF!</definedName>
    <definedName name="mundo">#REF!</definedName>
    <definedName name="Nada" localSheetId="3">#REF!</definedName>
    <definedName name="Nada">#REF!</definedName>
    <definedName name="Naturaleza1" localSheetId="3">#REF!</definedName>
    <definedName name="Naturaleza1">#REF!</definedName>
    <definedName name="necesito" localSheetId="3">#REF!</definedName>
    <definedName name="necesito">#REF!</definedName>
    <definedName name="ninguna" localSheetId="3">#REF!</definedName>
    <definedName name="ninguna">#REF!</definedName>
    <definedName name="Noto" localSheetId="3">#REF!</definedName>
    <definedName name="Noto">#REF!</definedName>
    <definedName name="Notorio" localSheetId="3">#REF!</definedName>
    <definedName name="Notorio">#REF!</definedName>
    <definedName name="otro" localSheetId="3">#REF!</definedName>
    <definedName name="otro">#REF!</definedName>
    <definedName name="paises" localSheetId="3">[6]COD!$A$1:$B$275</definedName>
    <definedName name="paises">[7]COD!$A$1:$B$275</definedName>
    <definedName name="pasara" localSheetId="3">#REF!</definedName>
    <definedName name="pasara" localSheetId="1">#REF!</definedName>
    <definedName name="pasara" localSheetId="7">#REF!</definedName>
    <definedName name="pasara" localSheetId="8">#REF!</definedName>
    <definedName name="pasara" localSheetId="10">#REF!</definedName>
    <definedName name="pasara" localSheetId="11">#REF!</definedName>
    <definedName name="pasara" localSheetId="12">#REF!</definedName>
    <definedName name="pasara" localSheetId="13">#REF!</definedName>
    <definedName name="pasara" localSheetId="14">#REF!</definedName>
    <definedName name="pasara" localSheetId="15">#REF!</definedName>
    <definedName name="pasara" localSheetId="16">#REF!</definedName>
    <definedName name="pasara">#REF!</definedName>
    <definedName name="pastor" localSheetId="3">#REF!</definedName>
    <definedName name="pastor" localSheetId="1">#REF!</definedName>
    <definedName name="pastor">#REF!</definedName>
    <definedName name="pensando" localSheetId="3">#REF!</definedName>
    <definedName name="pensando" localSheetId="1">#REF!</definedName>
    <definedName name="pensando">#REF!</definedName>
    <definedName name="PERIODO" localSheetId="3">#REF!</definedName>
    <definedName name="PERIODO">#REF!</definedName>
    <definedName name="piso" localSheetId="3">#REF!</definedName>
    <definedName name="piso">#REF!</definedName>
    <definedName name="PRODUCCION" localSheetId="3">#REF!</definedName>
    <definedName name="PRODUCCION">#REF!</definedName>
    <definedName name="PROGRAMAS" localSheetId="3">'[8]SECTORES,PROGRAMAS Y SUBPROGRAM'!$C$4:$D$166</definedName>
    <definedName name="PROGRAMAS">'[9]SECTORES,PROGRAMAS Y SUBPROGRAM'!$C$4:$D$171</definedName>
    <definedName name="puntilla" localSheetId="3">#REF!</definedName>
    <definedName name="puntilla" localSheetId="7">#REF!</definedName>
    <definedName name="puntilla" localSheetId="8">#REF!</definedName>
    <definedName name="puntilla" localSheetId="10">#REF!</definedName>
    <definedName name="puntilla" localSheetId="11">#REF!</definedName>
    <definedName name="puntilla" localSheetId="12">#REF!</definedName>
    <definedName name="puntilla" localSheetId="13">#REF!</definedName>
    <definedName name="puntilla" localSheetId="14">#REF!</definedName>
    <definedName name="puntilla" localSheetId="15">#REF!</definedName>
    <definedName name="puntilla" localSheetId="16">#REF!</definedName>
    <definedName name="puntilla">#REF!</definedName>
    <definedName name="quizas" localSheetId="3">#REF!</definedName>
    <definedName name="quizas">#REF!</definedName>
    <definedName name="Rama1" localSheetId="3">#REF!</definedName>
    <definedName name="Rama1">#REF!</definedName>
    <definedName name="RangoCriterio2">[10]Detalle!$K:$K</definedName>
    <definedName name="RangoValor">[10]Detalle!$I:$I</definedName>
    <definedName name="RENDIMIENTO" localSheetId="3">#REF!</definedName>
    <definedName name="RENDIMIENTO" localSheetId="1">#REF!</definedName>
    <definedName name="RENDIMIENTO" localSheetId="7">#REF!</definedName>
    <definedName name="RENDIMIENTO" localSheetId="8">#REF!</definedName>
    <definedName name="RENDIMIENTO" localSheetId="10">#REF!</definedName>
    <definedName name="RENDIMIENTO" localSheetId="11">#REF!</definedName>
    <definedName name="RENDIMIENTO" localSheetId="12">#REF!</definedName>
    <definedName name="RENDIMIENTO" localSheetId="13">#REF!</definedName>
    <definedName name="RENDIMIENTO" localSheetId="14">#REF!</definedName>
    <definedName name="RENDIMIENTO" localSheetId="15">#REF!</definedName>
    <definedName name="RENDIMIENTO" localSheetId="16">#REF!</definedName>
    <definedName name="RENDIMIENTO">#REF!</definedName>
    <definedName name="Ruta_Critica_1" localSheetId="3">#REF!</definedName>
    <definedName name="Ruta_Critica_1">#REF!</definedName>
    <definedName name="santa" localSheetId="3">#REF!</definedName>
    <definedName name="santa" localSheetId="1">#REF!</definedName>
    <definedName name="santa">#REF!</definedName>
    <definedName name="secores">'[11]Sectores y Programas'!$H$5:$I$34</definedName>
    <definedName name="Sector1">[12]Cuentas_Corrientes!$A$133:$I$133</definedName>
    <definedName name="Sector3" localSheetId="3">#REF!</definedName>
    <definedName name="Sector3" localSheetId="1">#REF!</definedName>
    <definedName name="Sector3" localSheetId="7">#REF!</definedName>
    <definedName name="Sector3" localSheetId="8">#REF!</definedName>
    <definedName name="Sector3" localSheetId="10">#REF!</definedName>
    <definedName name="Sector3" localSheetId="11">#REF!</definedName>
    <definedName name="Sector3" localSheetId="12">#REF!</definedName>
    <definedName name="Sector3" localSheetId="13">#REF!</definedName>
    <definedName name="Sector3" localSheetId="14">#REF!</definedName>
    <definedName name="Sector3" localSheetId="15">#REF!</definedName>
    <definedName name="Sector3" localSheetId="16">#REF!</definedName>
    <definedName name="Sector3">#REF!</definedName>
    <definedName name="Sector4" localSheetId="3">#REF!</definedName>
    <definedName name="Sector4" localSheetId="1">#REF!</definedName>
    <definedName name="Sector4">#REF!</definedName>
    <definedName name="SECTORES">[9]!SECTOR[[#All],[Codigo ]:[Nombre ]]</definedName>
    <definedName name="septico" localSheetId="3">#REF!</definedName>
    <definedName name="septico" localSheetId="1">#REF!</definedName>
    <definedName name="septico" localSheetId="7">#REF!</definedName>
    <definedName name="septico" localSheetId="8">#REF!</definedName>
    <definedName name="septico" localSheetId="10">#REF!</definedName>
    <definedName name="septico" localSheetId="11">#REF!</definedName>
    <definedName name="septico" localSheetId="12">#REF!</definedName>
    <definedName name="septico" localSheetId="13">#REF!</definedName>
    <definedName name="septico" localSheetId="14">#REF!</definedName>
    <definedName name="septico" localSheetId="15">#REF!</definedName>
    <definedName name="septico" localSheetId="16">#REF!</definedName>
    <definedName name="septico">#REF!</definedName>
    <definedName name="suerte" localSheetId="3">#REF!</definedName>
    <definedName name="suerte">#REF!</definedName>
    <definedName name="Tabla_asignación" localSheetId="3">#REF!</definedName>
    <definedName name="Tabla_asignación">#REF!</definedName>
    <definedName name="Tabla_Recursos" localSheetId="3">#REF!</definedName>
    <definedName name="Tabla_Recursos">#REF!</definedName>
    <definedName name="tendre" localSheetId="3">#REF!</definedName>
    <definedName name="tendre">#REF!</definedName>
    <definedName name="tener" localSheetId="3">#REF!</definedName>
    <definedName name="tener">#REF!</definedName>
    <definedName name="tierra" localSheetId="3">#REF!</definedName>
    <definedName name="tierra">#REF!</definedName>
    <definedName name="TIR" localSheetId="3">#REF!</definedName>
    <definedName name="TIR">#REF!</definedName>
    <definedName name="TITULO" localSheetId="3">#REF!</definedName>
    <definedName name="TITULO">#REF!</definedName>
    <definedName name="_xlnm.Print_Titles" localSheetId="3">#REF!,#REF!</definedName>
    <definedName name="_xlnm.Print_Titles" localSheetId="1">#REF!,#REF!</definedName>
    <definedName name="_xlnm.Print_Titles" localSheetId="7">#REF!,#REF!</definedName>
    <definedName name="_xlnm.Print_Titles" localSheetId="8">#REF!,#REF!</definedName>
    <definedName name="_xlnm.Print_Titles" localSheetId="10">#REF!,#REF!</definedName>
    <definedName name="_xlnm.Print_Titles" localSheetId="11">#REF!,#REF!</definedName>
    <definedName name="_xlnm.Print_Titles" localSheetId="12">#REF!,#REF!</definedName>
    <definedName name="_xlnm.Print_Titles" localSheetId="13">#REF!,#REF!</definedName>
    <definedName name="_xlnm.Print_Titles" localSheetId="14">#REF!,#REF!</definedName>
    <definedName name="_xlnm.Print_Titles" localSheetId="15">#REF!,#REF!</definedName>
    <definedName name="_xlnm.Print_Titles" localSheetId="16">#REF!,#REF!</definedName>
    <definedName name="_xlnm.Print_Titles">#REF!,#REF!</definedName>
    <definedName name="Ton">[13]Parámetros!$B$4</definedName>
    <definedName name="Totaldepto" localSheetId="3">#REF!</definedName>
    <definedName name="Totaldepto" localSheetId="1">#REF!</definedName>
    <definedName name="Totaldepto" localSheetId="7">#REF!</definedName>
    <definedName name="Totaldepto" localSheetId="8">#REF!</definedName>
    <definedName name="Totaldepto" localSheetId="10">#REF!</definedName>
    <definedName name="Totaldepto" localSheetId="11">#REF!</definedName>
    <definedName name="Totaldepto" localSheetId="12">#REF!</definedName>
    <definedName name="Totaldepto" localSheetId="13">#REF!</definedName>
    <definedName name="Totaldepto" localSheetId="14">#REF!</definedName>
    <definedName name="Totaldepto" localSheetId="15">#REF!</definedName>
    <definedName name="Totaldepto" localSheetId="16">#REF!</definedName>
    <definedName name="Totaldepto">#REF!</definedName>
    <definedName name="Transaccion1" localSheetId="3">#REF!</definedName>
    <definedName name="Transaccion1" localSheetId="1">#REF!</definedName>
    <definedName name="Transaccion1">#REF!</definedName>
    <definedName name="Valoracion1" localSheetId="3">#REF!</definedName>
    <definedName name="Valoracion1" localSheetId="1">#REF!</definedName>
    <definedName name="Valoracion1">#REF!</definedName>
    <definedName name="vives" localSheetId="3">#REF!</definedName>
    <definedName name="vive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16" i="32" l="1"/>
  <c r="D720" i="32" s="1"/>
  <c r="F720" i="32" s="1"/>
  <c r="H720" i="32" s="1"/>
  <c r="B4" i="23"/>
  <c r="Q43" i="36"/>
  <c r="D718" i="32" l="1"/>
  <c r="F718" i="32" s="1"/>
  <c r="H718" i="32" s="1"/>
  <c r="D719" i="32"/>
  <c r="F719" i="32" s="1"/>
  <c r="H719" i="32" s="1"/>
  <c r="A42" i="36"/>
  <c r="H37" i="36"/>
  <c r="G33" i="36"/>
  <c r="F21" i="36"/>
  <c r="P21" i="36" s="1"/>
  <c r="H11" i="36"/>
  <c r="E8" i="14"/>
  <c r="E9" i="14"/>
  <c r="E12" i="14"/>
  <c r="E13" i="14"/>
  <c r="E20" i="14"/>
  <c r="E21" i="14"/>
  <c r="E22" i="14"/>
  <c r="E23" i="14"/>
  <c r="E24" i="14"/>
  <c r="E30" i="14"/>
  <c r="E31" i="14"/>
  <c r="E32" i="14"/>
  <c r="E33" i="14"/>
  <c r="E34" i="14"/>
  <c r="E35" i="14"/>
  <c r="E36" i="14"/>
  <c r="E37" i="14"/>
  <c r="E38" i="14"/>
  <c r="E39" i="14"/>
  <c r="E40" i="14"/>
  <c r="E41" i="14"/>
  <c r="E42" i="14"/>
  <c r="D8" i="14"/>
  <c r="D9" i="14"/>
  <c r="D12" i="14"/>
  <c r="D13" i="14"/>
  <c r="D20" i="14"/>
  <c r="D21" i="14"/>
  <c r="D22" i="14"/>
  <c r="D23" i="14"/>
  <c r="D24" i="14"/>
  <c r="D30" i="14"/>
  <c r="D31" i="14"/>
  <c r="D32" i="14"/>
  <c r="D33" i="14"/>
  <c r="D34" i="14"/>
  <c r="D35" i="14"/>
  <c r="D36" i="14"/>
  <c r="D37" i="14"/>
  <c r="D38" i="14"/>
  <c r="D39" i="14"/>
  <c r="D40" i="14"/>
  <c r="D41" i="14"/>
  <c r="D42" i="14"/>
  <c r="C8" i="14"/>
  <c r="C9" i="14"/>
  <c r="C12" i="14"/>
  <c r="C13" i="14"/>
  <c r="C20" i="14"/>
  <c r="C21" i="14"/>
  <c r="C22" i="14"/>
  <c r="C23" i="14"/>
  <c r="C24" i="14"/>
  <c r="C30" i="14"/>
  <c r="C31" i="14"/>
  <c r="C32" i="14"/>
  <c r="C33" i="14"/>
  <c r="C34" i="14"/>
  <c r="C35" i="14"/>
  <c r="C36" i="14"/>
  <c r="C37" i="14"/>
  <c r="C38" i="14"/>
  <c r="C39" i="14"/>
  <c r="C40" i="14"/>
  <c r="C41" i="14"/>
  <c r="C42" i="14"/>
  <c r="B8" i="14"/>
  <c r="B7" i="36" s="1"/>
  <c r="F7" i="36" s="1"/>
  <c r="P7" i="36" s="1"/>
  <c r="B9" i="14"/>
  <c r="B8" i="36" s="1"/>
  <c r="H8" i="36" s="1"/>
  <c r="B12" i="14"/>
  <c r="B11" i="36" s="1"/>
  <c r="G11" i="36" s="1"/>
  <c r="B13" i="14"/>
  <c r="B12" i="36" s="1"/>
  <c r="H12" i="36" s="1"/>
  <c r="B20" i="14"/>
  <c r="B19" i="36" s="1"/>
  <c r="B21" i="14"/>
  <c r="B20" i="36" s="1"/>
  <c r="H20" i="36" s="1"/>
  <c r="B22" i="14"/>
  <c r="B21" i="36" s="1"/>
  <c r="G21" i="36" s="1"/>
  <c r="B23" i="14"/>
  <c r="B22" i="36" s="1"/>
  <c r="B24" i="14"/>
  <c r="B23" i="36" s="1"/>
  <c r="F23" i="36" s="1"/>
  <c r="B30" i="14"/>
  <c r="B29" i="36" s="1"/>
  <c r="B31" i="14"/>
  <c r="B30" i="36" s="1"/>
  <c r="G30" i="36" s="1"/>
  <c r="B32" i="14"/>
  <c r="B31" i="36" s="1"/>
  <c r="H31" i="36" s="1"/>
  <c r="B33" i="14"/>
  <c r="B32" i="36" s="1"/>
  <c r="B34" i="14"/>
  <c r="B33" i="36" s="1"/>
  <c r="H33" i="36" s="1"/>
  <c r="B35" i="14"/>
  <c r="B34" i="36" s="1"/>
  <c r="H34" i="36" s="1"/>
  <c r="B36" i="14"/>
  <c r="B35" i="36" s="1"/>
  <c r="B37" i="14"/>
  <c r="B36" i="36" s="1"/>
  <c r="G36" i="36" s="1"/>
  <c r="B38" i="14"/>
  <c r="B37" i="36" s="1"/>
  <c r="G37" i="36" s="1"/>
  <c r="B39" i="14"/>
  <c r="B38" i="36" s="1"/>
  <c r="G38" i="36" s="1"/>
  <c r="B40" i="14"/>
  <c r="B39" i="36" s="1"/>
  <c r="F39" i="36" s="1"/>
  <c r="B41" i="14"/>
  <c r="B40" i="36" s="1"/>
  <c r="H40" i="36" s="1"/>
  <c r="B42" i="14"/>
  <c r="B41" i="36" s="1"/>
  <c r="H41" i="36" s="1"/>
  <c r="A8" i="14"/>
  <c r="A7" i="36" s="1"/>
  <c r="A9" i="14"/>
  <c r="A8" i="36" s="1"/>
  <c r="A10" i="14"/>
  <c r="A9" i="36" s="1"/>
  <c r="A11" i="14"/>
  <c r="A10" i="36" s="1"/>
  <c r="A12" i="14"/>
  <c r="A11" i="36" s="1"/>
  <c r="A13" i="14"/>
  <c r="A12" i="36" s="1"/>
  <c r="A14" i="14"/>
  <c r="A13" i="36" s="1"/>
  <c r="A15" i="14"/>
  <c r="A14" i="36" s="1"/>
  <c r="A16" i="14"/>
  <c r="A15" i="36" s="1"/>
  <c r="A17" i="14"/>
  <c r="A16" i="36" s="1"/>
  <c r="A18" i="14"/>
  <c r="A17" i="36" s="1"/>
  <c r="A19" i="14"/>
  <c r="A18" i="36" s="1"/>
  <c r="A20" i="14"/>
  <c r="A19" i="36" s="1"/>
  <c r="A21" i="14"/>
  <c r="A20" i="36" s="1"/>
  <c r="A22" i="14"/>
  <c r="A21" i="36" s="1"/>
  <c r="A24" i="14"/>
  <c r="A23" i="36" s="1"/>
  <c r="A25" i="14"/>
  <c r="A24" i="36" s="1"/>
  <c r="A26" i="14"/>
  <c r="A25" i="36" s="1"/>
  <c r="A27" i="14"/>
  <c r="A26" i="36" s="1"/>
  <c r="A28" i="14"/>
  <c r="A27" i="36" s="1"/>
  <c r="A29" i="14"/>
  <c r="A28" i="36" s="1"/>
  <c r="A30" i="14"/>
  <c r="A29" i="36" s="1"/>
  <c r="A31" i="14"/>
  <c r="A30" i="36" s="1"/>
  <c r="A32" i="14"/>
  <c r="A31" i="36" s="1"/>
  <c r="A33" i="14"/>
  <c r="A32" i="36" s="1"/>
  <c r="A34" i="14"/>
  <c r="A33" i="36" s="1"/>
  <c r="A35" i="14"/>
  <c r="A34" i="36" s="1"/>
  <c r="A36" i="14"/>
  <c r="A35" i="36" s="1"/>
  <c r="A37" i="14"/>
  <c r="A36" i="36" s="1"/>
  <c r="A38" i="14"/>
  <c r="A37" i="36" s="1"/>
  <c r="A39" i="14"/>
  <c r="A38" i="36" s="1"/>
  <c r="A40" i="14"/>
  <c r="A39" i="36" s="1"/>
  <c r="A41" i="14"/>
  <c r="A40" i="36" s="1"/>
  <c r="A42" i="14"/>
  <c r="A41" i="36" s="1"/>
  <c r="A7" i="14"/>
  <c r="A6" i="36" s="1"/>
  <c r="C35" i="21"/>
  <c r="D35" i="21"/>
  <c r="E35" i="21"/>
  <c r="F35" i="21"/>
  <c r="G35" i="21"/>
  <c r="H35" i="21"/>
  <c r="I35" i="21"/>
  <c r="J35" i="21"/>
  <c r="K35" i="21"/>
  <c r="L35" i="21"/>
  <c r="M35" i="21"/>
  <c r="N35" i="21"/>
  <c r="O35" i="21"/>
  <c r="P35" i="21"/>
  <c r="Q35" i="21"/>
  <c r="R35" i="21"/>
  <c r="S35" i="21"/>
  <c r="T35" i="21"/>
  <c r="U35" i="21"/>
  <c r="V35" i="21"/>
  <c r="B35" i="21"/>
  <c r="C36" i="21"/>
  <c r="D36" i="21"/>
  <c r="E36" i="21"/>
  <c r="F36" i="21"/>
  <c r="G36" i="21"/>
  <c r="H36" i="21"/>
  <c r="I36" i="21"/>
  <c r="J36" i="21"/>
  <c r="K36" i="21"/>
  <c r="L36" i="21"/>
  <c r="M36" i="21"/>
  <c r="N36" i="21"/>
  <c r="O36" i="21"/>
  <c r="P36" i="21"/>
  <c r="Q36" i="21"/>
  <c r="R36" i="21"/>
  <c r="S36" i="21"/>
  <c r="T36" i="21"/>
  <c r="U36" i="21"/>
  <c r="V36" i="21"/>
  <c r="C37" i="21"/>
  <c r="D37" i="21"/>
  <c r="E37" i="21"/>
  <c r="F37" i="21"/>
  <c r="G37" i="21"/>
  <c r="H37" i="21"/>
  <c r="I37" i="21"/>
  <c r="J37" i="21"/>
  <c r="K37" i="21"/>
  <c r="L37" i="21"/>
  <c r="M37" i="21"/>
  <c r="N37" i="21"/>
  <c r="O37" i="21"/>
  <c r="P37" i="21"/>
  <c r="Q37" i="21"/>
  <c r="R37" i="21"/>
  <c r="S37" i="21"/>
  <c r="T37" i="21"/>
  <c r="U37" i="21"/>
  <c r="V37" i="21"/>
  <c r="C38" i="21"/>
  <c r="D38" i="21"/>
  <c r="E38" i="21"/>
  <c r="F38" i="21"/>
  <c r="G38" i="21"/>
  <c r="H38" i="21"/>
  <c r="I38" i="21"/>
  <c r="J38" i="21"/>
  <c r="K38" i="21"/>
  <c r="L38" i="21"/>
  <c r="M38" i="21"/>
  <c r="N38" i="21"/>
  <c r="O38" i="21"/>
  <c r="P38" i="21"/>
  <c r="Q38" i="21"/>
  <c r="R38" i="21"/>
  <c r="S38" i="21"/>
  <c r="T38" i="21"/>
  <c r="U38" i="21"/>
  <c r="V38" i="21"/>
  <c r="C39" i="21"/>
  <c r="D39" i="21"/>
  <c r="E39" i="21"/>
  <c r="F39" i="21"/>
  <c r="G39" i="21"/>
  <c r="H39" i="21"/>
  <c r="I39" i="21"/>
  <c r="J39" i="21"/>
  <c r="K39" i="21"/>
  <c r="L39" i="21"/>
  <c r="M39" i="21"/>
  <c r="N39" i="21"/>
  <c r="O39" i="21"/>
  <c r="P39" i="21"/>
  <c r="Q39" i="21"/>
  <c r="R39" i="21"/>
  <c r="S39" i="21"/>
  <c r="T39" i="21"/>
  <c r="U39" i="21"/>
  <c r="V39" i="21"/>
  <c r="C40" i="21"/>
  <c r="D40" i="21"/>
  <c r="E40" i="21"/>
  <c r="F40" i="21"/>
  <c r="G40" i="21"/>
  <c r="H40" i="21"/>
  <c r="I40" i="21"/>
  <c r="J40" i="21"/>
  <c r="K40" i="21"/>
  <c r="L40" i="21"/>
  <c r="M40" i="21"/>
  <c r="N40" i="21"/>
  <c r="O40" i="21"/>
  <c r="P40" i="21"/>
  <c r="Q40" i="21"/>
  <c r="R40" i="21"/>
  <c r="S40" i="21"/>
  <c r="T40" i="21"/>
  <c r="U40" i="21"/>
  <c r="V40" i="21"/>
  <c r="C41" i="21"/>
  <c r="D41" i="21"/>
  <c r="E41" i="21"/>
  <c r="F41" i="21"/>
  <c r="G41" i="21"/>
  <c r="H41" i="21"/>
  <c r="I41" i="21"/>
  <c r="J41" i="21"/>
  <c r="K41" i="21"/>
  <c r="L41" i="21"/>
  <c r="M41" i="21"/>
  <c r="N41" i="21"/>
  <c r="O41" i="21"/>
  <c r="P41" i="21"/>
  <c r="Q41" i="21"/>
  <c r="R41" i="21"/>
  <c r="S41" i="21"/>
  <c r="T41" i="21"/>
  <c r="U41" i="21"/>
  <c r="V41" i="21"/>
  <c r="B37" i="21"/>
  <c r="B38" i="21"/>
  <c r="B39" i="21"/>
  <c r="B40" i="21"/>
  <c r="B41" i="21"/>
  <c r="B36" i="21"/>
  <c r="C32" i="21"/>
  <c r="D32" i="21"/>
  <c r="E32" i="21"/>
  <c r="F32" i="21"/>
  <c r="G32" i="21"/>
  <c r="H32" i="21"/>
  <c r="I32" i="21"/>
  <c r="J32" i="21"/>
  <c r="K32" i="21"/>
  <c r="L32" i="21"/>
  <c r="M32" i="21"/>
  <c r="N32" i="21"/>
  <c r="O32" i="21"/>
  <c r="P32" i="21"/>
  <c r="Q32" i="21"/>
  <c r="R32" i="21"/>
  <c r="S32" i="21"/>
  <c r="T32" i="21"/>
  <c r="U32" i="21"/>
  <c r="V32" i="21"/>
  <c r="B32" i="21"/>
  <c r="C33" i="21"/>
  <c r="D33" i="21"/>
  <c r="E33" i="21"/>
  <c r="F33" i="21"/>
  <c r="G33" i="21"/>
  <c r="H33" i="21"/>
  <c r="I33" i="21"/>
  <c r="J33" i="21"/>
  <c r="K33" i="21"/>
  <c r="L33" i="21"/>
  <c r="M33" i="21"/>
  <c r="N33" i="21"/>
  <c r="O33" i="21"/>
  <c r="P33" i="21"/>
  <c r="Q33" i="21"/>
  <c r="R33" i="21"/>
  <c r="S33" i="21"/>
  <c r="T33" i="21"/>
  <c r="U33" i="21"/>
  <c r="V33" i="21"/>
  <c r="C34" i="21"/>
  <c r="D34" i="21"/>
  <c r="E34" i="21"/>
  <c r="F34" i="21"/>
  <c r="G34" i="21"/>
  <c r="H34" i="21"/>
  <c r="I34" i="21"/>
  <c r="J34" i="21"/>
  <c r="K34" i="21"/>
  <c r="L34" i="21"/>
  <c r="M34" i="21"/>
  <c r="N34" i="21"/>
  <c r="O34" i="21"/>
  <c r="P34" i="21"/>
  <c r="Q34" i="21"/>
  <c r="R34" i="21"/>
  <c r="S34" i="21"/>
  <c r="T34" i="21"/>
  <c r="U34" i="21"/>
  <c r="V34" i="21"/>
  <c r="B34" i="21"/>
  <c r="B33" i="21"/>
  <c r="C29" i="21"/>
  <c r="D29" i="21"/>
  <c r="E29" i="21"/>
  <c r="F29" i="21"/>
  <c r="G29" i="21"/>
  <c r="H29" i="21"/>
  <c r="I29" i="21"/>
  <c r="J29" i="21"/>
  <c r="K29" i="21"/>
  <c r="L29" i="21"/>
  <c r="M29" i="21"/>
  <c r="N29" i="21"/>
  <c r="O29" i="21"/>
  <c r="P29" i="21"/>
  <c r="Q29" i="21"/>
  <c r="R29" i="21"/>
  <c r="S29" i="21"/>
  <c r="T29" i="21"/>
  <c r="U29" i="21"/>
  <c r="V29" i="21"/>
  <c r="B29" i="21"/>
  <c r="C30" i="21"/>
  <c r="D30" i="21"/>
  <c r="E30" i="21"/>
  <c r="F30" i="21"/>
  <c r="G30" i="21"/>
  <c r="H30" i="21"/>
  <c r="I30" i="21"/>
  <c r="J30" i="21"/>
  <c r="K30" i="21"/>
  <c r="L30" i="21"/>
  <c r="M30" i="21"/>
  <c r="N30" i="21"/>
  <c r="O30" i="21"/>
  <c r="P30" i="21"/>
  <c r="Q30" i="21"/>
  <c r="R30" i="21"/>
  <c r="S30" i="21"/>
  <c r="T30" i="21"/>
  <c r="U30" i="21"/>
  <c r="V30" i="21"/>
  <c r="C31" i="21"/>
  <c r="D31" i="21"/>
  <c r="E31" i="21"/>
  <c r="F31" i="21"/>
  <c r="G31" i="21"/>
  <c r="H31" i="21"/>
  <c r="I31" i="21"/>
  <c r="J31" i="21"/>
  <c r="K31" i="21"/>
  <c r="L31" i="21"/>
  <c r="M31" i="21"/>
  <c r="N31" i="21"/>
  <c r="O31" i="21"/>
  <c r="P31" i="21"/>
  <c r="Q31" i="21"/>
  <c r="R31" i="21"/>
  <c r="S31" i="21"/>
  <c r="T31" i="21"/>
  <c r="U31" i="21"/>
  <c r="V31" i="21"/>
  <c r="B31" i="21"/>
  <c r="B30" i="21"/>
  <c r="U27" i="21"/>
  <c r="E28" i="21"/>
  <c r="F28" i="21"/>
  <c r="G28" i="21"/>
  <c r="I28" i="21"/>
  <c r="J28" i="21"/>
  <c r="K28" i="21"/>
  <c r="M28" i="21"/>
  <c r="N28" i="21"/>
  <c r="O28" i="21"/>
  <c r="Q28" i="21"/>
  <c r="R28" i="21"/>
  <c r="S28" i="21"/>
  <c r="U28" i="21"/>
  <c r="C22" i="21"/>
  <c r="D22" i="21"/>
  <c r="E22" i="21"/>
  <c r="F22" i="21"/>
  <c r="G22" i="21"/>
  <c r="H22" i="21"/>
  <c r="I22" i="21"/>
  <c r="J22" i="21"/>
  <c r="K22" i="21"/>
  <c r="L22" i="21"/>
  <c r="M22" i="21"/>
  <c r="N22" i="21"/>
  <c r="O22" i="21"/>
  <c r="P22" i="21"/>
  <c r="Q22" i="21"/>
  <c r="R22" i="21"/>
  <c r="S22" i="21"/>
  <c r="T22" i="21"/>
  <c r="U22" i="21"/>
  <c r="V22" i="21"/>
  <c r="B22" i="21"/>
  <c r="C23" i="21"/>
  <c r="D23" i="21"/>
  <c r="E23" i="21"/>
  <c r="F23" i="21"/>
  <c r="G23" i="21"/>
  <c r="H23" i="21"/>
  <c r="I23" i="21"/>
  <c r="J23" i="21"/>
  <c r="K23" i="21"/>
  <c r="L23" i="21"/>
  <c r="M23" i="21"/>
  <c r="N23" i="21"/>
  <c r="O23" i="21"/>
  <c r="P23" i="21"/>
  <c r="Q23" i="21"/>
  <c r="R23" i="21"/>
  <c r="S23" i="21"/>
  <c r="T23" i="21"/>
  <c r="U23" i="21"/>
  <c r="V23" i="21"/>
  <c r="B23" i="21"/>
  <c r="C19" i="21"/>
  <c r="D19" i="21"/>
  <c r="E19" i="21"/>
  <c r="F19" i="21"/>
  <c r="G19" i="21"/>
  <c r="H19" i="21"/>
  <c r="I19" i="21"/>
  <c r="J19" i="21"/>
  <c r="K19" i="21"/>
  <c r="L19" i="21"/>
  <c r="M19" i="21"/>
  <c r="N19" i="21"/>
  <c r="O19" i="21"/>
  <c r="P19" i="21"/>
  <c r="Q19" i="21"/>
  <c r="R19" i="21"/>
  <c r="S19" i="21"/>
  <c r="T19" i="21"/>
  <c r="U19" i="21"/>
  <c r="V19" i="21"/>
  <c r="B19" i="21"/>
  <c r="C20" i="21"/>
  <c r="D20" i="21"/>
  <c r="E20" i="21"/>
  <c r="F20" i="21"/>
  <c r="G20" i="21"/>
  <c r="H20" i="21"/>
  <c r="I20" i="21"/>
  <c r="J20" i="21"/>
  <c r="K20" i="21"/>
  <c r="L20" i="21"/>
  <c r="M20" i="21"/>
  <c r="N20" i="21"/>
  <c r="O20" i="21"/>
  <c r="P20" i="21"/>
  <c r="Q20" i="21"/>
  <c r="R20" i="21"/>
  <c r="S20" i="21"/>
  <c r="T20" i="21"/>
  <c r="U20" i="21"/>
  <c r="V20" i="21"/>
  <c r="C21" i="21"/>
  <c r="D21" i="21"/>
  <c r="E21" i="21"/>
  <c r="F21" i="21"/>
  <c r="G21" i="21"/>
  <c r="H21" i="21"/>
  <c r="I21" i="21"/>
  <c r="J21" i="21"/>
  <c r="K21" i="21"/>
  <c r="L21" i="21"/>
  <c r="M21" i="21"/>
  <c r="N21" i="21"/>
  <c r="O21" i="21"/>
  <c r="P21" i="21"/>
  <c r="Q21" i="21"/>
  <c r="R21" i="21"/>
  <c r="S21" i="21"/>
  <c r="T21" i="21"/>
  <c r="U21" i="21"/>
  <c r="V21" i="21"/>
  <c r="B21" i="21"/>
  <c r="B9" i="21"/>
  <c r="C12" i="21"/>
  <c r="D12" i="21"/>
  <c r="E12" i="21"/>
  <c r="F12" i="21"/>
  <c r="G12" i="21"/>
  <c r="H12" i="21"/>
  <c r="I12" i="21"/>
  <c r="J12" i="21"/>
  <c r="K12" i="21"/>
  <c r="L12" i="21"/>
  <c r="M12" i="21"/>
  <c r="N12" i="21"/>
  <c r="O12" i="21"/>
  <c r="P12" i="21"/>
  <c r="Q12" i="21"/>
  <c r="R12" i="21"/>
  <c r="S12" i="21"/>
  <c r="T12" i="21"/>
  <c r="U12" i="21"/>
  <c r="V12" i="21"/>
  <c r="B12" i="21"/>
  <c r="C11" i="21"/>
  <c r="D11" i="21"/>
  <c r="E11" i="21"/>
  <c r="F11" i="21"/>
  <c r="G11" i="21"/>
  <c r="H11" i="21"/>
  <c r="I11" i="21"/>
  <c r="J11" i="21"/>
  <c r="K11" i="21"/>
  <c r="L11" i="21"/>
  <c r="M11" i="21"/>
  <c r="N11" i="21"/>
  <c r="O11" i="21"/>
  <c r="P11" i="21"/>
  <c r="Q11" i="21"/>
  <c r="R11" i="21"/>
  <c r="S11" i="21"/>
  <c r="T11" i="21"/>
  <c r="U11" i="21"/>
  <c r="V11" i="21"/>
  <c r="B11" i="21"/>
  <c r="B10" i="21"/>
  <c r="C8" i="21"/>
  <c r="D8" i="21"/>
  <c r="E8" i="21"/>
  <c r="F8" i="21"/>
  <c r="G8" i="21"/>
  <c r="H8" i="21"/>
  <c r="I8" i="21"/>
  <c r="J8" i="21"/>
  <c r="K8" i="21"/>
  <c r="L8" i="21"/>
  <c r="M8" i="21"/>
  <c r="N8" i="21"/>
  <c r="O8" i="21"/>
  <c r="P8" i="21"/>
  <c r="Q8" i="21"/>
  <c r="R8" i="21"/>
  <c r="S8" i="21"/>
  <c r="T8" i="21"/>
  <c r="U8" i="21"/>
  <c r="V8" i="21"/>
  <c r="B8" i="21"/>
  <c r="C7" i="21"/>
  <c r="D7" i="21"/>
  <c r="E7" i="21"/>
  <c r="F7" i="21"/>
  <c r="G7" i="21"/>
  <c r="H7" i="21"/>
  <c r="I7" i="21"/>
  <c r="J7" i="21"/>
  <c r="K7" i="21"/>
  <c r="L7" i="21"/>
  <c r="M7" i="21"/>
  <c r="N7" i="21"/>
  <c r="O7" i="21"/>
  <c r="P7" i="21"/>
  <c r="Q7" i="21"/>
  <c r="R7" i="21"/>
  <c r="S7" i="21"/>
  <c r="T7" i="21"/>
  <c r="U7" i="21"/>
  <c r="V7" i="21"/>
  <c r="B7" i="21"/>
  <c r="A41" i="21"/>
  <c r="A40" i="21"/>
  <c r="A39" i="21"/>
  <c r="A38" i="21"/>
  <c r="A37" i="21"/>
  <c r="A36" i="21"/>
  <c r="A35" i="21"/>
  <c r="A34" i="21"/>
  <c r="A33" i="21"/>
  <c r="A32" i="21"/>
  <c r="A31" i="21"/>
  <c r="A30" i="21"/>
  <c r="A29" i="21"/>
  <c r="A28" i="21"/>
  <c r="A27" i="21"/>
  <c r="A26" i="21"/>
  <c r="A25" i="21"/>
  <c r="A24" i="21"/>
  <c r="A23" i="21"/>
  <c r="A22" i="21"/>
  <c r="A23" i="14" s="1"/>
  <c r="A22" i="36" s="1"/>
  <c r="A21" i="21"/>
  <c r="A20" i="21"/>
  <c r="A19" i="21"/>
  <c r="A18" i="21"/>
  <c r="A17" i="21"/>
  <c r="A16" i="21"/>
  <c r="A15" i="21"/>
  <c r="A14" i="21"/>
  <c r="A13" i="21"/>
  <c r="A12" i="21"/>
  <c r="A11" i="21"/>
  <c r="A10" i="21"/>
  <c r="A9" i="21"/>
  <c r="A8" i="21"/>
  <c r="A7" i="21"/>
  <c r="A6" i="21"/>
  <c r="J150" i="30"/>
  <c r="I150" i="30"/>
  <c r="J145" i="30"/>
  <c r="I145" i="30"/>
  <c r="J141" i="30"/>
  <c r="I141" i="30"/>
  <c r="J134" i="30"/>
  <c r="I134" i="30"/>
  <c r="I53" i="30"/>
  <c r="J28" i="30"/>
  <c r="I28" i="30"/>
  <c r="J21" i="30"/>
  <c r="I21" i="30"/>
  <c r="I14" i="30"/>
  <c r="B156" i="20"/>
  <c r="B157" i="20"/>
  <c r="B158" i="20"/>
  <c r="B159" i="20"/>
  <c r="B160" i="20"/>
  <c r="B155" i="20"/>
  <c r="B135" i="20"/>
  <c r="B136" i="20"/>
  <c r="B137" i="20"/>
  <c r="B138" i="20"/>
  <c r="B134" i="20"/>
  <c r="B112" i="20"/>
  <c r="B113" i="20"/>
  <c r="B114" i="20"/>
  <c r="B111" i="20"/>
  <c r="B110" i="20"/>
  <c r="B86" i="20"/>
  <c r="B81" i="20"/>
  <c r="B82" i="20"/>
  <c r="B83" i="20"/>
  <c r="B84" i="20"/>
  <c r="B85" i="20"/>
  <c r="B80" i="20"/>
  <c r="B78" i="20"/>
  <c r="B55" i="20"/>
  <c r="B56" i="20"/>
  <c r="B57" i="20"/>
  <c r="B58" i="20"/>
  <c r="B59" i="20"/>
  <c r="B60" i="20"/>
  <c r="B61" i="20"/>
  <c r="B54" i="20"/>
  <c r="B20" i="20"/>
  <c r="B21" i="20"/>
  <c r="B22" i="20"/>
  <c r="B23" i="20"/>
  <c r="B24" i="20"/>
  <c r="B25" i="20"/>
  <c r="B26" i="20"/>
  <c r="B19" i="20"/>
  <c r="B13" i="20"/>
  <c r="B12" i="20"/>
  <c r="B11" i="20"/>
  <c r="B10" i="20"/>
  <c r="B9" i="20"/>
  <c r="B8" i="20"/>
  <c r="B4" i="20"/>
  <c r="B20" i="25"/>
  <c r="B152" i="23"/>
  <c r="B147" i="23"/>
  <c r="B148" i="23"/>
  <c r="B149" i="23"/>
  <c r="B150" i="23"/>
  <c r="B151" i="23"/>
  <c r="B146" i="23"/>
  <c r="B11" i="23"/>
  <c r="B99" i="35"/>
  <c r="B100" i="35"/>
  <c r="B101" i="35"/>
  <c r="B102" i="35"/>
  <c r="B103" i="35"/>
  <c r="B104" i="35"/>
  <c r="B98" i="35"/>
  <c r="B56" i="35"/>
  <c r="B57" i="35"/>
  <c r="B58" i="35"/>
  <c r="B59" i="35"/>
  <c r="B60" i="35"/>
  <c r="B61" i="35"/>
  <c r="B55" i="35"/>
  <c r="B14" i="35"/>
  <c r="B10" i="35"/>
  <c r="B97" i="35" s="1"/>
  <c r="B9" i="35"/>
  <c r="B54" i="35" s="1"/>
  <c r="B8" i="35"/>
  <c r="H44" i="35"/>
  <c r="H43" i="35"/>
  <c r="H42" i="35"/>
  <c r="H41" i="35"/>
  <c r="H40" i="35"/>
  <c r="C39" i="35"/>
  <c r="H39" i="35" s="1"/>
  <c r="C38" i="35"/>
  <c r="H38" i="35" s="1"/>
  <c r="C37" i="35"/>
  <c r="H37" i="35" s="1"/>
  <c r="C36" i="35"/>
  <c r="H36" i="35" s="1"/>
  <c r="C35" i="35"/>
  <c r="H35" i="35" s="1"/>
  <c r="C34" i="35"/>
  <c r="H34" i="35" s="1"/>
  <c r="C33" i="35"/>
  <c r="H33" i="35" s="1"/>
  <c r="H32" i="35"/>
  <c r="C31" i="35"/>
  <c r="H31" i="35" s="1"/>
  <c r="C30" i="35"/>
  <c r="H30" i="35" s="1"/>
  <c r="H29" i="35"/>
  <c r="H28" i="35"/>
  <c r="H27" i="35"/>
  <c r="B17" i="35"/>
  <c r="B18" i="35"/>
  <c r="B19" i="35"/>
  <c r="B20" i="35"/>
  <c r="B21" i="35"/>
  <c r="B22" i="35"/>
  <c r="B16" i="35"/>
  <c r="B4" i="35"/>
  <c r="H115" i="35"/>
  <c r="H114" i="35"/>
  <c r="H113" i="35"/>
  <c r="H112" i="35"/>
  <c r="H111" i="35"/>
  <c r="H110" i="35"/>
  <c r="H109" i="35"/>
  <c r="H108" i="35"/>
  <c r="AB94" i="35"/>
  <c r="AB93" i="35"/>
  <c r="AB92" i="35"/>
  <c r="AB91" i="35"/>
  <c r="AB90" i="35"/>
  <c r="AB89" i="35"/>
  <c r="H86" i="35"/>
  <c r="H85" i="35"/>
  <c r="H84" i="35"/>
  <c r="C83" i="35"/>
  <c r="H83" i="35" s="1"/>
  <c r="H82" i="35"/>
  <c r="H81" i="35"/>
  <c r="E80" i="35"/>
  <c r="H80" i="35" s="1"/>
  <c r="H79" i="35"/>
  <c r="H78" i="35"/>
  <c r="H77" i="35"/>
  <c r="H76" i="35"/>
  <c r="H75" i="35"/>
  <c r="H74" i="35"/>
  <c r="H73" i="35"/>
  <c r="H72" i="35"/>
  <c r="H71" i="35"/>
  <c r="H70" i="35"/>
  <c r="H69" i="35"/>
  <c r="H68" i="35"/>
  <c r="H67" i="35"/>
  <c r="H66" i="35"/>
  <c r="D297" i="32"/>
  <c r="C297" i="32"/>
  <c r="H7" i="36" l="1"/>
  <c r="H6" i="36" s="1"/>
  <c r="F20" i="36"/>
  <c r="P20" i="36" s="1"/>
  <c r="P19" i="36" s="1"/>
  <c r="G31" i="36"/>
  <c r="G29" i="36" s="1"/>
  <c r="D29" i="36" s="1"/>
  <c r="F36" i="36"/>
  <c r="P36" i="36" s="1"/>
  <c r="F8" i="36"/>
  <c r="F6" i="36" s="1"/>
  <c r="G20" i="36"/>
  <c r="G19" i="36" s="1"/>
  <c r="D19" i="36" s="1"/>
  <c r="F31" i="36"/>
  <c r="M31" i="36" s="1"/>
  <c r="H36" i="36"/>
  <c r="G8" i="36"/>
  <c r="F37" i="36"/>
  <c r="H21" i="36"/>
  <c r="H19" i="36" s="1"/>
  <c r="E19" i="36" s="1"/>
  <c r="F33" i="36"/>
  <c r="M33" i="36" s="1"/>
  <c r="F11" i="36"/>
  <c r="P11" i="36" s="1"/>
  <c r="H38" i="36"/>
  <c r="G7" i="36"/>
  <c r="H30" i="36"/>
  <c r="H29" i="36" s="1"/>
  <c r="F38" i="36"/>
  <c r="P38" i="36" s="1"/>
  <c r="N33" i="36"/>
  <c r="M7" i="36"/>
  <c r="M36" i="36"/>
  <c r="O7" i="36"/>
  <c r="N31" i="36"/>
  <c r="O31" i="36"/>
  <c r="N20" i="36"/>
  <c r="P23" i="36"/>
  <c r="P22" i="36" s="1"/>
  <c r="O23" i="36"/>
  <c r="O22" i="36" s="1"/>
  <c r="N23" i="36"/>
  <c r="N22" i="36" s="1"/>
  <c r="M23" i="36"/>
  <c r="M22" i="36" s="1"/>
  <c r="F22" i="36"/>
  <c r="C22" i="36" s="1"/>
  <c r="P37" i="36"/>
  <c r="O37" i="36"/>
  <c r="N37" i="36"/>
  <c r="M37" i="36"/>
  <c r="P39" i="36"/>
  <c r="O39" i="36"/>
  <c r="N39" i="36"/>
  <c r="M39" i="36"/>
  <c r="H32" i="36"/>
  <c r="E32" i="36" s="1"/>
  <c r="O8" i="36"/>
  <c r="N7" i="36"/>
  <c r="G12" i="36"/>
  <c r="G23" i="36"/>
  <c r="G22" i="36" s="1"/>
  <c r="D22" i="36" s="1"/>
  <c r="P31" i="36"/>
  <c r="P33" i="36"/>
  <c r="N36" i="36"/>
  <c r="G39" i="36"/>
  <c r="F40" i="36"/>
  <c r="F12" i="36"/>
  <c r="M21" i="36"/>
  <c r="H23" i="36"/>
  <c r="H22" i="36" s="1"/>
  <c r="E22" i="36" s="1"/>
  <c r="F30" i="36"/>
  <c r="O36" i="36"/>
  <c r="M38" i="36"/>
  <c r="H39" i="36"/>
  <c r="G40" i="36"/>
  <c r="F41" i="36"/>
  <c r="N21" i="36"/>
  <c r="N38" i="36"/>
  <c r="G41" i="36"/>
  <c r="O21" i="36"/>
  <c r="F34" i="36"/>
  <c r="O38" i="36"/>
  <c r="G34" i="36"/>
  <c r="G32" i="36" s="1"/>
  <c r="D32" i="36" s="1"/>
  <c r="H47" i="35"/>
  <c r="H88" i="35"/>
  <c r="O9" i="35" s="1"/>
  <c r="H116" i="35"/>
  <c r="F10" i="35" s="1"/>
  <c r="G10" i="35" s="1"/>
  <c r="H10" i="35" s="1"/>
  <c r="I10" i="35" s="1"/>
  <c r="J10" i="35" s="1"/>
  <c r="K10" i="35" s="1"/>
  <c r="L10" i="35" s="1"/>
  <c r="M10" i="35" s="1"/>
  <c r="N10" i="35" s="1"/>
  <c r="O10" i="35" s="1"/>
  <c r="P10" i="35" s="1"/>
  <c r="Q10" i="35" s="1"/>
  <c r="R10" i="35" s="1"/>
  <c r="S10" i="35" s="1"/>
  <c r="T10" i="35" s="1"/>
  <c r="U10" i="35" s="1"/>
  <c r="V10" i="35" s="1"/>
  <c r="W10" i="35" s="1"/>
  <c r="X10" i="35" s="1"/>
  <c r="C286" i="32"/>
  <c r="C285" i="32"/>
  <c r="C284" i="32"/>
  <c r="C277" i="32"/>
  <c r="C279" i="32" s="1"/>
  <c r="C280" i="32" s="1"/>
  <c r="M8" i="36" l="1"/>
  <c r="M6" i="36" s="1"/>
  <c r="I6" i="36" s="1"/>
  <c r="O20" i="36"/>
  <c r="N11" i="36"/>
  <c r="N8" i="36"/>
  <c r="O33" i="36"/>
  <c r="M11" i="36"/>
  <c r="M20" i="36"/>
  <c r="M19" i="36" s="1"/>
  <c r="I19" i="36" s="1"/>
  <c r="P8" i="36"/>
  <c r="P6" i="36" s="1"/>
  <c r="O6" i="36"/>
  <c r="O11" i="36"/>
  <c r="H35" i="36"/>
  <c r="E35" i="36" s="1"/>
  <c r="F19" i="36"/>
  <c r="C19" i="36" s="1"/>
  <c r="G6" i="36"/>
  <c r="C288" i="32"/>
  <c r="C289" i="32" s="1"/>
  <c r="N19" i="36"/>
  <c r="G35" i="36"/>
  <c r="D35" i="36" s="1"/>
  <c r="J19" i="36"/>
  <c r="F35" i="36"/>
  <c r="C35" i="36" s="1"/>
  <c r="J22" i="36"/>
  <c r="N41" i="36"/>
  <c r="M41" i="36"/>
  <c r="O41" i="36"/>
  <c r="P41" i="36"/>
  <c r="N6" i="36"/>
  <c r="M34" i="36"/>
  <c r="M32" i="36" s="1"/>
  <c r="N34" i="36"/>
  <c r="N32" i="36" s="1"/>
  <c r="P34" i="36"/>
  <c r="P32" i="36" s="1"/>
  <c r="O34" i="36"/>
  <c r="F32" i="36"/>
  <c r="C32" i="36" s="1"/>
  <c r="I22" i="36"/>
  <c r="O35" i="36"/>
  <c r="P12" i="36"/>
  <c r="O12" i="36"/>
  <c r="N12" i="36"/>
  <c r="M12" i="36"/>
  <c r="K6" i="36"/>
  <c r="L6" i="36"/>
  <c r="O19" i="36"/>
  <c r="N30" i="36"/>
  <c r="N29" i="36" s="1"/>
  <c r="O30" i="36"/>
  <c r="O29" i="36" s="1"/>
  <c r="M30" i="36"/>
  <c r="M29" i="36" s="1"/>
  <c r="F29" i="36"/>
  <c r="C29" i="36" s="1"/>
  <c r="P30" i="36"/>
  <c r="P29" i="36" s="1"/>
  <c r="O40" i="36"/>
  <c r="N40" i="36"/>
  <c r="M40" i="36"/>
  <c r="P40" i="36"/>
  <c r="P35" i="36" s="1"/>
  <c r="K22" i="36"/>
  <c r="L22" i="36"/>
  <c r="I47" i="35"/>
  <c r="E8" i="35" s="1"/>
  <c r="I116" i="35"/>
  <c r="E10" i="35" s="1"/>
  <c r="Y10" i="35" s="1"/>
  <c r="U9" i="35"/>
  <c r="W9" i="35"/>
  <c r="V9" i="35"/>
  <c r="P9" i="35"/>
  <c r="S9" i="35"/>
  <c r="F9" i="35"/>
  <c r="I9" i="35"/>
  <c r="N9" i="35"/>
  <c r="Q9" i="35"/>
  <c r="H9" i="35"/>
  <c r="X9" i="35"/>
  <c r="R9" i="35"/>
  <c r="K9" i="35"/>
  <c r="J9" i="35"/>
  <c r="L9" i="35"/>
  <c r="T9" i="35"/>
  <c r="G9" i="35"/>
  <c r="I87" i="35"/>
  <c r="M9" i="35"/>
  <c r="D732" i="32"/>
  <c r="D733" i="32" s="1"/>
  <c r="B542" i="32"/>
  <c r="C542" i="32" s="1"/>
  <c r="D542" i="32" s="1"/>
  <c r="E542" i="32" s="1"/>
  <c r="C541" i="32"/>
  <c r="D541" i="32" s="1"/>
  <c r="E541" i="32" s="1"/>
  <c r="C726" i="32"/>
  <c r="C725" i="32"/>
  <c r="C724" i="32"/>
  <c r="C723" i="32"/>
  <c r="C704" i="32"/>
  <c r="C701" i="32"/>
  <c r="D677" i="32"/>
  <c r="F677" i="32" s="1"/>
  <c r="H677" i="32" s="1"/>
  <c r="D676" i="32"/>
  <c r="F676" i="32" s="1"/>
  <c r="H676" i="32" s="1"/>
  <c r="D675" i="32"/>
  <c r="F675" i="32" s="1"/>
  <c r="H675" i="32" s="1"/>
  <c r="C683" i="32"/>
  <c r="C661" i="32"/>
  <c r="C652" i="32"/>
  <c r="D654" i="32" s="1"/>
  <c r="F654" i="32" s="1"/>
  <c r="H654" i="32" s="1"/>
  <c r="F649" i="32"/>
  <c r="K633" i="32" s="1"/>
  <c r="L633" i="32" s="1"/>
  <c r="E649" i="32"/>
  <c r="K632" i="32" s="1"/>
  <c r="L632" i="32" s="1"/>
  <c r="D649" i="32"/>
  <c r="K631" i="32" s="1"/>
  <c r="L631" i="32" s="1"/>
  <c r="C649" i="32"/>
  <c r="K630" i="32" s="1"/>
  <c r="L630" i="32" s="1"/>
  <c r="I633" i="32"/>
  <c r="J633" i="32" s="1"/>
  <c r="I632" i="32"/>
  <c r="J632" i="32" s="1"/>
  <c r="I631" i="32"/>
  <c r="J631" i="32" s="1"/>
  <c r="I630" i="32"/>
  <c r="J630" i="32" s="1"/>
  <c r="C612" i="32"/>
  <c r="C605" i="32"/>
  <c r="C587" i="32" s="1"/>
  <c r="U580" i="32"/>
  <c r="U582" i="32" s="1"/>
  <c r="U585" i="32" s="1"/>
  <c r="T580" i="32"/>
  <c r="T582" i="32" s="1"/>
  <c r="T585" i="32" s="1"/>
  <c r="S580" i="32"/>
  <c r="S582" i="32" s="1"/>
  <c r="S585" i="32" s="1"/>
  <c r="R580" i="32"/>
  <c r="Q580" i="32"/>
  <c r="P580" i="32"/>
  <c r="O580" i="32"/>
  <c r="N580" i="32"/>
  <c r="N582" i="32" s="1"/>
  <c r="N585" i="32" s="1"/>
  <c r="M580" i="32"/>
  <c r="M582" i="32" s="1"/>
  <c r="M585" i="32" s="1"/>
  <c r="L580" i="32"/>
  <c r="L582" i="32" s="1"/>
  <c r="L585" i="32" s="1"/>
  <c r="K580" i="32"/>
  <c r="K582" i="32" s="1"/>
  <c r="K585" i="32" s="1"/>
  <c r="J580" i="32"/>
  <c r="J582" i="32" s="1"/>
  <c r="J585" i="32" s="1"/>
  <c r="I580" i="32"/>
  <c r="H580" i="32"/>
  <c r="H582" i="32" s="1"/>
  <c r="G580" i="32"/>
  <c r="F580" i="32"/>
  <c r="F582" i="32" s="1"/>
  <c r="F585" i="32" s="1"/>
  <c r="E580" i="32"/>
  <c r="E582" i="32" s="1"/>
  <c r="E585" i="32" s="1"/>
  <c r="D580" i="32"/>
  <c r="C580" i="32"/>
  <c r="C582" i="32" s="1"/>
  <c r="C585" i="32" s="1"/>
  <c r="V573" i="32"/>
  <c r="U570" i="32"/>
  <c r="U572" i="32" s="1"/>
  <c r="U576" i="32" s="1"/>
  <c r="T570" i="32"/>
  <c r="T572" i="32" s="1"/>
  <c r="T576" i="32" s="1"/>
  <c r="S570" i="32"/>
  <c r="S572" i="32" s="1"/>
  <c r="S576" i="32" s="1"/>
  <c r="R570" i="32"/>
  <c r="R572" i="32" s="1"/>
  <c r="R576" i="32" s="1"/>
  <c r="Q570" i="32"/>
  <c r="Q572" i="32" s="1"/>
  <c r="Q576" i="32" s="1"/>
  <c r="P570" i="32"/>
  <c r="P572" i="32" s="1"/>
  <c r="P576" i="32" s="1"/>
  <c r="O570" i="32"/>
  <c r="O572" i="32" s="1"/>
  <c r="O576" i="32" s="1"/>
  <c r="N570" i="32"/>
  <c r="N572" i="32" s="1"/>
  <c r="N576" i="32" s="1"/>
  <c r="M570" i="32"/>
  <c r="M572" i="32" s="1"/>
  <c r="L570" i="32"/>
  <c r="L572" i="32" s="1"/>
  <c r="L575" i="32" s="1"/>
  <c r="K570" i="32"/>
  <c r="K572" i="32" s="1"/>
  <c r="K575" i="32" s="1"/>
  <c r="J570" i="32"/>
  <c r="J572" i="32" s="1"/>
  <c r="J575" i="32" s="1"/>
  <c r="I570" i="32"/>
  <c r="I572" i="32" s="1"/>
  <c r="I575" i="32" s="1"/>
  <c r="H570" i="32"/>
  <c r="H572" i="32" s="1"/>
  <c r="H575" i="32" s="1"/>
  <c r="G570" i="32"/>
  <c r="G572" i="32" s="1"/>
  <c r="G575" i="32" s="1"/>
  <c r="F570" i="32"/>
  <c r="F572" i="32" s="1"/>
  <c r="F575" i="32" s="1"/>
  <c r="E570" i="32"/>
  <c r="E572" i="32" s="1"/>
  <c r="E575" i="32" s="1"/>
  <c r="D570" i="32"/>
  <c r="D572" i="32" s="1"/>
  <c r="D575" i="32" s="1"/>
  <c r="C570" i="32"/>
  <c r="C572" i="32" s="1"/>
  <c r="C575" i="32" s="1"/>
  <c r="V566" i="32"/>
  <c r="V580" i="32" s="1"/>
  <c r="D565" i="32"/>
  <c r="E565" i="32" s="1"/>
  <c r="D536" i="32"/>
  <c r="F536" i="32" s="1"/>
  <c r="H536" i="32" s="1"/>
  <c r="D535" i="32"/>
  <c r="F535" i="32" s="1"/>
  <c r="H535" i="32" s="1"/>
  <c r="D534" i="32"/>
  <c r="F534" i="32" s="1"/>
  <c r="H534" i="32" s="1"/>
  <c r="G525" i="32"/>
  <c r="G527" i="32" s="1"/>
  <c r="F525" i="32"/>
  <c r="F527" i="32" s="1"/>
  <c r="E525" i="32"/>
  <c r="E527" i="32" s="1"/>
  <c r="D525" i="32"/>
  <c r="D527" i="32" s="1"/>
  <c r="C525" i="32"/>
  <c r="C527" i="32" s="1"/>
  <c r="B522" i="32"/>
  <c r="D520" i="32"/>
  <c r="E520" i="32" s="1"/>
  <c r="F520" i="32" s="1"/>
  <c r="G520" i="32" s="1"/>
  <c r="C519" i="32"/>
  <c r="C521" i="32" s="1"/>
  <c r="C510" i="32"/>
  <c r="C509" i="32"/>
  <c r="C482" i="32"/>
  <c r="D471" i="32"/>
  <c r="D469" i="32"/>
  <c r="D466" i="32"/>
  <c r="D467" i="32" s="1"/>
  <c r="C456" i="32"/>
  <c r="C451" i="32"/>
  <c r="C450" i="32"/>
  <c r="C449" i="32"/>
  <c r="C445" i="32"/>
  <c r="C421" i="32" s="1"/>
  <c r="C433" i="32"/>
  <c r="C432" i="32"/>
  <c r="C430" i="32"/>
  <c r="C428" i="32"/>
  <c r="C423" i="32"/>
  <c r="B423" i="32"/>
  <c r="B422" i="32"/>
  <c r="B421" i="32"/>
  <c r="B420" i="32"/>
  <c r="E415" i="32"/>
  <c r="E407" i="32"/>
  <c r="E401" i="32"/>
  <c r="E388" i="32"/>
  <c r="E385" i="32"/>
  <c r="E383" i="32"/>
  <c r="E382" i="32"/>
  <c r="E376" i="32"/>
  <c r="D375" i="32"/>
  <c r="E375" i="32" s="1"/>
  <c r="D374" i="32"/>
  <c r="E374" i="32" s="1"/>
  <c r="E371" i="32"/>
  <c r="E370" i="32"/>
  <c r="E362" i="32"/>
  <c r="E360" i="32"/>
  <c r="E359" i="32"/>
  <c r="E353" i="32"/>
  <c r="D352" i="32"/>
  <c r="E352" i="32" s="1"/>
  <c r="E350" i="32"/>
  <c r="D349" i="32"/>
  <c r="E349" i="32" s="1"/>
  <c r="C331" i="32"/>
  <c r="C303" i="32" s="1"/>
  <c r="D406" i="32" s="1"/>
  <c r="E406" i="32" s="1"/>
  <c r="C323" i="32"/>
  <c r="C302" i="32" s="1"/>
  <c r="B315" i="32"/>
  <c r="B314" i="32"/>
  <c r="C313" i="32"/>
  <c r="C312" i="32"/>
  <c r="C308" i="32"/>
  <c r="C307" i="32"/>
  <c r="D363" i="32" s="1"/>
  <c r="E363" i="32" s="1"/>
  <c r="C305" i="32"/>
  <c r="D387" i="32" s="1"/>
  <c r="E387" i="32" s="1"/>
  <c r="C304" i="32"/>
  <c r="D354" i="32" s="1"/>
  <c r="E354" i="32" s="1"/>
  <c r="C686" i="32"/>
  <c r="C271" i="32"/>
  <c r="C269" i="32"/>
  <c r="C268" i="32"/>
  <c r="C267" i="32"/>
  <c r="C263" i="32"/>
  <c r="C262" i="32"/>
  <c r="C261" i="32"/>
  <c r="C260" i="32"/>
  <c r="C259" i="32"/>
  <c r="C253" i="32"/>
  <c r="C250" i="32"/>
  <c r="C249" i="32"/>
  <c r="C248" i="32"/>
  <c r="C244" i="32"/>
  <c r="C236" i="32"/>
  <c r="C235" i="32"/>
  <c r="C234" i="32"/>
  <c r="C227" i="32"/>
  <c r="C229" i="32" s="1"/>
  <c r="C216" i="32" s="1"/>
  <c r="C220" i="32" s="1"/>
  <c r="C222" i="32"/>
  <c r="B219" i="32"/>
  <c r="B218" i="32"/>
  <c r="B217" i="32"/>
  <c r="C212" i="32"/>
  <c r="C174" i="32"/>
  <c r="C119" i="32"/>
  <c r="C123" i="32" s="1"/>
  <c r="F540" i="32" s="1"/>
  <c r="C107" i="32"/>
  <c r="C112" i="32" s="1"/>
  <c r="C106" i="32"/>
  <c r="D102" i="32"/>
  <c r="C113" i="32" s="1"/>
  <c r="D100" i="32"/>
  <c r="D99" i="32"/>
  <c r="C91" i="32"/>
  <c r="E65" i="32"/>
  <c r="E64" i="32"/>
  <c r="E63" i="32"/>
  <c r="E62" i="32"/>
  <c r="E61" i="32"/>
  <c r="E60" i="32"/>
  <c r="E59" i="32"/>
  <c r="E58" i="32"/>
  <c r="E57" i="32"/>
  <c r="E56" i="32"/>
  <c r="E55" i="32"/>
  <c r="E54" i="32"/>
  <c r="E53" i="32"/>
  <c r="E52" i="32"/>
  <c r="E51" i="32"/>
  <c r="E50" i="32"/>
  <c r="E49" i="32"/>
  <c r="E48" i="32"/>
  <c r="E47" i="32"/>
  <c r="E46" i="32"/>
  <c r="E45" i="32"/>
  <c r="E44" i="32"/>
  <c r="E43" i="32"/>
  <c r="E42" i="32"/>
  <c r="L35" i="36" l="1"/>
  <c r="K35" i="36"/>
  <c r="K19" i="36"/>
  <c r="L19" i="36"/>
  <c r="O32" i="36"/>
  <c r="K32" i="36" s="1"/>
  <c r="N35" i="36"/>
  <c r="J35" i="36" s="1"/>
  <c r="M35" i="36"/>
  <c r="I35" i="36" s="1"/>
  <c r="K29" i="36"/>
  <c r="J6" i="36"/>
  <c r="J32" i="36"/>
  <c r="I32" i="36"/>
  <c r="I29" i="36"/>
  <c r="N593" i="32"/>
  <c r="E9" i="35"/>
  <c r="Y9" i="35" s="1"/>
  <c r="E408" i="32"/>
  <c r="C315" i="32" s="1"/>
  <c r="D101" i="32"/>
  <c r="C522" i="32"/>
  <c r="C524" i="32" s="1"/>
  <c r="C274" i="32"/>
  <c r="C437" i="32"/>
  <c r="C420" i="32" s="1"/>
  <c r="C511" i="32"/>
  <c r="C238" i="32"/>
  <c r="C217" i="32" s="1"/>
  <c r="C221" i="32" s="1"/>
  <c r="D386" i="32"/>
  <c r="E386" i="32" s="1"/>
  <c r="S593" i="32"/>
  <c r="E590" i="32"/>
  <c r="M593" i="32"/>
  <c r="U593" i="32"/>
  <c r="C452" i="32"/>
  <c r="C422" i="32" s="1"/>
  <c r="T593" i="32"/>
  <c r="C114" i="32"/>
  <c r="E568" i="32"/>
  <c r="U568" i="32"/>
  <c r="M631" i="32"/>
  <c r="F541" i="32"/>
  <c r="G541" i="32" s="1"/>
  <c r="I50" i="35" s="1"/>
  <c r="I51" i="35" s="1"/>
  <c r="F8" i="35" s="1"/>
  <c r="C10" i="21" s="1"/>
  <c r="C496" i="32"/>
  <c r="J568" i="32"/>
  <c r="L583" i="32"/>
  <c r="L586" i="32" s="1"/>
  <c r="L592" i="32" s="1"/>
  <c r="W576" i="32"/>
  <c r="M632" i="32"/>
  <c r="B543" i="32"/>
  <c r="C543" i="32" s="1"/>
  <c r="D543" i="32" s="1"/>
  <c r="E543" i="32" s="1"/>
  <c r="F543" i="32" s="1"/>
  <c r="G543" i="32" s="1"/>
  <c r="K50" i="35" s="1"/>
  <c r="K51" i="35" s="1"/>
  <c r="H8" i="35" s="1"/>
  <c r="C568" i="32"/>
  <c r="K568" i="32"/>
  <c r="C264" i="32"/>
  <c r="C219" i="32" s="1"/>
  <c r="L568" i="32"/>
  <c r="C583" i="32"/>
  <c r="C586" i="32" s="1"/>
  <c r="C592" i="32" s="1"/>
  <c r="S583" i="32"/>
  <c r="S586" i="32" s="1"/>
  <c r="S594" i="32" s="1"/>
  <c r="C458" i="32"/>
  <c r="M568" i="32"/>
  <c r="V575" i="32"/>
  <c r="R568" i="32"/>
  <c r="E583" i="32"/>
  <c r="E586" i="32" s="1"/>
  <c r="E592" i="32" s="1"/>
  <c r="U583" i="32"/>
  <c r="U586" i="32" s="1"/>
  <c r="U594" i="32" s="1"/>
  <c r="S568" i="32"/>
  <c r="C727" i="32"/>
  <c r="C728" i="32" s="1"/>
  <c r="D568" i="32"/>
  <c r="T568" i="32"/>
  <c r="D582" i="32"/>
  <c r="D585" i="32" s="1"/>
  <c r="D590" i="32" s="1"/>
  <c r="J591" i="32"/>
  <c r="J590" i="32"/>
  <c r="D372" i="32"/>
  <c r="E372" i="32" s="1"/>
  <c r="E377" i="32" s="1"/>
  <c r="C311" i="32" s="1"/>
  <c r="D351" i="32"/>
  <c r="H585" i="32"/>
  <c r="H583" i="32"/>
  <c r="H586" i="32" s="1"/>
  <c r="H592" i="32" s="1"/>
  <c r="W575" i="32"/>
  <c r="K591" i="32"/>
  <c r="K590" i="32"/>
  <c r="C591" i="32"/>
  <c r="C590" i="32"/>
  <c r="D384" i="32"/>
  <c r="E384" i="32" s="1"/>
  <c r="C457" i="32"/>
  <c r="C495" i="32"/>
  <c r="D519" i="32"/>
  <c r="M576" i="32"/>
  <c r="V576" i="32" s="1"/>
  <c r="L591" i="32"/>
  <c r="L590" i="32"/>
  <c r="J583" i="32"/>
  <c r="J586" i="32" s="1"/>
  <c r="J592" i="32" s="1"/>
  <c r="D364" i="32"/>
  <c r="E364" i="32" s="1"/>
  <c r="K583" i="32"/>
  <c r="K586" i="32" s="1"/>
  <c r="K592" i="32" s="1"/>
  <c r="C497" i="32"/>
  <c r="F565" i="32"/>
  <c r="F590" i="32"/>
  <c r="F591" i="32"/>
  <c r="C498" i="32"/>
  <c r="F568" i="32"/>
  <c r="N568" i="32"/>
  <c r="G582" i="32"/>
  <c r="G585" i="32" s="1"/>
  <c r="O582" i="32"/>
  <c r="O585" i="32" s="1"/>
  <c r="O593" i="32" s="1"/>
  <c r="M583" i="32"/>
  <c r="M586" i="32" s="1"/>
  <c r="M594" i="32" s="1"/>
  <c r="D361" i="32"/>
  <c r="E361" i="32" s="1"/>
  <c r="G568" i="32"/>
  <c r="O568" i="32"/>
  <c r="T583" i="32"/>
  <c r="T586" i="32" s="1"/>
  <c r="T594" i="32" s="1"/>
  <c r="P582" i="32"/>
  <c r="P585" i="32" s="1"/>
  <c r="P593" i="32" s="1"/>
  <c r="M633" i="32"/>
  <c r="H568" i="32"/>
  <c r="P568" i="32"/>
  <c r="I582" i="32"/>
  <c r="I585" i="32" s="1"/>
  <c r="Q582" i="32"/>
  <c r="Q585" i="32" s="1"/>
  <c r="Q593" i="32" s="1"/>
  <c r="E591" i="32"/>
  <c r="M630" i="32"/>
  <c r="C251" i="32"/>
  <c r="C254" i="32" s="1"/>
  <c r="C218" i="32" s="1"/>
  <c r="I568" i="32"/>
  <c r="Q568" i="32"/>
  <c r="V570" i="32"/>
  <c r="V572" i="32" s="1"/>
  <c r="F583" i="32"/>
  <c r="F586" i="32" s="1"/>
  <c r="F592" i="32" s="1"/>
  <c r="N583" i="32"/>
  <c r="N586" i="32" s="1"/>
  <c r="N594" i="32" s="1"/>
  <c r="R582" i="32"/>
  <c r="R585" i="32" s="1"/>
  <c r="R593" i="32" s="1"/>
  <c r="F542" i="32"/>
  <c r="G542" i="32" s="1"/>
  <c r="J50" i="35" s="1"/>
  <c r="J51" i="35" s="1"/>
  <c r="G8" i="35" s="1"/>
  <c r="D655" i="32"/>
  <c r="F655" i="32" s="1"/>
  <c r="H655" i="32" s="1"/>
  <c r="D656" i="32"/>
  <c r="F656" i="32" s="1"/>
  <c r="H656" i="32" s="1"/>
  <c r="H7" i="35" l="1"/>
  <c r="E9" i="21" s="1"/>
  <c r="E10" i="21"/>
  <c r="C11" i="14" s="1"/>
  <c r="G7" i="35"/>
  <c r="D9" i="21" s="1"/>
  <c r="D10" i="21"/>
  <c r="F11" i="35"/>
  <c r="F7" i="35"/>
  <c r="C9" i="21" s="1"/>
  <c r="C10" i="14" s="1"/>
  <c r="H11" i="35"/>
  <c r="G11" i="35"/>
  <c r="E11" i="35"/>
  <c r="E7" i="35"/>
  <c r="E389" i="32"/>
  <c r="C528" i="32"/>
  <c r="B544" i="32"/>
  <c r="C544" i="32" s="1"/>
  <c r="D544" i="32" s="1"/>
  <c r="E544" i="32" s="1"/>
  <c r="F544" i="32" s="1"/>
  <c r="G544" i="32" s="1"/>
  <c r="L50" i="35" s="1"/>
  <c r="L51" i="35" s="1"/>
  <c r="I8" i="35" s="1"/>
  <c r="F10" i="21" s="1"/>
  <c r="D591" i="32"/>
  <c r="V593" i="32"/>
  <c r="C459" i="32"/>
  <c r="D583" i="32"/>
  <c r="D586" i="32" s="1"/>
  <c r="D592" i="32" s="1"/>
  <c r="E365" i="32"/>
  <c r="C310" i="32" s="1"/>
  <c r="V582" i="32"/>
  <c r="Q583" i="32"/>
  <c r="Q586" i="32" s="1"/>
  <c r="Q594" i="32" s="1"/>
  <c r="I583" i="32"/>
  <c r="I586" i="32" s="1"/>
  <c r="I592" i="32" s="1"/>
  <c r="P583" i="32"/>
  <c r="P586" i="32" s="1"/>
  <c r="P594" i="32" s="1"/>
  <c r="R583" i="32"/>
  <c r="R586" i="32" s="1"/>
  <c r="R594" i="32" s="1"/>
  <c r="H591" i="32"/>
  <c r="H590" i="32"/>
  <c r="G583" i="32"/>
  <c r="G586" i="32" s="1"/>
  <c r="G592" i="32" s="1"/>
  <c r="G590" i="32"/>
  <c r="G591" i="32"/>
  <c r="E519" i="32"/>
  <c r="D521" i="32"/>
  <c r="D522" i="32" s="1"/>
  <c r="O583" i="32"/>
  <c r="O586" i="32" s="1"/>
  <c r="O594" i="32" s="1"/>
  <c r="E351" i="32"/>
  <c r="E355" i="32" s="1"/>
  <c r="C309" i="32" s="1"/>
  <c r="D413" i="32" s="1"/>
  <c r="E413" i="32" s="1"/>
  <c r="E416" i="32" s="1"/>
  <c r="D400" i="32"/>
  <c r="E400" i="32" s="1"/>
  <c r="E402" i="32" s="1"/>
  <c r="C314" i="32" s="1"/>
  <c r="I591" i="32"/>
  <c r="I590" i="32"/>
  <c r="G565" i="32"/>
  <c r="B545" i="32" l="1"/>
  <c r="C545" i="32" s="1"/>
  <c r="D545" i="32" s="1"/>
  <c r="E545" i="32" s="1"/>
  <c r="F545" i="32" s="1"/>
  <c r="G545" i="32" s="1"/>
  <c r="M50" i="35" s="1"/>
  <c r="M51" i="35" s="1"/>
  <c r="J8" i="35" s="1"/>
  <c r="G10" i="21" s="1"/>
  <c r="I11" i="35"/>
  <c r="I7" i="35"/>
  <c r="F9" i="21" s="1"/>
  <c r="V594" i="32"/>
  <c r="V592" i="32"/>
  <c r="V590" i="32"/>
  <c r="V591" i="32"/>
  <c r="W591" i="32" s="1"/>
  <c r="D524" i="32"/>
  <c r="D528" i="32"/>
  <c r="E521" i="32"/>
  <c r="E522" i="32" s="1"/>
  <c r="F519" i="32"/>
  <c r="H565" i="32"/>
  <c r="V585" i="32"/>
  <c r="V583" i="32"/>
  <c r="B546" i="32" l="1"/>
  <c r="C546" i="32" s="1"/>
  <c r="D546" i="32" s="1"/>
  <c r="E546" i="32" s="1"/>
  <c r="F546" i="32" s="1"/>
  <c r="G546" i="32" s="1"/>
  <c r="N50" i="35" s="1"/>
  <c r="N51" i="35" s="1"/>
  <c r="K8" i="35" s="1"/>
  <c r="H10" i="21" s="1"/>
  <c r="J11" i="35"/>
  <c r="J7" i="35"/>
  <c r="G9" i="21" s="1"/>
  <c r="V586" i="32"/>
  <c r="E524" i="32"/>
  <c r="E528" i="32"/>
  <c r="I565" i="32"/>
  <c r="F521" i="32"/>
  <c r="F522" i="32" s="1"/>
  <c r="G519" i="32"/>
  <c r="G521" i="32" s="1"/>
  <c r="G522" i="32" s="1"/>
  <c r="B547" i="32" l="1"/>
  <c r="C547" i="32" s="1"/>
  <c r="D547" i="32" s="1"/>
  <c r="E547" i="32" s="1"/>
  <c r="F547" i="32" s="1"/>
  <c r="G547" i="32" s="1"/>
  <c r="O50" i="35" s="1"/>
  <c r="O51" i="35" s="1"/>
  <c r="L8" i="35" s="1"/>
  <c r="I10" i="21" s="1"/>
  <c r="K11" i="35"/>
  <c r="K7" i="35"/>
  <c r="H9" i="21" s="1"/>
  <c r="F524" i="32"/>
  <c r="F528" i="32"/>
  <c r="J565" i="32"/>
  <c r="G524" i="32"/>
  <c r="G528" i="32"/>
  <c r="B548" i="32" l="1"/>
  <c r="B549" i="32" s="1"/>
  <c r="L11" i="35"/>
  <c r="L7" i="35"/>
  <c r="I9" i="21" s="1"/>
  <c r="L565" i="32"/>
  <c r="K565" i="32"/>
  <c r="C548" i="32" l="1"/>
  <c r="D548" i="32" s="1"/>
  <c r="E548" i="32" s="1"/>
  <c r="F548" i="32" s="1"/>
  <c r="G548" i="32" s="1"/>
  <c r="P50" i="35" s="1"/>
  <c r="P51" i="35" s="1"/>
  <c r="M8" i="35" s="1"/>
  <c r="J10" i="21" s="1"/>
  <c r="C549" i="32"/>
  <c r="D549" i="32" s="1"/>
  <c r="E549" i="32" s="1"/>
  <c r="F549" i="32" s="1"/>
  <c r="G549" i="32" s="1"/>
  <c r="Q50" i="35" s="1"/>
  <c r="Q51" i="35" s="1"/>
  <c r="N8" i="35" s="1"/>
  <c r="K10" i="21" s="1"/>
  <c r="B550" i="32"/>
  <c r="M565" i="32"/>
  <c r="M7" i="35" l="1"/>
  <c r="J9" i="21" s="1"/>
  <c r="M11" i="35"/>
  <c r="N7" i="35"/>
  <c r="K9" i="21" s="1"/>
  <c r="N11" i="35"/>
  <c r="N565" i="32"/>
  <c r="C550" i="32"/>
  <c r="D550" i="32" s="1"/>
  <c r="E550" i="32" s="1"/>
  <c r="F550" i="32" s="1"/>
  <c r="G550" i="32" s="1"/>
  <c r="R50" i="35" s="1"/>
  <c r="R51" i="35" s="1"/>
  <c r="O8" i="35" s="1"/>
  <c r="L10" i="21" s="1"/>
  <c r="B551" i="32"/>
  <c r="O7" i="35" l="1"/>
  <c r="L9" i="21" s="1"/>
  <c r="O11" i="35"/>
  <c r="B552" i="32"/>
  <c r="C551" i="32"/>
  <c r="D551" i="32" s="1"/>
  <c r="E551" i="32" s="1"/>
  <c r="F551" i="32" s="1"/>
  <c r="G551" i="32" s="1"/>
  <c r="S50" i="35" s="1"/>
  <c r="S51" i="35" s="1"/>
  <c r="P8" i="35" s="1"/>
  <c r="M10" i="21" s="1"/>
  <c r="D11" i="14" s="1"/>
  <c r="O565" i="32"/>
  <c r="P7" i="35" l="1"/>
  <c r="M9" i="21" s="1"/>
  <c r="D10" i="14" s="1"/>
  <c r="P11" i="35"/>
  <c r="P565" i="32"/>
  <c r="C552" i="32"/>
  <c r="D552" i="32" s="1"/>
  <c r="E552" i="32" s="1"/>
  <c r="F552" i="32" s="1"/>
  <c r="G552" i="32" s="1"/>
  <c r="T50" i="35" s="1"/>
  <c r="T51" i="35" s="1"/>
  <c r="Q8" i="35" s="1"/>
  <c r="N10" i="21" s="1"/>
  <c r="B553" i="32"/>
  <c r="Q11" i="35" l="1"/>
  <c r="Q7" i="35"/>
  <c r="N9" i="21" s="1"/>
  <c r="C553" i="32"/>
  <c r="D553" i="32" s="1"/>
  <c r="E553" i="32" s="1"/>
  <c r="F553" i="32" s="1"/>
  <c r="G553" i="32" s="1"/>
  <c r="U50" i="35" s="1"/>
  <c r="U51" i="35" s="1"/>
  <c r="R8" i="35" s="1"/>
  <c r="O10" i="21" s="1"/>
  <c r="B554" i="32"/>
  <c r="Q565" i="32"/>
  <c r="R11" i="35" l="1"/>
  <c r="R7" i="35"/>
  <c r="O9" i="21" s="1"/>
  <c r="R565" i="32"/>
  <c r="C554" i="32"/>
  <c r="D554" i="32" s="1"/>
  <c r="E554" i="32" s="1"/>
  <c r="F554" i="32" s="1"/>
  <c r="G554" i="32" s="1"/>
  <c r="V50" i="35" s="1"/>
  <c r="V51" i="35" s="1"/>
  <c r="S8" i="35" s="1"/>
  <c r="P10" i="21" s="1"/>
  <c r="B555" i="32"/>
  <c r="S11" i="35" l="1"/>
  <c r="S7" i="35"/>
  <c r="P9" i="21" s="1"/>
  <c r="B556" i="32"/>
  <c r="C555" i="32"/>
  <c r="D555" i="32" s="1"/>
  <c r="E555" i="32" s="1"/>
  <c r="F555" i="32" s="1"/>
  <c r="G555" i="32" s="1"/>
  <c r="W50" i="35" s="1"/>
  <c r="W51" i="35" s="1"/>
  <c r="T8" i="35" s="1"/>
  <c r="Q10" i="21" s="1"/>
  <c r="S565" i="32"/>
  <c r="T11" i="35" l="1"/>
  <c r="T7" i="35"/>
  <c r="Q9" i="21" s="1"/>
  <c r="C556" i="32"/>
  <c r="D556" i="32" s="1"/>
  <c r="E556" i="32" s="1"/>
  <c r="F556" i="32" s="1"/>
  <c r="G556" i="32" s="1"/>
  <c r="X50" i="35" s="1"/>
  <c r="X51" i="35" s="1"/>
  <c r="U8" i="35" s="1"/>
  <c r="R10" i="21" s="1"/>
  <c r="B557" i="32"/>
  <c r="T565" i="32"/>
  <c r="U11" i="35" l="1"/>
  <c r="U7" i="35"/>
  <c r="R9" i="21" s="1"/>
  <c r="U565" i="32"/>
  <c r="C557" i="32"/>
  <c r="D557" i="32" s="1"/>
  <c r="E557" i="32" s="1"/>
  <c r="F557" i="32" s="1"/>
  <c r="G557" i="32" s="1"/>
  <c r="Y50" i="35" s="1"/>
  <c r="Y51" i="35" s="1"/>
  <c r="V8" i="35" s="1"/>
  <c r="S10" i="21" s="1"/>
  <c r="B558" i="32"/>
  <c r="V7" i="35" l="1"/>
  <c r="S9" i="21" s="1"/>
  <c r="V11" i="35"/>
  <c r="V565" i="32"/>
  <c r="C558" i="32"/>
  <c r="D558" i="32" s="1"/>
  <c r="E558" i="32" s="1"/>
  <c r="F558" i="32" s="1"/>
  <c r="G558" i="32" s="1"/>
  <c r="Z50" i="35" s="1"/>
  <c r="Z51" i="35" s="1"/>
  <c r="W8" i="35" s="1"/>
  <c r="T10" i="21" s="1"/>
  <c r="B559" i="32"/>
  <c r="W7" i="35" l="1"/>
  <c r="T9" i="21" s="1"/>
  <c r="W11" i="35"/>
  <c r="B560" i="32"/>
  <c r="C560" i="32" s="1"/>
  <c r="D560" i="32" s="1"/>
  <c r="E560" i="32" s="1"/>
  <c r="F560" i="32" s="1"/>
  <c r="G560" i="32" s="1"/>
  <c r="C559" i="32"/>
  <c r="D559" i="32" s="1"/>
  <c r="E559" i="32" s="1"/>
  <c r="F559" i="32" s="1"/>
  <c r="G559" i="32" s="1"/>
  <c r="AA50" i="35" s="1"/>
  <c r="AA51" i="35" s="1"/>
  <c r="X8" i="35" s="1"/>
  <c r="U10" i="21" s="1"/>
  <c r="E11" i="14" s="1"/>
  <c r="C567" i="32"/>
  <c r="V567" i="32"/>
  <c r="E567" i="32"/>
  <c r="D567" i="32"/>
  <c r="F567" i="32"/>
  <c r="G567" i="32"/>
  <c r="H567" i="32"/>
  <c r="I567" i="32"/>
  <c r="J567" i="32"/>
  <c r="K567" i="32"/>
  <c r="L567" i="32"/>
  <c r="M567" i="32"/>
  <c r="N567" i="32"/>
  <c r="O567" i="32"/>
  <c r="P567" i="32"/>
  <c r="Q567" i="32"/>
  <c r="R567" i="32"/>
  <c r="S567" i="32"/>
  <c r="T567" i="32"/>
  <c r="U567" i="32"/>
  <c r="X7" i="35" l="1"/>
  <c r="U9" i="21" s="1"/>
  <c r="E10" i="14" s="1"/>
  <c r="X11" i="35"/>
  <c r="Y8" i="35"/>
  <c r="G692" i="32"/>
  <c r="G693" i="32" s="1"/>
  <c r="G623" i="32"/>
  <c r="G622" i="32" s="1"/>
  <c r="G667" i="32"/>
  <c r="G666" i="32" s="1"/>
  <c r="G668" i="32" s="1"/>
  <c r="G669" i="32" s="1"/>
  <c r="N692" i="32"/>
  <c r="N693" i="32" s="1"/>
  <c r="N623" i="32"/>
  <c r="N622" i="32" s="1"/>
  <c r="N667" i="32"/>
  <c r="N666" i="32" s="1"/>
  <c r="N668" i="32" s="1"/>
  <c r="N669" i="32" s="1"/>
  <c r="U667" i="32"/>
  <c r="U666" i="32" s="1"/>
  <c r="U668" i="32" s="1"/>
  <c r="U669" i="32" s="1"/>
  <c r="U692" i="32"/>
  <c r="U693" i="32" s="1"/>
  <c r="U623" i="32"/>
  <c r="U622" i="32" s="1"/>
  <c r="M667" i="32"/>
  <c r="M666" i="32" s="1"/>
  <c r="M668" i="32" s="1"/>
  <c r="M669" i="32" s="1"/>
  <c r="M692" i="32"/>
  <c r="M693" i="32" s="1"/>
  <c r="M623" i="32"/>
  <c r="M622" i="32" s="1"/>
  <c r="D667" i="32"/>
  <c r="D666" i="32" s="1"/>
  <c r="D668" i="32" s="1"/>
  <c r="D669" i="32" s="1"/>
  <c r="D692" i="32"/>
  <c r="D693" i="32" s="1"/>
  <c r="D623" i="32"/>
  <c r="D622" i="32" s="1"/>
  <c r="O692" i="32"/>
  <c r="O693" i="32" s="1"/>
  <c r="O623" i="32"/>
  <c r="O622" i="32" s="1"/>
  <c r="O667" i="32"/>
  <c r="O666" i="32" s="1"/>
  <c r="O668" i="32" s="1"/>
  <c r="O669" i="32" s="1"/>
  <c r="F692" i="32"/>
  <c r="F693" i="32" s="1"/>
  <c r="F623" i="32"/>
  <c r="F622" i="32" s="1"/>
  <c r="F667" i="32"/>
  <c r="F666" i="32" s="1"/>
  <c r="F668" i="32" s="1"/>
  <c r="F669" i="32" s="1"/>
  <c r="T667" i="32"/>
  <c r="T666" i="32" s="1"/>
  <c r="T668" i="32" s="1"/>
  <c r="T669" i="32" s="1"/>
  <c r="T692" i="32"/>
  <c r="T693" i="32" s="1"/>
  <c r="T623" i="32"/>
  <c r="T622" i="32" s="1"/>
  <c r="L667" i="32"/>
  <c r="L666" i="32" s="1"/>
  <c r="L668" i="32" s="1"/>
  <c r="L669" i="32" s="1"/>
  <c r="L692" i="32"/>
  <c r="L693" i="32" s="1"/>
  <c r="L623" i="32"/>
  <c r="L622" i="32" s="1"/>
  <c r="E667" i="32"/>
  <c r="E666" i="32" s="1"/>
  <c r="E668" i="32" s="1"/>
  <c r="E669" i="32" s="1"/>
  <c r="E692" i="32"/>
  <c r="E693" i="32" s="1"/>
  <c r="E623" i="32"/>
  <c r="E622" i="32" s="1"/>
  <c r="S623" i="32"/>
  <c r="S622" i="32" s="1"/>
  <c r="S667" i="32"/>
  <c r="S666" i="32" s="1"/>
  <c r="S668" i="32" s="1"/>
  <c r="S669" i="32" s="1"/>
  <c r="S692" i="32"/>
  <c r="S693" i="32" s="1"/>
  <c r="R623" i="32"/>
  <c r="R622" i="32" s="1"/>
  <c r="R667" i="32"/>
  <c r="R666" i="32" s="1"/>
  <c r="R668" i="32" s="1"/>
  <c r="R669" i="32" s="1"/>
  <c r="R692" i="32"/>
  <c r="R693" i="32" s="1"/>
  <c r="J623" i="32"/>
  <c r="J622" i="32" s="1"/>
  <c r="J667" i="32"/>
  <c r="J666" i="32" s="1"/>
  <c r="J668" i="32" s="1"/>
  <c r="J669" i="32" s="1"/>
  <c r="J692" i="32"/>
  <c r="J693" i="32" s="1"/>
  <c r="C623" i="32"/>
  <c r="C667" i="32"/>
  <c r="C666" i="32" s="1"/>
  <c r="C692" i="32"/>
  <c r="C693" i="32" s="1"/>
  <c r="K623" i="32"/>
  <c r="K622" i="32" s="1"/>
  <c r="K667" i="32"/>
  <c r="K666" i="32" s="1"/>
  <c r="K668" i="32" s="1"/>
  <c r="K669" i="32" s="1"/>
  <c r="K692" i="32"/>
  <c r="K693" i="32" s="1"/>
  <c r="Q623" i="32"/>
  <c r="Q622" i="32" s="1"/>
  <c r="Q667" i="32"/>
  <c r="Q666" i="32" s="1"/>
  <c r="Q668" i="32" s="1"/>
  <c r="Q669" i="32" s="1"/>
  <c r="Q692" i="32"/>
  <c r="Q693" i="32" s="1"/>
  <c r="I623" i="32"/>
  <c r="I622" i="32" s="1"/>
  <c r="I667" i="32"/>
  <c r="I666" i="32" s="1"/>
  <c r="I668" i="32" s="1"/>
  <c r="I669" i="32" s="1"/>
  <c r="I692" i="32"/>
  <c r="I693" i="32" s="1"/>
  <c r="V692" i="32"/>
  <c r="V693" i="32" s="1"/>
  <c r="V667" i="32"/>
  <c r="P623" i="32"/>
  <c r="P622" i="32" s="1"/>
  <c r="P667" i="32"/>
  <c r="P666" i="32" s="1"/>
  <c r="P668" i="32" s="1"/>
  <c r="P669" i="32" s="1"/>
  <c r="P692" i="32"/>
  <c r="P693" i="32" s="1"/>
  <c r="H623" i="32"/>
  <c r="H622" i="32" s="1"/>
  <c r="H667" i="32"/>
  <c r="H666" i="32" s="1"/>
  <c r="H668" i="32" s="1"/>
  <c r="H669" i="32" s="1"/>
  <c r="H692" i="32"/>
  <c r="H693" i="32" s="1"/>
  <c r="J14" i="30" l="1"/>
  <c r="V10" i="21"/>
  <c r="B11" i="14" s="1"/>
  <c r="B10" i="36" s="1"/>
  <c r="Y11" i="35"/>
  <c r="Y7" i="35"/>
  <c r="V9" i="21" s="1"/>
  <c r="B10" i="14" s="1"/>
  <c r="B9" i="36" s="1"/>
  <c r="T626" i="32"/>
  <c r="T638" i="32" s="1"/>
  <c r="T624" i="32"/>
  <c r="T636" i="32" s="1"/>
  <c r="T627" i="32"/>
  <c r="T639" i="32" s="1"/>
  <c r="T625" i="32"/>
  <c r="T637" i="32" s="1"/>
  <c r="J695" i="32"/>
  <c r="J697" i="32" s="1"/>
  <c r="J694" i="32"/>
  <c r="J696" i="32" s="1"/>
  <c r="T694" i="32"/>
  <c r="T696" i="32" s="1"/>
  <c r="T695" i="32"/>
  <c r="T697" i="32" s="1"/>
  <c r="D626" i="32"/>
  <c r="D638" i="32" s="1"/>
  <c r="D624" i="32"/>
  <c r="D636" i="32" s="1"/>
  <c r="D627" i="32"/>
  <c r="D639" i="32" s="1"/>
  <c r="D625" i="32"/>
  <c r="D637" i="32" s="1"/>
  <c r="P627" i="32"/>
  <c r="P639" i="32" s="1"/>
  <c r="P625" i="32"/>
  <c r="P637" i="32" s="1"/>
  <c r="P626" i="32"/>
  <c r="P638" i="32" s="1"/>
  <c r="P624" i="32"/>
  <c r="P636" i="32" s="1"/>
  <c r="E626" i="32"/>
  <c r="E638" i="32" s="1"/>
  <c r="E624" i="32"/>
  <c r="E636" i="32" s="1"/>
  <c r="E627" i="32"/>
  <c r="E639" i="32" s="1"/>
  <c r="E625" i="32"/>
  <c r="E637" i="32" s="1"/>
  <c r="D694" i="32"/>
  <c r="D696" i="32" s="1"/>
  <c r="D695" i="32"/>
  <c r="D697" i="32" s="1"/>
  <c r="P695" i="32"/>
  <c r="P697" i="32" s="1"/>
  <c r="P694" i="32"/>
  <c r="P696" i="32" s="1"/>
  <c r="S626" i="32"/>
  <c r="S638" i="32" s="1"/>
  <c r="S624" i="32"/>
  <c r="S636" i="32" s="1"/>
  <c r="S627" i="32"/>
  <c r="S639" i="32" s="1"/>
  <c r="S625" i="32"/>
  <c r="S637" i="32" s="1"/>
  <c r="Q625" i="32"/>
  <c r="Q637" i="32" s="1"/>
  <c r="Q626" i="32"/>
  <c r="Q638" i="32" s="1"/>
  <c r="Q624" i="32"/>
  <c r="Q636" i="32" s="1"/>
  <c r="Q627" i="32"/>
  <c r="Q639" i="32" s="1"/>
  <c r="K695" i="32"/>
  <c r="K697" i="32" s="1"/>
  <c r="K694" i="32"/>
  <c r="K696" i="32" s="1"/>
  <c r="J625" i="32"/>
  <c r="J637" i="32" s="1"/>
  <c r="J626" i="32"/>
  <c r="J638" i="32" s="1"/>
  <c r="J624" i="32"/>
  <c r="J636" i="32" s="1"/>
  <c r="J627" i="32"/>
  <c r="J639" i="32" s="1"/>
  <c r="E694" i="32"/>
  <c r="E696" i="32" s="1"/>
  <c r="E695" i="32"/>
  <c r="E697" i="32" s="1"/>
  <c r="N624" i="32"/>
  <c r="N636" i="32" s="1"/>
  <c r="N627" i="32"/>
  <c r="N639" i="32" s="1"/>
  <c r="N625" i="32"/>
  <c r="N637" i="32" s="1"/>
  <c r="N626" i="32"/>
  <c r="N638" i="32" s="1"/>
  <c r="C622" i="32"/>
  <c r="V623" i="32"/>
  <c r="U694" i="32"/>
  <c r="U696" i="32" s="1"/>
  <c r="U695" i="32"/>
  <c r="U697" i="32" s="1"/>
  <c r="F624" i="32"/>
  <c r="F636" i="32" s="1"/>
  <c r="F627" i="32"/>
  <c r="F639" i="32" s="1"/>
  <c r="F625" i="32"/>
  <c r="F637" i="32" s="1"/>
  <c r="F626" i="32"/>
  <c r="F638" i="32" s="1"/>
  <c r="H695" i="32"/>
  <c r="H697" i="32" s="1"/>
  <c r="H694" i="32"/>
  <c r="H696" i="32" s="1"/>
  <c r="F694" i="32"/>
  <c r="F696" i="32" s="1"/>
  <c r="F695" i="32"/>
  <c r="F697" i="32" s="1"/>
  <c r="M694" i="32"/>
  <c r="M696" i="32" s="1"/>
  <c r="M695" i="32"/>
  <c r="M697" i="32" s="1"/>
  <c r="N694" i="32"/>
  <c r="N696" i="32" s="1"/>
  <c r="N695" i="32"/>
  <c r="N697" i="32" s="1"/>
  <c r="K626" i="32"/>
  <c r="K638" i="32" s="1"/>
  <c r="K624" i="32"/>
  <c r="K636" i="32" s="1"/>
  <c r="K627" i="32"/>
  <c r="K639" i="32" s="1"/>
  <c r="K625" i="32"/>
  <c r="K637" i="32" s="1"/>
  <c r="C695" i="32"/>
  <c r="C697" i="32" s="1"/>
  <c r="C694" i="32"/>
  <c r="C696" i="32" s="1"/>
  <c r="R625" i="32"/>
  <c r="R637" i="32" s="1"/>
  <c r="R626" i="32"/>
  <c r="R638" i="32" s="1"/>
  <c r="R624" i="32"/>
  <c r="R636" i="32" s="1"/>
  <c r="R627" i="32"/>
  <c r="R639" i="32" s="1"/>
  <c r="L694" i="32"/>
  <c r="L696" i="32" s="1"/>
  <c r="L695" i="32"/>
  <c r="L697" i="32" s="1"/>
  <c r="G624" i="32"/>
  <c r="G636" i="32" s="1"/>
  <c r="G627" i="32"/>
  <c r="G639" i="32" s="1"/>
  <c r="G625" i="32"/>
  <c r="G637" i="32" s="1"/>
  <c r="G626" i="32"/>
  <c r="G638" i="32" s="1"/>
  <c r="Q695" i="32"/>
  <c r="Q697" i="32" s="1"/>
  <c r="Q694" i="32"/>
  <c r="Q696" i="32" s="1"/>
  <c r="O694" i="32"/>
  <c r="O696" i="32" s="1"/>
  <c r="O695" i="32"/>
  <c r="O697" i="32" s="1"/>
  <c r="V694" i="32"/>
  <c r="V696" i="32" s="1"/>
  <c r="V695" i="32"/>
  <c r="V697" i="32" s="1"/>
  <c r="R695" i="32"/>
  <c r="R697" i="32" s="1"/>
  <c r="R694" i="32"/>
  <c r="R696" i="32" s="1"/>
  <c r="M626" i="32"/>
  <c r="M638" i="32" s="1"/>
  <c r="M624" i="32"/>
  <c r="M636" i="32" s="1"/>
  <c r="M627" i="32"/>
  <c r="M639" i="32" s="1"/>
  <c r="M625" i="32"/>
  <c r="M637" i="32" s="1"/>
  <c r="I695" i="32"/>
  <c r="I697" i="32" s="1"/>
  <c r="I694" i="32"/>
  <c r="I696" i="32" s="1"/>
  <c r="L626" i="32"/>
  <c r="L638" i="32" s="1"/>
  <c r="L624" i="32"/>
  <c r="L636" i="32" s="1"/>
  <c r="L627" i="32"/>
  <c r="L639" i="32" s="1"/>
  <c r="L625" i="32"/>
  <c r="L637" i="32" s="1"/>
  <c r="H627" i="32"/>
  <c r="H639" i="32" s="1"/>
  <c r="H625" i="32"/>
  <c r="H637" i="32" s="1"/>
  <c r="H626" i="32"/>
  <c r="H638" i="32" s="1"/>
  <c r="H624" i="32"/>
  <c r="H636" i="32" s="1"/>
  <c r="I625" i="32"/>
  <c r="I637" i="32" s="1"/>
  <c r="I626" i="32"/>
  <c r="I638" i="32" s="1"/>
  <c r="I624" i="32"/>
  <c r="I636" i="32" s="1"/>
  <c r="I627" i="32"/>
  <c r="I639" i="32" s="1"/>
  <c r="V666" i="32"/>
  <c r="V668" i="32" s="1"/>
  <c r="V669" i="32" s="1"/>
  <c r="C668" i="32"/>
  <c r="C669" i="32" s="1"/>
  <c r="S695" i="32"/>
  <c r="S697" i="32" s="1"/>
  <c r="S694" i="32"/>
  <c r="S696" i="32" s="1"/>
  <c r="O624" i="32"/>
  <c r="O636" i="32" s="1"/>
  <c r="O627" i="32"/>
  <c r="O639" i="32" s="1"/>
  <c r="O625" i="32"/>
  <c r="O637" i="32" s="1"/>
  <c r="O626" i="32"/>
  <c r="O638" i="32" s="1"/>
  <c r="U626" i="32"/>
  <c r="U638" i="32" s="1"/>
  <c r="U624" i="32"/>
  <c r="U636" i="32" s="1"/>
  <c r="U627" i="32"/>
  <c r="U639" i="32" s="1"/>
  <c r="U625" i="32"/>
  <c r="U637" i="32" s="1"/>
  <c r="G694" i="32"/>
  <c r="G696" i="32" s="1"/>
  <c r="G695" i="32"/>
  <c r="G697" i="32" s="1"/>
  <c r="F10" i="36" l="1"/>
  <c r="G10" i="36"/>
  <c r="G9" i="36" s="1"/>
  <c r="D9" i="36" s="1"/>
  <c r="H10" i="36"/>
  <c r="H9" i="36" s="1"/>
  <c r="E9" i="36" s="1"/>
  <c r="V622" i="32"/>
  <c r="C626" i="32"/>
  <c r="C638" i="32" s="1"/>
  <c r="C624" i="32"/>
  <c r="C636" i="32" s="1"/>
  <c r="C627" i="32"/>
  <c r="C639" i="32" s="1"/>
  <c r="C625" i="32"/>
  <c r="C637" i="32" s="1"/>
  <c r="M10" i="36" l="1"/>
  <c r="M9" i="36" s="1"/>
  <c r="N10" i="36"/>
  <c r="N9" i="36" s="1"/>
  <c r="O10" i="36"/>
  <c r="O9" i="36" s="1"/>
  <c r="P10" i="36"/>
  <c r="P9" i="36" s="1"/>
  <c r="F9" i="36"/>
  <c r="C9" i="36" s="1"/>
  <c r="V624" i="32"/>
  <c r="V627" i="32"/>
  <c r="V639" i="32" s="1"/>
  <c r="V625" i="32"/>
  <c r="V626" i="32"/>
  <c r="L9" i="36" l="1"/>
  <c r="K9" i="36"/>
  <c r="J9" i="36"/>
  <c r="I9" i="36"/>
  <c r="V638" i="32"/>
  <c r="W626" i="32"/>
  <c r="W625" i="32"/>
  <c r="V637" i="32"/>
  <c r="W624" i="32"/>
  <c r="V636" i="32"/>
  <c r="I126" i="30" l="1"/>
  <c r="I118" i="30"/>
  <c r="I111" i="30"/>
  <c r="I103" i="30"/>
  <c r="I99" i="30"/>
  <c r="I93" i="30"/>
  <c r="I90" i="30"/>
  <c r="I86" i="30"/>
  <c r="I82" i="30"/>
  <c r="I77" i="30"/>
  <c r="I70" i="30"/>
  <c r="I63" i="30"/>
  <c r="I60" i="30"/>
  <c r="I47" i="30"/>
  <c r="I42" i="30"/>
  <c r="I39" i="30"/>
  <c r="I35" i="30"/>
  <c r="I8" i="30"/>
  <c r="I2" i="30"/>
  <c r="B49" i="27"/>
  <c r="B50" i="27"/>
  <c r="B51" i="27"/>
  <c r="B52" i="27"/>
  <c r="B53" i="27"/>
  <c r="B54" i="27"/>
  <c r="B48" i="27"/>
  <c r="B22" i="27"/>
  <c r="B21" i="27"/>
  <c r="B20" i="27"/>
  <c r="B19" i="27"/>
  <c r="B16" i="27"/>
  <c r="B17" i="27"/>
  <c r="B18" i="27"/>
  <c r="B15" i="27"/>
  <c r="B9" i="27"/>
  <c r="B8" i="27"/>
  <c r="B4" i="27"/>
  <c r="B46" i="9"/>
  <c r="B47" i="9"/>
  <c r="B48" i="9"/>
  <c r="B45" i="9"/>
  <c r="B19" i="9"/>
  <c r="B20" i="9"/>
  <c r="B16" i="9"/>
  <c r="B17" i="9"/>
  <c r="B18" i="9"/>
  <c r="B15" i="9"/>
  <c r="B9" i="9"/>
  <c r="B8" i="9"/>
  <c r="B4" i="9"/>
  <c r="B112" i="8"/>
  <c r="B113" i="8"/>
  <c r="B111" i="8"/>
  <c r="B81" i="8"/>
  <c r="B82" i="8"/>
  <c r="B83" i="8"/>
  <c r="B80" i="8"/>
  <c r="B52" i="8"/>
  <c r="B53" i="8"/>
  <c r="B54" i="8"/>
  <c r="B51" i="8"/>
  <c r="B21" i="8"/>
  <c r="B18" i="8"/>
  <c r="B19" i="8"/>
  <c r="B20" i="8"/>
  <c r="B17" i="8"/>
  <c r="B11" i="8"/>
  <c r="B10" i="8"/>
  <c r="B9" i="8"/>
  <c r="B8" i="8"/>
  <c r="B4" i="8"/>
  <c r="B15" i="25"/>
  <c r="B16" i="25"/>
  <c r="B17" i="25"/>
  <c r="B18" i="25"/>
  <c r="B19" i="25"/>
  <c r="B14" i="25"/>
  <c r="B8" i="25"/>
  <c r="B4" i="25"/>
  <c r="B43" i="24"/>
  <c r="B42" i="24"/>
  <c r="B41" i="24"/>
  <c r="B38" i="24"/>
  <c r="B39" i="24"/>
  <c r="B40" i="24"/>
  <c r="B37" i="24"/>
  <c r="B16" i="24"/>
  <c r="B17" i="24"/>
  <c r="B18" i="24"/>
  <c r="B15" i="24"/>
  <c r="B9" i="24"/>
  <c r="B8" i="24"/>
  <c r="B4" i="24"/>
  <c r="B56" i="5" l="1"/>
  <c r="B10" i="23" l="1"/>
  <c r="B9" i="23"/>
  <c r="B8" i="23"/>
  <c r="B7" i="23"/>
  <c r="B116" i="23" l="1"/>
  <c r="B115" i="23"/>
  <c r="B114" i="23"/>
  <c r="B113" i="23"/>
  <c r="B112" i="23"/>
  <c r="B111" i="23"/>
  <c r="B82" i="23"/>
  <c r="B80" i="23"/>
  <c r="B81" i="23"/>
  <c r="B79" i="23"/>
  <c r="B78" i="23"/>
  <c r="B48" i="23"/>
  <c r="B47" i="23"/>
  <c r="B46" i="23"/>
  <c r="B19" i="23"/>
  <c r="B18" i="23"/>
  <c r="B17" i="23"/>
  <c r="B16" i="23"/>
  <c r="B58" i="5"/>
  <c r="B57" i="5"/>
  <c r="B55" i="5"/>
  <c r="B54" i="5"/>
  <c r="B53" i="5"/>
  <c r="B22" i="5"/>
  <c r="B21" i="5"/>
  <c r="B18" i="5"/>
  <c r="B17" i="5"/>
  <c r="B16" i="5"/>
  <c r="B15" i="5"/>
  <c r="B9" i="5" l="1"/>
  <c r="B8" i="5"/>
  <c r="B4" i="5"/>
  <c r="H135" i="23" l="1"/>
  <c r="H35" i="23"/>
  <c r="H71" i="20" l="1"/>
  <c r="H33" i="23"/>
  <c r="H41" i="8"/>
  <c r="H124" i="8"/>
  <c r="H100" i="8"/>
  <c r="H162" i="23"/>
  <c r="H67" i="8" l="1"/>
  <c r="C81" i="27"/>
  <c r="C80" i="27"/>
  <c r="H79" i="27"/>
  <c r="H77" i="27"/>
  <c r="H75" i="27" s="1"/>
  <c r="H74" i="27" s="1"/>
  <c r="H73" i="27"/>
  <c r="H72" i="27"/>
  <c r="C71" i="27"/>
  <c r="H63" i="27"/>
  <c r="C37" i="27"/>
  <c r="H35" i="27"/>
  <c r="H33" i="27"/>
  <c r="H31" i="27"/>
  <c r="B13" i="27"/>
  <c r="X9" i="27"/>
  <c r="V9" i="27"/>
  <c r="U9" i="27"/>
  <c r="S9" i="27"/>
  <c r="R9" i="27"/>
  <c r="P9" i="27"/>
  <c r="O9" i="27"/>
  <c r="M9" i="27"/>
  <c r="L9" i="27"/>
  <c r="J9" i="27"/>
  <c r="I9" i="27"/>
  <c r="B47" i="27" s="1"/>
  <c r="X8" i="27"/>
  <c r="W8" i="27"/>
  <c r="V8" i="27"/>
  <c r="U8" i="27"/>
  <c r="T8" i="27"/>
  <c r="S8" i="27"/>
  <c r="R8" i="27"/>
  <c r="Q8" i="27"/>
  <c r="P8" i="27"/>
  <c r="O8" i="27"/>
  <c r="N8" i="27"/>
  <c r="M8" i="27"/>
  <c r="L8" i="27"/>
  <c r="K8" i="27"/>
  <c r="C40" i="25"/>
  <c r="H37" i="25"/>
  <c r="X8" i="25"/>
  <c r="V8" i="25"/>
  <c r="U8" i="25"/>
  <c r="S8" i="25"/>
  <c r="R8" i="25"/>
  <c r="P8" i="25"/>
  <c r="O8" i="25"/>
  <c r="M8" i="25"/>
  <c r="L8" i="25"/>
  <c r="J8" i="25"/>
  <c r="I8" i="25"/>
  <c r="V7" i="25"/>
  <c r="S7" i="25"/>
  <c r="P7" i="25"/>
  <c r="J7" i="25"/>
  <c r="B12" i="25" l="1"/>
  <c r="U7" i="25"/>
  <c r="O7" i="25"/>
  <c r="L7" i="25"/>
  <c r="X7" i="25"/>
  <c r="M7" i="25"/>
  <c r="S7" i="27"/>
  <c r="X7" i="27"/>
  <c r="L7" i="27"/>
  <c r="P7" i="27"/>
  <c r="O7" i="27"/>
  <c r="U7" i="27"/>
  <c r="V7" i="27"/>
  <c r="R7" i="25"/>
  <c r="I7" i="25"/>
  <c r="M7" i="27"/>
  <c r="R7" i="27"/>
  <c r="H67" i="24" l="1"/>
  <c r="C55" i="24"/>
  <c r="H54" i="24"/>
  <c r="H28" i="24"/>
  <c r="H167" i="23" l="1"/>
  <c r="H137" i="23"/>
  <c r="C136" i="23"/>
  <c r="H129" i="23"/>
  <c r="H126" i="23"/>
  <c r="H97" i="23"/>
  <c r="H66" i="23"/>
  <c r="C65" i="23"/>
  <c r="G64" i="23"/>
  <c r="H61" i="23"/>
  <c r="C58" i="23"/>
  <c r="H58" i="23" s="1"/>
  <c r="C56" i="23"/>
  <c r="C54" i="23"/>
  <c r="H32" i="23"/>
  <c r="C26" i="23"/>
  <c r="H96" i="23" l="1"/>
  <c r="B144" i="23"/>
  <c r="B109" i="23" s="1"/>
  <c r="B76" i="23" s="1"/>
  <c r="B44" i="23" s="1"/>
  <c r="B14" i="23" s="1"/>
  <c r="H64" i="23"/>
  <c r="H128" i="20" l="1"/>
  <c r="H125" i="20"/>
  <c r="H123" i="20"/>
  <c r="H99" i="20"/>
  <c r="H101" i="20"/>
  <c r="H95" i="20"/>
  <c r="K10" i="20" l="1"/>
  <c r="O10" i="20" l="1"/>
  <c r="H68" i="9"/>
  <c r="T10" i="20" l="1"/>
  <c r="B154" i="20"/>
  <c r="B133" i="20"/>
  <c r="B52" i="20"/>
  <c r="B17" i="20"/>
  <c r="H14" i="20"/>
  <c r="I14" i="20"/>
  <c r="L14" i="20"/>
  <c r="M14" i="20"/>
  <c r="Q14" i="20"/>
  <c r="R14" i="20"/>
  <c r="V14" i="20"/>
  <c r="W14" i="20"/>
  <c r="H147" i="20"/>
  <c r="H171" i="20" s="1"/>
  <c r="H169" i="20" s="1"/>
  <c r="C120" i="20"/>
  <c r="C119" i="20"/>
  <c r="C33" i="20"/>
  <c r="W7" i="20"/>
  <c r="V7" i="20"/>
  <c r="R7" i="20"/>
  <c r="Q7" i="20"/>
  <c r="M7" i="20"/>
  <c r="L7" i="20"/>
  <c r="I7" i="20"/>
  <c r="H7" i="20"/>
  <c r="H172" i="20" l="1"/>
  <c r="H122" i="8" l="1"/>
  <c r="C121" i="8"/>
  <c r="C120" i="8"/>
  <c r="H125" i="8"/>
  <c r="B109" i="8"/>
  <c r="C67" i="9"/>
  <c r="C29" i="8"/>
  <c r="C28" i="8"/>
  <c r="C30" i="8" l="1"/>
  <c r="C27" i="8"/>
  <c r="C38" i="8" l="1"/>
  <c r="C37" i="8"/>
  <c r="C36" i="8"/>
  <c r="C31" i="8"/>
  <c r="C32" i="8"/>
  <c r="H85" i="5"/>
  <c r="H42" i="5"/>
  <c r="H83" i="5"/>
  <c r="H40" i="5"/>
  <c r="C82" i="5"/>
  <c r="C81" i="5"/>
  <c r="C78" i="5"/>
  <c r="C80" i="5"/>
  <c r="C71" i="5"/>
  <c r="C70" i="5"/>
  <c r="C38" i="5"/>
  <c r="C37" i="5"/>
  <c r="C31" i="5"/>
  <c r="C61" i="9" l="1"/>
  <c r="C60" i="9"/>
  <c r="H59" i="9"/>
  <c r="H64" i="9"/>
  <c r="H56" i="9"/>
  <c r="H29" i="9"/>
  <c r="H28" i="9" l="1"/>
  <c r="H30" i="9"/>
  <c r="B44" i="9" l="1"/>
  <c r="H35" i="9"/>
  <c r="B13" i="9"/>
  <c r="H93" i="8"/>
  <c r="H101" i="8"/>
  <c r="C99" i="8"/>
  <c r="C98" i="8"/>
  <c r="B78" i="8"/>
  <c r="C63" i="8"/>
  <c r="C65" i="8"/>
  <c r="C64" i="8"/>
  <c r="H39" i="8"/>
  <c r="H68" i="8"/>
  <c r="H33" i="9" l="1"/>
  <c r="H64" i="8"/>
  <c r="H65" i="8"/>
  <c r="H33" i="8" l="1"/>
  <c r="H32" i="8"/>
  <c r="B49" i="8"/>
  <c r="B15" i="8"/>
  <c r="H37" i="8" l="1"/>
  <c r="H38" i="8"/>
  <c r="H79" i="5" l="1"/>
  <c r="H66" i="5"/>
  <c r="H37" i="5" l="1"/>
  <c r="B51" i="5" l="1"/>
  <c r="B13" i="5"/>
  <c r="P8" i="20" l="1"/>
  <c r="K14" i="20"/>
  <c r="K7" i="20"/>
  <c r="P14" i="20" l="1"/>
  <c r="P7" i="20"/>
  <c r="U8" i="20"/>
  <c r="U14" i="20" l="1"/>
  <c r="U7" i="20"/>
  <c r="H36" i="8" l="1"/>
  <c r="H35" i="8"/>
  <c r="H44" i="25"/>
  <c r="H43" i="25"/>
  <c r="H38" i="23"/>
  <c r="H69" i="5"/>
  <c r="H68" i="5"/>
  <c r="H78" i="5"/>
  <c r="H76" i="27"/>
  <c r="H34" i="27"/>
  <c r="H38" i="27" l="1"/>
  <c r="H43" i="20"/>
  <c r="H127" i="8"/>
  <c r="H139" i="23"/>
  <c r="H37" i="9"/>
  <c r="H174" i="20"/>
  <c r="H99" i="23"/>
  <c r="H66" i="9"/>
  <c r="H149" i="20"/>
  <c r="H103" i="8"/>
  <c r="H87" i="5"/>
  <c r="H44" i="8"/>
  <c r="H44" i="5"/>
  <c r="H127" i="20"/>
  <c r="H70" i="8"/>
  <c r="H68" i="23"/>
  <c r="H37" i="27"/>
  <c r="H81" i="27"/>
  <c r="H66" i="24"/>
  <c r="H37" i="23"/>
  <c r="H103" i="20"/>
  <c r="H31" i="24"/>
  <c r="H42" i="25"/>
  <c r="H63" i="23"/>
  <c r="H74" i="5"/>
  <c r="H32" i="5"/>
  <c r="H75" i="5"/>
  <c r="H65" i="5"/>
  <c r="H28" i="5"/>
  <c r="H96" i="20"/>
  <c r="H78" i="27"/>
  <c r="H67" i="5"/>
  <c r="H31" i="9"/>
  <c r="H56" i="23"/>
  <c r="H28" i="8"/>
  <c r="H34" i="5"/>
  <c r="H60" i="9"/>
  <c r="H94" i="8"/>
  <c r="H66" i="27"/>
  <c r="H81" i="5"/>
  <c r="H70" i="20"/>
  <c r="H69" i="20" s="1"/>
  <c r="H146" i="20"/>
  <c r="H65" i="23"/>
  <c r="H32" i="27"/>
  <c r="H124" i="20"/>
  <c r="H84" i="5"/>
  <c r="H123" i="8"/>
  <c r="H34" i="9"/>
  <c r="H41" i="5"/>
  <c r="H170" i="20"/>
  <c r="H42" i="8"/>
  <c r="H163" i="23"/>
  <c r="H34" i="23"/>
  <c r="H100" i="20"/>
  <c r="H136" i="23"/>
  <c r="H52" i="23"/>
  <c r="H122" i="20"/>
  <c r="H118" i="8"/>
  <c r="H120" i="23"/>
  <c r="H24" i="23"/>
  <c r="H86" i="23"/>
  <c r="H24" i="9"/>
  <c r="H25" i="8"/>
  <c r="H26" i="5"/>
  <c r="H23" i="24"/>
  <c r="H94" i="20"/>
  <c r="H47" i="24"/>
  <c r="H63" i="5"/>
  <c r="H88" i="8"/>
  <c r="H59" i="8"/>
  <c r="H97" i="8"/>
  <c r="H38" i="5"/>
  <c r="H36" i="25"/>
  <c r="H35" i="25" s="1"/>
  <c r="H71" i="27"/>
  <c r="H70" i="27" s="1"/>
  <c r="H68" i="27" s="1"/>
  <c r="C69" i="27" s="1"/>
  <c r="H69" i="27" l="1"/>
  <c r="C67" i="27" s="1"/>
  <c r="H65" i="9"/>
  <c r="H65" i="24"/>
  <c r="H64" i="24" s="1"/>
  <c r="H63" i="24" s="1"/>
  <c r="H62" i="24" s="1"/>
  <c r="H61" i="24" s="1"/>
  <c r="H60" i="24" s="1"/>
  <c r="H59" i="24" s="1"/>
  <c r="H58" i="24" s="1"/>
  <c r="H43" i="5"/>
  <c r="H126" i="20"/>
  <c r="H43" i="8"/>
  <c r="H67" i="23"/>
  <c r="H148" i="20"/>
  <c r="H145" i="20" s="1"/>
  <c r="H80" i="27"/>
  <c r="H30" i="24"/>
  <c r="H29" i="24" s="1"/>
  <c r="B36" i="24" s="1"/>
  <c r="B13" i="24" s="1"/>
  <c r="H126" i="8"/>
  <c r="H173" i="20"/>
  <c r="H102" i="20"/>
  <c r="H40" i="25"/>
  <c r="H39" i="25" s="1"/>
  <c r="C41" i="25" s="1"/>
  <c r="H41" i="25" s="1"/>
  <c r="H38" i="25" s="1"/>
  <c r="H138" i="23"/>
  <c r="H102" i="8"/>
  <c r="H36" i="27"/>
  <c r="H98" i="23"/>
  <c r="H42" i="20"/>
  <c r="H41" i="20" s="1"/>
  <c r="H40" i="20" s="1"/>
  <c r="H39" i="20" s="1"/>
  <c r="H86" i="5"/>
  <c r="H36" i="9"/>
  <c r="H69" i="8"/>
  <c r="H36" i="23"/>
  <c r="H29" i="8"/>
  <c r="H30" i="23"/>
  <c r="H29" i="23" s="1"/>
  <c r="H57" i="24"/>
  <c r="H56" i="24" s="1"/>
  <c r="H57" i="23"/>
  <c r="H30" i="25"/>
  <c r="H29" i="25" s="1"/>
  <c r="H125" i="23"/>
  <c r="H124" i="23" s="1"/>
  <c r="H32" i="9"/>
  <c r="H82" i="5"/>
  <c r="H61" i="9"/>
  <c r="H35" i="5"/>
  <c r="H72" i="5"/>
  <c r="H39" i="5"/>
  <c r="H62" i="23"/>
  <c r="H33" i="5"/>
  <c r="H73" i="5"/>
  <c r="H133" i="23"/>
  <c r="H132" i="23" s="1"/>
  <c r="H131" i="23" s="1"/>
  <c r="H94" i="23"/>
  <c r="H93" i="23" s="1"/>
  <c r="H119" i="20"/>
  <c r="H26" i="25"/>
  <c r="H54" i="23"/>
  <c r="H31" i="20"/>
  <c r="H50" i="24"/>
  <c r="H26" i="23"/>
  <c r="H88" i="23"/>
  <c r="H49" i="24"/>
  <c r="H90" i="8"/>
  <c r="H122" i="23"/>
  <c r="H25" i="24"/>
  <c r="H30" i="8"/>
  <c r="H91" i="20"/>
  <c r="H29" i="5"/>
  <c r="H144" i="20"/>
  <c r="H26" i="9"/>
  <c r="H120" i="8"/>
  <c r="H61" i="8"/>
  <c r="H70" i="5"/>
  <c r="H28" i="27"/>
  <c r="H52" i="24"/>
  <c r="H64" i="27"/>
  <c r="H34" i="25"/>
  <c r="H24" i="24"/>
  <c r="H53" i="23"/>
  <c r="H93" i="20"/>
  <c r="H25" i="9"/>
  <c r="H89" i="8"/>
  <c r="H25" i="25"/>
  <c r="H24" i="25" s="1"/>
  <c r="H121" i="20"/>
  <c r="H166" i="20"/>
  <c r="H165" i="20" s="1"/>
  <c r="H66" i="20"/>
  <c r="H65" i="20" s="1"/>
  <c r="H60" i="8"/>
  <c r="H87" i="23"/>
  <c r="H25" i="23"/>
  <c r="H26" i="8"/>
  <c r="H48" i="24"/>
  <c r="H119" i="8"/>
  <c r="H63" i="8"/>
  <c r="H27" i="5"/>
  <c r="H33" i="20"/>
  <c r="H27" i="27"/>
  <c r="H26" i="27" s="1"/>
  <c r="H121" i="23"/>
  <c r="H64" i="5"/>
  <c r="H98" i="8"/>
  <c r="H92" i="8"/>
  <c r="H97" i="20"/>
  <c r="H57" i="9"/>
  <c r="H36" i="5"/>
  <c r="H35" i="20"/>
  <c r="H38" i="20" s="1"/>
  <c r="H37" i="20" s="1"/>
  <c r="H34" i="20" s="1"/>
  <c r="H40" i="27"/>
  <c r="H95" i="23"/>
  <c r="H161" i="23"/>
  <c r="H134" i="23"/>
  <c r="H34" i="8"/>
  <c r="H31" i="23"/>
  <c r="H40" i="8"/>
  <c r="H80" i="5"/>
  <c r="H27" i="24"/>
  <c r="H36" i="20"/>
  <c r="H66" i="8"/>
  <c r="H53" i="24"/>
  <c r="H60" i="23"/>
  <c r="H59" i="23" s="1"/>
  <c r="H98" i="20"/>
  <c r="H128" i="23"/>
  <c r="H127" i="23" s="1"/>
  <c r="H27" i="8"/>
  <c r="H77" i="5"/>
  <c r="H99" i="8"/>
  <c r="H76" i="5"/>
  <c r="H39" i="27" l="1"/>
  <c r="H67" i="27"/>
  <c r="O48" i="5"/>
  <c r="P9" i="24"/>
  <c r="H72" i="9"/>
  <c r="F9" i="9" s="1"/>
  <c r="X9" i="24"/>
  <c r="R9" i="24"/>
  <c r="Q9" i="24"/>
  <c r="V9" i="24"/>
  <c r="J9" i="24"/>
  <c r="K9" i="24"/>
  <c r="H9" i="24"/>
  <c r="T9" i="24"/>
  <c r="U9" i="24"/>
  <c r="S9" i="24"/>
  <c r="W9" i="24"/>
  <c r="M9" i="24"/>
  <c r="I9" i="24"/>
  <c r="N9" i="24"/>
  <c r="O9" i="24"/>
  <c r="L9" i="24"/>
  <c r="H143" i="20"/>
  <c r="H142" i="20" s="1"/>
  <c r="H151" i="20" s="1"/>
  <c r="F12" i="20" s="1"/>
  <c r="H130" i="23"/>
  <c r="H141" i="23" s="1"/>
  <c r="O10" i="23" s="1"/>
  <c r="L17" i="21" s="1"/>
  <c r="Q9" i="23"/>
  <c r="N16" i="21" s="1"/>
  <c r="E17" i="14" s="1"/>
  <c r="O9" i="23"/>
  <c r="L16" i="21" s="1"/>
  <c r="T9" i="23"/>
  <c r="Q16" i="21" s="1"/>
  <c r="P9" i="23"/>
  <c r="M16" i="21" s="1"/>
  <c r="S9" i="23"/>
  <c r="P16" i="21" s="1"/>
  <c r="H9" i="23"/>
  <c r="E16" i="21" s="1"/>
  <c r="N9" i="23"/>
  <c r="K16" i="21" s="1"/>
  <c r="H96" i="8"/>
  <c r="H95" i="8"/>
  <c r="I9" i="23"/>
  <c r="F16" i="21" s="1"/>
  <c r="L9" i="23"/>
  <c r="I16" i="21" s="1"/>
  <c r="U9" i="23"/>
  <c r="R16" i="21" s="1"/>
  <c r="H28" i="25"/>
  <c r="H27" i="25" s="1"/>
  <c r="H121" i="8"/>
  <c r="H129" i="8" s="1"/>
  <c r="H130" i="8" s="1"/>
  <c r="H26" i="24"/>
  <c r="H33" i="24" s="1"/>
  <c r="H168" i="20"/>
  <c r="H167" i="20" s="1"/>
  <c r="H176" i="20" s="1"/>
  <c r="H120" i="20"/>
  <c r="H129" i="20" s="1"/>
  <c r="H62" i="27"/>
  <c r="H61" i="27" s="1"/>
  <c r="H60" i="27" s="1"/>
  <c r="H59" i="27" s="1"/>
  <c r="H58" i="27" s="1"/>
  <c r="H160" i="23"/>
  <c r="H159" i="23" s="1"/>
  <c r="H158" i="23" s="1"/>
  <c r="H157" i="23" s="1"/>
  <c r="H165" i="23" s="1"/>
  <c r="H30" i="5"/>
  <c r="H32" i="20"/>
  <c r="H48" i="20" s="1"/>
  <c r="H92" i="20"/>
  <c r="H106" i="20" s="1"/>
  <c r="I106" i="20" s="1"/>
  <c r="E10" i="20" s="1"/>
  <c r="H123" i="23"/>
  <c r="H55" i="23"/>
  <c r="H71" i="23" s="1"/>
  <c r="H30" i="27"/>
  <c r="H29" i="27" s="1"/>
  <c r="H51" i="24"/>
  <c r="H62" i="8"/>
  <c r="H73" i="8" s="1"/>
  <c r="H71" i="5"/>
  <c r="H89" i="5" s="1"/>
  <c r="H91" i="8"/>
  <c r="H27" i="9"/>
  <c r="H40" i="9" s="1"/>
  <c r="H68" i="20"/>
  <c r="H67" i="20" s="1"/>
  <c r="H73" i="20" s="1"/>
  <c r="H31" i="8"/>
  <c r="H46" i="8" s="1"/>
  <c r="H27" i="23"/>
  <c r="M9" i="23"/>
  <c r="J16" i="21" s="1"/>
  <c r="X9" i="23"/>
  <c r="U16" i="21" s="1"/>
  <c r="R9" i="23"/>
  <c r="O16" i="21" s="1"/>
  <c r="H33" i="25"/>
  <c r="H32" i="25" s="1"/>
  <c r="H31" i="25" s="1"/>
  <c r="H90" i="23"/>
  <c r="H65" i="27"/>
  <c r="H31" i="5"/>
  <c r="H55" i="24"/>
  <c r="H28" i="23"/>
  <c r="K9" i="23"/>
  <c r="H16" i="21" s="1"/>
  <c r="H92" i="23"/>
  <c r="H91" i="23" s="1"/>
  <c r="H73" i="23"/>
  <c r="J8" i="23" s="1"/>
  <c r="G15" i="21" s="1"/>
  <c r="V9" i="23"/>
  <c r="S16" i="21" s="1"/>
  <c r="W9" i="23"/>
  <c r="T16" i="21" s="1"/>
  <c r="J9" i="23"/>
  <c r="G16" i="21" s="1"/>
  <c r="D17" i="14" l="1"/>
  <c r="Q7" i="24"/>
  <c r="H43" i="27"/>
  <c r="H8" i="27" s="1"/>
  <c r="H74" i="9"/>
  <c r="J9" i="9" s="1"/>
  <c r="H73" i="9"/>
  <c r="I72" i="9"/>
  <c r="E9" i="9" s="1"/>
  <c r="P10" i="23"/>
  <c r="M17" i="21" s="1"/>
  <c r="O7" i="24"/>
  <c r="K7" i="24"/>
  <c r="G12" i="20"/>
  <c r="I7" i="24"/>
  <c r="M7" i="24"/>
  <c r="R7" i="24"/>
  <c r="E12" i="20"/>
  <c r="H140" i="23"/>
  <c r="F10" i="23" s="1"/>
  <c r="C17" i="21" s="1"/>
  <c r="H105" i="8"/>
  <c r="F10" i="8" s="1"/>
  <c r="C27" i="21" s="1"/>
  <c r="H46" i="5"/>
  <c r="K8" i="5" s="1"/>
  <c r="H46" i="25"/>
  <c r="G8" i="25" s="1"/>
  <c r="H70" i="24"/>
  <c r="H83" i="27"/>
  <c r="W9" i="27" s="1"/>
  <c r="H89" i="23"/>
  <c r="H100" i="23" s="1"/>
  <c r="I71" i="23"/>
  <c r="E8" i="23" s="1"/>
  <c r="B15" i="21" s="1"/>
  <c r="F8" i="23"/>
  <c r="C15" i="21" s="1"/>
  <c r="K8" i="23"/>
  <c r="H15" i="21" s="1"/>
  <c r="F8" i="20"/>
  <c r="I48" i="20"/>
  <c r="E8" i="20" s="1"/>
  <c r="F11" i="8"/>
  <c r="C28" i="21" s="1"/>
  <c r="I129" i="8"/>
  <c r="E11" i="8" s="1"/>
  <c r="B28" i="21" s="1"/>
  <c r="G9" i="9"/>
  <c r="F9" i="8"/>
  <c r="C26" i="21" s="1"/>
  <c r="I73" i="8"/>
  <c r="I165" i="23"/>
  <c r="E11" i="23" s="1"/>
  <c r="B18" i="21" s="1"/>
  <c r="H11" i="23"/>
  <c r="E18" i="21" s="1"/>
  <c r="G11" i="23"/>
  <c r="D18" i="21" s="1"/>
  <c r="I11" i="23"/>
  <c r="F18" i="21" s="1"/>
  <c r="H166" i="23"/>
  <c r="F11" i="23"/>
  <c r="C18" i="21" s="1"/>
  <c r="J11" i="23"/>
  <c r="G18" i="21" s="1"/>
  <c r="H39" i="23"/>
  <c r="H90" i="5"/>
  <c r="I89" i="5"/>
  <c r="E9" i="5" s="1"/>
  <c r="F9" i="5"/>
  <c r="G9" i="5"/>
  <c r="F8" i="8"/>
  <c r="C25" i="21" s="1"/>
  <c r="I46" i="8"/>
  <c r="E8" i="8" s="1"/>
  <c r="B25" i="21" s="1"/>
  <c r="I129" i="20"/>
  <c r="E11" i="20" s="1"/>
  <c r="T11" i="20"/>
  <c r="O11" i="20"/>
  <c r="J11" i="20"/>
  <c r="I73" i="20"/>
  <c r="E9" i="20" s="1"/>
  <c r="T9" i="20"/>
  <c r="O9" i="20"/>
  <c r="J9" i="20"/>
  <c r="X9" i="20"/>
  <c r="E13" i="20"/>
  <c r="G13" i="20"/>
  <c r="F13" i="20"/>
  <c r="I40" i="9"/>
  <c r="E8" i="9" s="1"/>
  <c r="J8" i="9"/>
  <c r="H8" i="9"/>
  <c r="K8" i="9"/>
  <c r="G8" i="9"/>
  <c r="I8" i="9"/>
  <c r="F8" i="9"/>
  <c r="F10" i="20"/>
  <c r="G8" i="24"/>
  <c r="H34" i="24"/>
  <c r="F8" i="24"/>
  <c r="C29" i="14" l="1"/>
  <c r="C19" i="14"/>
  <c r="K9" i="9"/>
  <c r="H44" i="27"/>
  <c r="E8" i="27" s="1"/>
  <c r="I8" i="27"/>
  <c r="G8" i="27"/>
  <c r="F8" i="27"/>
  <c r="Y12" i="20"/>
  <c r="Q10" i="23"/>
  <c r="N17" i="21" s="1"/>
  <c r="I105" i="8"/>
  <c r="E10" i="8" s="1"/>
  <c r="B27" i="21" s="1"/>
  <c r="G10" i="8"/>
  <c r="D27" i="21" s="1"/>
  <c r="I140" i="23"/>
  <c r="E10" i="23" s="1"/>
  <c r="B17" i="21" s="1"/>
  <c r="I70" i="24"/>
  <c r="F9" i="24"/>
  <c r="S7" i="24"/>
  <c r="K8" i="25"/>
  <c r="I8" i="5"/>
  <c r="F8" i="5"/>
  <c r="I46" i="5"/>
  <c r="E8" i="5" s="1"/>
  <c r="W8" i="25"/>
  <c r="J8" i="5"/>
  <c r="F8" i="25"/>
  <c r="T8" i="25"/>
  <c r="N9" i="27"/>
  <c r="H47" i="25"/>
  <c r="E8" i="25" s="1"/>
  <c r="N8" i="25"/>
  <c r="H84" i="27"/>
  <c r="E9" i="27" s="1"/>
  <c r="Q8" i="25"/>
  <c r="T9" i="27"/>
  <c r="F9" i="27"/>
  <c r="Q9" i="27"/>
  <c r="G9" i="27"/>
  <c r="K9" i="27"/>
  <c r="Y9" i="20"/>
  <c r="U11" i="23"/>
  <c r="R18" i="21" s="1"/>
  <c r="M11" i="23"/>
  <c r="J18" i="21" s="1"/>
  <c r="K11" i="23"/>
  <c r="H18" i="21" s="1"/>
  <c r="N11" i="23"/>
  <c r="K18" i="21" s="1"/>
  <c r="S11" i="23"/>
  <c r="P18" i="21" s="1"/>
  <c r="X11" i="23"/>
  <c r="U18" i="21" s="1"/>
  <c r="L11" i="23"/>
  <c r="I18" i="21" s="1"/>
  <c r="Q11" i="23"/>
  <c r="N18" i="21" s="1"/>
  <c r="O11" i="23"/>
  <c r="L18" i="21" s="1"/>
  <c r="T11" i="23"/>
  <c r="Q18" i="21" s="1"/>
  <c r="W11" i="23"/>
  <c r="T18" i="21" s="1"/>
  <c r="P11" i="23"/>
  <c r="M18" i="21" s="1"/>
  <c r="R11" i="23"/>
  <c r="O18" i="21" s="1"/>
  <c r="V11" i="23"/>
  <c r="S18" i="21" s="1"/>
  <c r="G10" i="9"/>
  <c r="G7" i="20"/>
  <c r="E7" i="20"/>
  <c r="E14" i="20"/>
  <c r="Y8" i="20"/>
  <c r="J10" i="9"/>
  <c r="J7" i="9"/>
  <c r="J10" i="20"/>
  <c r="E10" i="9"/>
  <c r="E7" i="9"/>
  <c r="Y11" i="20"/>
  <c r="H40" i="23"/>
  <c r="I40" i="23" s="1"/>
  <c r="F7" i="23"/>
  <c r="I39" i="23"/>
  <c r="E7" i="23" s="1"/>
  <c r="E9" i="8"/>
  <c r="B26" i="21" s="1"/>
  <c r="L8" i="23"/>
  <c r="I15" i="21" s="1"/>
  <c r="F9" i="23"/>
  <c r="C16" i="21" s="1"/>
  <c r="I100" i="23"/>
  <c r="G11" i="8"/>
  <c r="D28" i="21" s="1"/>
  <c r="F14" i="20"/>
  <c r="F7" i="20"/>
  <c r="O14" i="20"/>
  <c r="O7" i="20"/>
  <c r="W7" i="27"/>
  <c r="G9" i="8"/>
  <c r="D26" i="21" s="1"/>
  <c r="G7" i="25"/>
  <c r="I7" i="27"/>
  <c r="L8" i="24"/>
  <c r="N8" i="24"/>
  <c r="H8" i="24"/>
  <c r="E8" i="24"/>
  <c r="B20" i="21" s="1"/>
  <c r="J8" i="24"/>
  <c r="P8" i="24"/>
  <c r="L8" i="9"/>
  <c r="K7" i="9"/>
  <c r="K10" i="9"/>
  <c r="Y13" i="20"/>
  <c r="G14" i="20"/>
  <c r="G10" i="23"/>
  <c r="D17" i="21" s="1"/>
  <c r="L9" i="9"/>
  <c r="F10" i="9"/>
  <c r="F7" i="9"/>
  <c r="T14" i="20"/>
  <c r="T7" i="20"/>
  <c r="G8" i="8"/>
  <c r="D25" i="21" s="1"/>
  <c r="F12" i="8"/>
  <c r="F7" i="8"/>
  <c r="C24" i="21" s="1"/>
  <c r="H9" i="5"/>
  <c r="G7" i="9"/>
  <c r="H9" i="9"/>
  <c r="G8" i="23"/>
  <c r="D15" i="21" s="1"/>
  <c r="C26" i="14" l="1"/>
  <c r="C27" i="14"/>
  <c r="D19" i="14"/>
  <c r="B14" i="21"/>
  <c r="F6" i="23"/>
  <c r="C13" i="21" s="1"/>
  <c r="C14" i="21"/>
  <c r="E19" i="14"/>
  <c r="E7" i="5"/>
  <c r="H8" i="5"/>
  <c r="J14" i="20"/>
  <c r="T7" i="27"/>
  <c r="J126" i="30"/>
  <c r="W7" i="25"/>
  <c r="Y11" i="23"/>
  <c r="N7" i="27"/>
  <c r="Q7" i="27"/>
  <c r="J118" i="30"/>
  <c r="K7" i="25"/>
  <c r="J8" i="27"/>
  <c r="R10" i="23"/>
  <c r="O17" i="21" s="1"/>
  <c r="K7" i="27"/>
  <c r="G8" i="5"/>
  <c r="L8" i="5"/>
  <c r="H8" i="25"/>
  <c r="E10" i="5"/>
  <c r="F7" i="5"/>
  <c r="C6" i="21" s="1"/>
  <c r="F7" i="24"/>
  <c r="T7" i="25"/>
  <c r="E12" i="8"/>
  <c r="N7" i="25"/>
  <c r="H10" i="8"/>
  <c r="E27" i="21" s="1"/>
  <c r="C28" i="14" s="1"/>
  <c r="G7" i="27"/>
  <c r="E9" i="24"/>
  <c r="G9" i="24"/>
  <c r="T7" i="24"/>
  <c r="F10" i="5"/>
  <c r="F7" i="25"/>
  <c r="F7" i="27"/>
  <c r="E7" i="8"/>
  <c r="B24" i="21" s="1"/>
  <c r="Q7" i="25"/>
  <c r="H9" i="27"/>
  <c r="J7" i="24"/>
  <c r="Y8" i="24"/>
  <c r="M8" i="23"/>
  <c r="J15" i="21" s="1"/>
  <c r="G12" i="8"/>
  <c r="H8" i="8"/>
  <c r="E25" i="21" s="1"/>
  <c r="G7" i="8"/>
  <c r="D24" i="21" s="1"/>
  <c r="L10" i="9"/>
  <c r="M9" i="9"/>
  <c r="N7" i="24"/>
  <c r="K11" i="8"/>
  <c r="H28" i="21" s="1"/>
  <c r="E9" i="23"/>
  <c r="B16" i="21" s="1"/>
  <c r="G9" i="23"/>
  <c r="D16" i="21" s="1"/>
  <c r="H8" i="23"/>
  <c r="E15" i="21" s="1"/>
  <c r="C16" i="14" s="1"/>
  <c r="I9" i="9"/>
  <c r="L7" i="24"/>
  <c r="H7" i="9"/>
  <c r="B6" i="21"/>
  <c r="H7" i="24"/>
  <c r="E7" i="27"/>
  <c r="M8" i="9"/>
  <c r="L7" i="9"/>
  <c r="H9" i="8"/>
  <c r="E26" i="21" s="1"/>
  <c r="H10" i="9"/>
  <c r="I9" i="5"/>
  <c r="E7" i="25"/>
  <c r="H10" i="23"/>
  <c r="E17" i="21" s="1"/>
  <c r="C18" i="14" s="1"/>
  <c r="F12" i="23"/>
  <c r="G7" i="23"/>
  <c r="P7" i="24"/>
  <c r="J7" i="23"/>
  <c r="K7" i="23"/>
  <c r="J7" i="20"/>
  <c r="N10" i="20"/>
  <c r="V18" i="21" l="1"/>
  <c r="B19" i="14" s="1"/>
  <c r="B18" i="36" s="1"/>
  <c r="J53" i="30"/>
  <c r="G14" i="21"/>
  <c r="G6" i="23"/>
  <c r="D13" i="21" s="1"/>
  <c r="D14" i="21"/>
  <c r="H14" i="21"/>
  <c r="C17" i="14"/>
  <c r="E6" i="23"/>
  <c r="B13" i="21" s="1"/>
  <c r="J60" i="30"/>
  <c r="Y9" i="23"/>
  <c r="V16" i="21" s="1"/>
  <c r="B17" i="14" s="1"/>
  <c r="B16" i="36" s="1"/>
  <c r="H10" i="5"/>
  <c r="G7" i="5"/>
  <c r="D6" i="21" s="1"/>
  <c r="S10" i="23"/>
  <c r="P17" i="21" s="1"/>
  <c r="H7" i="5"/>
  <c r="E6" i="21" s="1"/>
  <c r="C7" i="14" s="1"/>
  <c r="C42" i="21"/>
  <c r="E7" i="24"/>
  <c r="Y8" i="27"/>
  <c r="J7" i="27"/>
  <c r="Y8" i="25"/>
  <c r="M8" i="5"/>
  <c r="H7" i="25"/>
  <c r="G10" i="5"/>
  <c r="I10" i="8"/>
  <c r="F27" i="21" s="1"/>
  <c r="G7" i="24"/>
  <c r="Y9" i="24"/>
  <c r="U7" i="24"/>
  <c r="Y9" i="27"/>
  <c r="H7" i="27"/>
  <c r="E12" i="23"/>
  <c r="G12" i="23"/>
  <c r="H7" i="23"/>
  <c r="H12" i="8"/>
  <c r="H7" i="8"/>
  <c r="E24" i="21" s="1"/>
  <c r="C25" i="14" s="1"/>
  <c r="I8" i="8"/>
  <c r="F25" i="21" s="1"/>
  <c r="I8" i="23"/>
  <c r="F15" i="21" s="1"/>
  <c r="N8" i="9"/>
  <c r="M7" i="9"/>
  <c r="O11" i="8"/>
  <c r="L28" i="21" s="1"/>
  <c r="D29" i="14" s="1"/>
  <c r="J9" i="5"/>
  <c r="I7" i="5"/>
  <c r="F6" i="21" s="1"/>
  <c r="I10" i="5"/>
  <c r="S10" i="20"/>
  <c r="N7" i="20"/>
  <c r="N14" i="20"/>
  <c r="M10" i="9"/>
  <c r="N9" i="9"/>
  <c r="L7" i="23"/>
  <c r="I9" i="8"/>
  <c r="F26" i="21" s="1"/>
  <c r="N8" i="23"/>
  <c r="K15" i="21" s="1"/>
  <c r="I10" i="23"/>
  <c r="F17" i="21" s="1"/>
  <c r="I7" i="9"/>
  <c r="I10" i="9"/>
  <c r="H18" i="36" l="1"/>
  <c r="G18" i="36"/>
  <c r="F18" i="36"/>
  <c r="H16" i="36"/>
  <c r="G16" i="36"/>
  <c r="F16" i="36"/>
  <c r="C14" i="14"/>
  <c r="I14" i="21"/>
  <c r="H6" i="23"/>
  <c r="E13" i="21" s="1"/>
  <c r="E42" i="21" s="1"/>
  <c r="E14" i="21"/>
  <c r="C15" i="14" s="1"/>
  <c r="B42" i="21"/>
  <c r="J103" i="30"/>
  <c r="J70" i="30"/>
  <c r="J111" i="30"/>
  <c r="T10" i="23"/>
  <c r="Q17" i="21" s="1"/>
  <c r="J42" i="30"/>
  <c r="J63" i="30"/>
  <c r="N8" i="5"/>
  <c r="Y7" i="25"/>
  <c r="J10" i="8"/>
  <c r="G27" i="21" s="1"/>
  <c r="Y7" i="27"/>
  <c r="V7" i="24"/>
  <c r="H12" i="23"/>
  <c r="I7" i="23"/>
  <c r="O8" i="23"/>
  <c r="L15" i="21" s="1"/>
  <c r="J9" i="8"/>
  <c r="G26" i="21" s="1"/>
  <c r="X10" i="20"/>
  <c r="S14" i="20"/>
  <c r="S7" i="20"/>
  <c r="I7" i="8"/>
  <c r="F24" i="21" s="1"/>
  <c r="I12" i="8"/>
  <c r="J8" i="8"/>
  <c r="G25" i="21" s="1"/>
  <c r="N10" i="9"/>
  <c r="O9" i="9"/>
  <c r="S11" i="8"/>
  <c r="P28" i="21" s="1"/>
  <c r="O8" i="9"/>
  <c r="N7" i="9"/>
  <c r="O8" i="5"/>
  <c r="D42" i="21"/>
  <c r="J10" i="23"/>
  <c r="M7" i="23"/>
  <c r="J10" i="5"/>
  <c r="K9" i="5"/>
  <c r="J7" i="5"/>
  <c r="N16" i="36" l="1"/>
  <c r="P16" i="36"/>
  <c r="O16" i="36"/>
  <c r="M16" i="36"/>
  <c r="C43" i="14"/>
  <c r="J14" i="21"/>
  <c r="O18" i="36"/>
  <c r="N18" i="36"/>
  <c r="P18" i="36"/>
  <c r="M18" i="36"/>
  <c r="G17" i="21"/>
  <c r="J6" i="23"/>
  <c r="G13" i="21" s="1"/>
  <c r="F14" i="21"/>
  <c r="I6" i="23"/>
  <c r="F13" i="21" s="1"/>
  <c r="U10" i="23"/>
  <c r="R17" i="21" s="1"/>
  <c r="Y10" i="20"/>
  <c r="K10" i="8"/>
  <c r="H27" i="21" s="1"/>
  <c r="W7" i="24"/>
  <c r="K9" i="8"/>
  <c r="H26" i="21" s="1"/>
  <c r="O7" i="9"/>
  <c r="P9" i="9"/>
  <c r="K8" i="8"/>
  <c r="H25" i="21" s="1"/>
  <c r="J7" i="8"/>
  <c r="G24" i="21" s="1"/>
  <c r="J12" i="8"/>
  <c r="X7" i="20"/>
  <c r="X14" i="20"/>
  <c r="G6" i="21"/>
  <c r="P8" i="5"/>
  <c r="K10" i="23"/>
  <c r="J12" i="23"/>
  <c r="L9" i="5"/>
  <c r="K7" i="5"/>
  <c r="H6" i="21" s="1"/>
  <c r="K10" i="5"/>
  <c r="P8" i="9"/>
  <c r="O10" i="9"/>
  <c r="P8" i="23"/>
  <c r="M15" i="21" s="1"/>
  <c r="D16" i="14" s="1"/>
  <c r="N7" i="23"/>
  <c r="W11" i="8"/>
  <c r="T28" i="21" s="1"/>
  <c r="E29" i="14" s="1"/>
  <c r="I12" i="23"/>
  <c r="V10" i="23" l="1"/>
  <c r="S17" i="21" s="1"/>
  <c r="K14" i="21"/>
  <c r="H17" i="21"/>
  <c r="K6" i="23"/>
  <c r="H13" i="21" s="1"/>
  <c r="L10" i="8"/>
  <c r="I27" i="21" s="1"/>
  <c r="Y14" i="20"/>
  <c r="X7" i="24"/>
  <c r="Y7" i="20"/>
  <c r="Y11" i="8"/>
  <c r="V28" i="21" s="1"/>
  <c r="B29" i="14" s="1"/>
  <c r="B28" i="36" s="1"/>
  <c r="O7" i="23"/>
  <c r="L10" i="23"/>
  <c r="K12" i="23"/>
  <c r="K7" i="8"/>
  <c r="H24" i="21" s="1"/>
  <c r="L8" i="8"/>
  <c r="I25" i="21" s="1"/>
  <c r="K12" i="8"/>
  <c r="P10" i="9"/>
  <c r="Q9" i="9"/>
  <c r="M9" i="5"/>
  <c r="L7" i="5"/>
  <c r="I6" i="21" s="1"/>
  <c r="L10" i="5"/>
  <c r="F42" i="21"/>
  <c r="L9" i="8"/>
  <c r="I26" i="21" s="1"/>
  <c r="Q8" i="23"/>
  <c r="N15" i="21" s="1"/>
  <c r="Q8" i="9"/>
  <c r="P7" i="9"/>
  <c r="W10" i="23"/>
  <c r="T17" i="21" s="1"/>
  <c r="Q8" i="5"/>
  <c r="G42" i="21"/>
  <c r="H28" i="36" l="1"/>
  <c r="F28" i="36"/>
  <c r="G28" i="36"/>
  <c r="O6" i="23"/>
  <c r="L13" i="21" s="1"/>
  <c r="L14" i="21"/>
  <c r="I17" i="21"/>
  <c r="L6" i="23"/>
  <c r="I13" i="21" s="1"/>
  <c r="M10" i="8"/>
  <c r="J27" i="21" s="1"/>
  <c r="J90" i="30"/>
  <c r="Y7" i="24"/>
  <c r="R8" i="9"/>
  <c r="Q7" i="9"/>
  <c r="N9" i="5"/>
  <c r="M7" i="5"/>
  <c r="J6" i="21" s="1"/>
  <c r="M10" i="5"/>
  <c r="Q10" i="9"/>
  <c r="R9" i="9"/>
  <c r="Q7" i="23"/>
  <c r="P7" i="23"/>
  <c r="O12" i="23"/>
  <c r="M10" i="23"/>
  <c r="L12" i="23"/>
  <c r="R8" i="5"/>
  <c r="H42" i="21"/>
  <c r="X10" i="23"/>
  <c r="U17" i="21" s="1"/>
  <c r="E18" i="14" s="1"/>
  <c r="R8" i="23"/>
  <c r="O15" i="21" s="1"/>
  <c r="M9" i="8"/>
  <c r="J26" i="21" s="1"/>
  <c r="L7" i="8"/>
  <c r="I24" i="21" s="1"/>
  <c r="M8" i="8"/>
  <c r="J25" i="21" s="1"/>
  <c r="L12" i="8"/>
  <c r="M28" i="36" l="1"/>
  <c r="N28" i="36"/>
  <c r="P28" i="36"/>
  <c r="O28" i="36"/>
  <c r="J17" i="21"/>
  <c r="M6" i="23"/>
  <c r="J13" i="21" s="1"/>
  <c r="N14" i="21"/>
  <c r="Q6" i="23"/>
  <c r="N13" i="21" s="1"/>
  <c r="P6" i="23"/>
  <c r="M13" i="21" s="1"/>
  <c r="M14" i="21"/>
  <c r="D15" i="14" s="1"/>
  <c r="N10" i="8"/>
  <c r="K27" i="21" s="1"/>
  <c r="T7" i="23"/>
  <c r="P12" i="23"/>
  <c r="N9" i="8"/>
  <c r="K26" i="21" s="1"/>
  <c r="Q12" i="23"/>
  <c r="R7" i="23"/>
  <c r="O9" i="5"/>
  <c r="N10" i="5"/>
  <c r="N7" i="5"/>
  <c r="K6" i="21" s="1"/>
  <c r="S9" i="9"/>
  <c r="S8" i="5"/>
  <c r="S8" i="23"/>
  <c r="P15" i="21" s="1"/>
  <c r="M12" i="8"/>
  <c r="M7" i="8"/>
  <c r="J24" i="21" s="1"/>
  <c r="N8" i="8"/>
  <c r="K25" i="21" s="1"/>
  <c r="N10" i="23"/>
  <c r="M12" i="23"/>
  <c r="I42" i="21"/>
  <c r="S8" i="9"/>
  <c r="R7" i="9"/>
  <c r="R10" i="9"/>
  <c r="K17" i="21" l="1"/>
  <c r="D18" i="14" s="1"/>
  <c r="N6" i="23"/>
  <c r="K13" i="21" s="1"/>
  <c r="D14" i="14" s="1"/>
  <c r="O14" i="21"/>
  <c r="R6" i="23"/>
  <c r="O13" i="21" s="1"/>
  <c r="Q14" i="21"/>
  <c r="O10" i="8"/>
  <c r="L27" i="21" s="1"/>
  <c r="Y10" i="23"/>
  <c r="V17" i="21" s="1"/>
  <c r="B18" i="14" s="1"/>
  <c r="B17" i="36" s="1"/>
  <c r="S7" i="23"/>
  <c r="R12" i="23"/>
  <c r="U7" i="23"/>
  <c r="T8" i="9"/>
  <c r="S10" i="9"/>
  <c r="T8" i="5"/>
  <c r="N12" i="23"/>
  <c r="S7" i="9"/>
  <c r="T9" i="9"/>
  <c r="O9" i="8"/>
  <c r="L26" i="21" s="1"/>
  <c r="J42" i="21"/>
  <c r="P9" i="5"/>
  <c r="O10" i="5"/>
  <c r="O7" i="5"/>
  <c r="L6" i="21" s="1"/>
  <c r="T8" i="23"/>
  <c r="Q15" i="21" s="1"/>
  <c r="N12" i="8"/>
  <c r="O8" i="8"/>
  <c r="L25" i="21" s="1"/>
  <c r="N7" i="8"/>
  <c r="K24" i="21" s="1"/>
  <c r="P10" i="8" l="1"/>
  <c r="M27" i="21" s="1"/>
  <c r="D28" i="14" s="1"/>
  <c r="P14" i="21"/>
  <c r="S6" i="23"/>
  <c r="P13" i="21" s="1"/>
  <c r="R14" i="21"/>
  <c r="H17" i="36"/>
  <c r="G17" i="36"/>
  <c r="F17" i="36"/>
  <c r="T6" i="23"/>
  <c r="Q13" i="21" s="1"/>
  <c r="J47" i="30"/>
  <c r="U8" i="23"/>
  <c r="R15" i="21" s="1"/>
  <c r="V7" i="23"/>
  <c r="K42" i="21"/>
  <c r="U8" i="5"/>
  <c r="X7" i="23"/>
  <c r="S12" i="23"/>
  <c r="Q9" i="5"/>
  <c r="P10" i="5"/>
  <c r="P7" i="5"/>
  <c r="M6" i="21" s="1"/>
  <c r="P9" i="8"/>
  <c r="M26" i="21" s="1"/>
  <c r="D27" i="14" s="1"/>
  <c r="U8" i="9"/>
  <c r="T10" i="9"/>
  <c r="T7" i="9"/>
  <c r="P8" i="8"/>
  <c r="M25" i="21" s="1"/>
  <c r="D26" i="14" s="1"/>
  <c r="O12" i="8"/>
  <c r="O7" i="8"/>
  <c r="L24" i="21" s="1"/>
  <c r="Q10" i="8"/>
  <c r="N27" i="21" s="1"/>
  <c r="U9" i="9"/>
  <c r="T12" i="23"/>
  <c r="U14" i="21" l="1"/>
  <c r="O17" i="36"/>
  <c r="M17" i="36"/>
  <c r="N17" i="36"/>
  <c r="P17" i="36"/>
  <c r="S14" i="21"/>
  <c r="U6" i="23"/>
  <c r="R13" i="21" s="1"/>
  <c r="W7" i="23"/>
  <c r="U7" i="9"/>
  <c r="V9" i="9"/>
  <c r="P7" i="8"/>
  <c r="M24" i="21" s="1"/>
  <c r="D25" i="14" s="1"/>
  <c r="Q8" i="8"/>
  <c r="N25" i="21" s="1"/>
  <c r="P12" i="8"/>
  <c r="D7" i="14"/>
  <c r="L42" i="21"/>
  <c r="V8" i="23"/>
  <c r="S15" i="21" s="1"/>
  <c r="Q9" i="8"/>
  <c r="N26" i="21" s="1"/>
  <c r="R9" i="5"/>
  <c r="Q10" i="5"/>
  <c r="Q7" i="5"/>
  <c r="N6" i="21" s="1"/>
  <c r="V8" i="5"/>
  <c r="R10" i="8"/>
  <c r="O27" i="21" s="1"/>
  <c r="V8" i="9"/>
  <c r="U10" i="9"/>
  <c r="U12" i="23"/>
  <c r="V6" i="23" l="1"/>
  <c r="S13" i="21" s="1"/>
  <c r="T14" i="21"/>
  <c r="E15" i="14" s="1"/>
  <c r="Y7" i="23"/>
  <c r="W8" i="9"/>
  <c r="V10" i="9"/>
  <c r="V7" i="9"/>
  <c r="W9" i="9"/>
  <c r="S10" i="8"/>
  <c r="P27" i="21" s="1"/>
  <c r="S9" i="5"/>
  <c r="R10" i="5"/>
  <c r="R7" i="5"/>
  <c r="O6" i="21" s="1"/>
  <c r="R8" i="8"/>
  <c r="O25" i="21" s="1"/>
  <c r="Q12" i="8"/>
  <c r="Q7" i="8"/>
  <c r="N24" i="21" s="1"/>
  <c r="R9" i="8"/>
  <c r="O26" i="21" s="1"/>
  <c r="W8" i="5"/>
  <c r="W8" i="23"/>
  <c r="T15" i="21" s="1"/>
  <c r="M42" i="21"/>
  <c r="D43" i="14" s="1"/>
  <c r="V12" i="23"/>
  <c r="V14" i="21" l="1"/>
  <c r="B15" i="14" s="1"/>
  <c r="B14" i="36" s="1"/>
  <c r="W6" i="23"/>
  <c r="T13" i="21" s="1"/>
  <c r="J35" i="30"/>
  <c r="N42" i="21"/>
  <c r="T9" i="5"/>
  <c r="S7" i="5"/>
  <c r="P6" i="21" s="1"/>
  <c r="S10" i="5"/>
  <c r="S8" i="8"/>
  <c r="P25" i="21" s="1"/>
  <c r="R7" i="8"/>
  <c r="O24" i="21" s="1"/>
  <c r="R12" i="8"/>
  <c r="T10" i="8"/>
  <c r="Q27" i="21" s="1"/>
  <c r="X8" i="23"/>
  <c r="X8" i="9"/>
  <c r="W10" i="9"/>
  <c r="X8" i="5"/>
  <c r="W7" i="9"/>
  <c r="X9" i="9"/>
  <c r="W12" i="23"/>
  <c r="S9" i="8"/>
  <c r="P26" i="21" s="1"/>
  <c r="H14" i="36" l="1"/>
  <c r="F14" i="36"/>
  <c r="G14" i="36"/>
  <c r="U15" i="21"/>
  <c r="E16" i="14" s="1"/>
  <c r="X6" i="23"/>
  <c r="U13" i="21" s="1"/>
  <c r="E14" i="14" s="1"/>
  <c r="Y8" i="23"/>
  <c r="Y8" i="5"/>
  <c r="X12" i="23"/>
  <c r="U10" i="8"/>
  <c r="R27" i="21" s="1"/>
  <c r="U9" i="5"/>
  <c r="T7" i="5"/>
  <c r="Q6" i="21" s="1"/>
  <c r="T10" i="5"/>
  <c r="X7" i="9"/>
  <c r="Y9" i="9"/>
  <c r="T9" i="8"/>
  <c r="Q26" i="21" s="1"/>
  <c r="X10" i="9"/>
  <c r="Y8" i="9"/>
  <c r="O42" i="21"/>
  <c r="S12" i="8"/>
  <c r="T8" i="8"/>
  <c r="Q25" i="21" s="1"/>
  <c r="S7" i="8"/>
  <c r="P24" i="21" s="1"/>
  <c r="V15" i="21" l="1"/>
  <c r="B16" i="14" s="1"/>
  <c r="B15" i="36" s="1"/>
  <c r="Y6" i="23"/>
  <c r="O14" i="36"/>
  <c r="N14" i="36"/>
  <c r="M14" i="36"/>
  <c r="P14" i="36"/>
  <c r="J39" i="30"/>
  <c r="J99" i="30"/>
  <c r="J2" i="30"/>
  <c r="J93" i="30"/>
  <c r="T12" i="8"/>
  <c r="U8" i="8"/>
  <c r="R25" i="21" s="1"/>
  <c r="T7" i="8"/>
  <c r="Q24" i="21" s="1"/>
  <c r="Y12" i="23"/>
  <c r="Y10" i="9"/>
  <c r="V10" i="8"/>
  <c r="S27" i="21" s="1"/>
  <c r="V9" i="5"/>
  <c r="U7" i="5"/>
  <c r="R6" i="21" s="1"/>
  <c r="U10" i="5"/>
  <c r="U9" i="8"/>
  <c r="R26" i="21" s="1"/>
  <c r="V13" i="21"/>
  <c r="B14" i="14" s="1"/>
  <c r="B13" i="36" s="1"/>
  <c r="P42" i="21"/>
  <c r="Y7" i="9"/>
  <c r="H15" i="36" l="1"/>
  <c r="H13" i="36" s="1"/>
  <c r="G15" i="36"/>
  <c r="G13" i="36" s="1"/>
  <c r="F15" i="36"/>
  <c r="V9" i="8"/>
  <c r="S26" i="21" s="1"/>
  <c r="U7" i="8"/>
  <c r="R24" i="21" s="1"/>
  <c r="U12" i="8"/>
  <c r="V8" i="8"/>
  <c r="S25" i="21" s="1"/>
  <c r="Q42" i="21"/>
  <c r="W9" i="5"/>
  <c r="V7" i="5"/>
  <c r="S6" i="21" s="1"/>
  <c r="V10" i="5"/>
  <c r="W10" i="8"/>
  <c r="T27" i="21" s="1"/>
  <c r="E28" i="14" s="1"/>
  <c r="E13" i="36" l="1"/>
  <c r="N15" i="36"/>
  <c r="N13" i="36" s="1"/>
  <c r="M15" i="36"/>
  <c r="M13" i="36" s="1"/>
  <c r="P15" i="36"/>
  <c r="P13" i="36" s="1"/>
  <c r="O15" i="36"/>
  <c r="O13" i="36" s="1"/>
  <c r="F13" i="36"/>
  <c r="D13" i="36"/>
  <c r="Y10" i="8"/>
  <c r="V27" i="21" s="1"/>
  <c r="B28" i="14" s="1"/>
  <c r="B27" i="36" s="1"/>
  <c r="V7" i="8"/>
  <c r="S24" i="21" s="1"/>
  <c r="W8" i="8"/>
  <c r="T25" i="21" s="1"/>
  <c r="V12" i="8"/>
  <c r="R42" i="21"/>
  <c r="W9" i="8"/>
  <c r="T26" i="21" s="1"/>
  <c r="X9" i="5"/>
  <c r="W10" i="5"/>
  <c r="W7" i="5"/>
  <c r="T6" i="21" s="1"/>
  <c r="H27" i="36" l="1"/>
  <c r="F27" i="36"/>
  <c r="G27" i="36"/>
  <c r="K13" i="36"/>
  <c r="L13" i="36"/>
  <c r="C13" i="36"/>
  <c r="J13" i="36"/>
  <c r="I13" i="36"/>
  <c r="J86" i="30"/>
  <c r="X9" i="8"/>
  <c r="U26" i="21" s="1"/>
  <c r="E27" i="14" s="1"/>
  <c r="Y9" i="5"/>
  <c r="X7" i="5"/>
  <c r="X10" i="5"/>
  <c r="S42" i="21"/>
  <c r="W12" i="8"/>
  <c r="X8" i="8"/>
  <c r="U25" i="21" s="1"/>
  <c r="E26" i="14" s="1"/>
  <c r="W7" i="8"/>
  <c r="T24" i="21" s="1"/>
  <c r="M27" i="36" l="1"/>
  <c r="N27" i="36"/>
  <c r="O27" i="36"/>
  <c r="P27" i="36"/>
  <c r="J8" i="30"/>
  <c r="T42" i="21"/>
  <c r="X12" i="8"/>
  <c r="X7" i="8"/>
  <c r="U24" i="21" s="1"/>
  <c r="E25" i="14" s="1"/>
  <c r="Y8" i="8"/>
  <c r="V25" i="21" s="1"/>
  <c r="B26" i="14" s="1"/>
  <c r="B25" i="36" s="1"/>
  <c r="U6" i="21"/>
  <c r="Y7" i="5"/>
  <c r="V6" i="21" s="1"/>
  <c r="Y10" i="5"/>
  <c r="Y9" i="8"/>
  <c r="V26" i="21" s="1"/>
  <c r="B27" i="14" s="1"/>
  <c r="B26" i="36" s="1"/>
  <c r="G25" i="36" l="1"/>
  <c r="G24" i="36" s="1"/>
  <c r="F25" i="36"/>
  <c r="H25" i="36"/>
  <c r="H26" i="36"/>
  <c r="G26" i="36"/>
  <c r="F26" i="36"/>
  <c r="J77" i="30"/>
  <c r="J156" i="30" s="1"/>
  <c r="J82" i="30"/>
  <c r="E7" i="14"/>
  <c r="Y7" i="8"/>
  <c r="V24" i="21" s="1"/>
  <c r="B25" i="14" s="1"/>
  <c r="B24" i="36" s="1"/>
  <c r="Y12" i="8"/>
  <c r="B7" i="14"/>
  <c r="B6" i="36" s="1"/>
  <c r="O26" i="36" l="1"/>
  <c r="M26" i="36"/>
  <c r="N26" i="36"/>
  <c r="P26" i="36"/>
  <c r="D24" i="36"/>
  <c r="G42" i="36"/>
  <c r="G43" i="36" s="1"/>
  <c r="H24" i="36"/>
  <c r="M25" i="36"/>
  <c r="M24" i="36" s="1"/>
  <c r="F24" i="36"/>
  <c r="O25" i="36"/>
  <c r="O24" i="36" s="1"/>
  <c r="N25" i="36"/>
  <c r="N24" i="36" s="1"/>
  <c r="P25" i="36"/>
  <c r="P24" i="36" s="1"/>
  <c r="E6" i="36"/>
  <c r="C6" i="36"/>
  <c r="D6" i="36"/>
  <c r="U42" i="21"/>
  <c r="E43" i="14" s="1"/>
  <c r="V42" i="21"/>
  <c r="L24" i="36" l="1"/>
  <c r="P42" i="36"/>
  <c r="I24" i="36"/>
  <c r="M42" i="36"/>
  <c r="J24" i="36"/>
  <c r="N42" i="36"/>
  <c r="K24" i="36"/>
  <c r="O42" i="36"/>
  <c r="E24" i="36"/>
  <c r="H42" i="36"/>
  <c r="H43" i="36" s="1"/>
  <c r="C24" i="36"/>
  <c r="F42" i="36"/>
  <c r="F43" i="36" s="1"/>
  <c r="W12" i="21"/>
  <c r="B43" i="14"/>
  <c r="B42" i="36" s="1"/>
  <c r="W11" i="21"/>
  <c r="W9" i="21"/>
  <c r="W16" i="21"/>
  <c r="W21" i="21"/>
  <c r="W40" i="21"/>
  <c r="W39" i="21"/>
  <c r="W41" i="21"/>
  <c r="W37" i="21"/>
  <c r="W33" i="21"/>
  <c r="W18" i="21"/>
  <c r="W23" i="21"/>
  <c r="W34" i="21"/>
  <c r="W36" i="21"/>
  <c r="W10" i="21"/>
  <c r="W20" i="21"/>
  <c r="W32" i="21"/>
  <c r="W19" i="21"/>
  <c r="W22" i="21"/>
  <c r="W35" i="21"/>
  <c r="W17" i="21"/>
  <c r="W14" i="21"/>
  <c r="W31" i="21"/>
  <c r="W27" i="21"/>
  <c r="W30" i="21"/>
  <c r="W29" i="21"/>
  <c r="W15" i="21"/>
  <c r="W7" i="21"/>
  <c r="W13" i="21"/>
  <c r="W28" i="21"/>
  <c r="W6" i="21"/>
  <c r="W8" i="21"/>
  <c r="W26" i="21"/>
  <c r="W24" i="21"/>
  <c r="W25" i="21"/>
  <c r="N43" i="36" l="1"/>
  <c r="J42" i="36"/>
  <c r="O43" i="36"/>
  <c r="K42" i="36"/>
  <c r="M43" i="36"/>
  <c r="I42" i="36"/>
  <c r="P43" i="36"/>
  <c r="L42" i="36"/>
  <c r="D42" i="36"/>
  <c r="E42" i="36"/>
  <c r="C42" i="36"/>
  <c r="W42" i="21"/>
  <c r="C44" i="14"/>
  <c r="D44" i="14"/>
  <c r="E44" i="14"/>
</calcChain>
</file>

<file path=xl/sharedStrings.xml><?xml version="1.0" encoding="utf-8"?>
<sst xmlns="http://schemas.openxmlformats.org/spreadsheetml/2006/main" count="2850" uniqueCount="1378">
  <si>
    <t>Instructivo</t>
  </si>
  <si>
    <t>Directrices Generales</t>
  </si>
  <si>
    <t>En esta hoja se define que es la Estimación de Costos y se profundiza sobre  conceptos importantes del proceso como lo son:  Insumos para elaborar la estimación de costos, su alcance  y se realizan consideraciones relevantes en relación con su elaboración, entre otros aspectos.</t>
  </si>
  <si>
    <t>Matriz de Portafolio Programas  y Proyectos</t>
  </si>
  <si>
    <t>Esta hoja se relaciona la versión de portafolio de programas y proyectos a la que esta estimación de costos.
La matriz conecta los ejes, estrategias, programas, proyectos, problemas, resultados esperados, y productos identificados con el costo estimado para su desarrollo.</t>
  </si>
  <si>
    <t>Glosario de Categoría de Costos cárnicos</t>
  </si>
  <si>
    <t xml:space="preserve">Esta hoja contiene las definiciones de los términos empleados en la pestaña de categorías de costos </t>
  </si>
  <si>
    <t>Categorías de Costos</t>
  </si>
  <si>
    <t>Esta hoja contiene los parámetros empleados de manera recurrente para realizar la estimación de costos.  Los parámetros son datos que se consideran como orientativos  para evaluar un rubro o concepto. 
En este sentido la hoja de categoría de costos, es en la cual se parametrizan diferentes costos asociados al sector, como son honorarios, desplazamientos, infraestructura, actividades grupales, rubros de promoción y comunicación entre otros.</t>
  </si>
  <si>
    <t>Estimación de Costos Anualizada</t>
  </si>
  <si>
    <t>Campo</t>
  </si>
  <si>
    <t>Descripción</t>
  </si>
  <si>
    <t>PROGRAMA - PROYECTO /AÑO (0 al 20)</t>
  </si>
  <si>
    <t>0/ 1/ 2/3 …. /20</t>
  </si>
  <si>
    <t>TOTALES</t>
  </si>
  <si>
    <t>PART EN TOTAL</t>
  </si>
  <si>
    <t>Contiene el aporte porcentual de cada programa, proyecto al costo estimado total. Se realiza haciendo una división simple entre el valor arrojado para cada programa, proyecto y el total. El valor arrojado es un porcentaje.</t>
  </si>
  <si>
    <t>Estimación a corto, mediano y largo plazo</t>
  </si>
  <si>
    <t>En esta hoja se agrupan los resultados obtenidos en la estimación de costos en períodos denominados corto, mediano y largo plazo. 
Los campos que conformar la hoja de estimación a corto, mediano y largo plazo y su descripción es la siguiente:</t>
  </si>
  <si>
    <t>PROGRAMA - PROYECTO /AÑO (0- 20)</t>
  </si>
  <si>
    <t>Total ( Millones de Pesos)</t>
  </si>
  <si>
    <t xml:space="preserve">Se vincula los valores arrojados en la hoja del estimación detallada por programa y proyecto. </t>
  </si>
  <si>
    <t>Corto Plazo
 (0 al 4 año)</t>
  </si>
  <si>
    <t>Mediano Plazo
 (5 al 12 año)</t>
  </si>
  <si>
    <t>Largo Plazo
 (13 al 20 año)</t>
  </si>
  <si>
    <t>%</t>
  </si>
  <si>
    <r>
      <t xml:space="preserve">Representa el </t>
    </r>
    <r>
      <rPr>
        <b/>
        <sz val="11"/>
        <color theme="1"/>
        <rFont val="Arial"/>
        <family val="2"/>
      </rPr>
      <t xml:space="preserve">porcentaje o participación </t>
    </r>
    <r>
      <rPr>
        <sz val="12"/>
        <color theme="1"/>
        <rFont val="Arial"/>
        <family val="2"/>
      </rPr>
      <t xml:space="preserve"> del programa y proyectos, frente al 100% del costo estimado del Plan de acción.</t>
    </r>
  </si>
  <si>
    <t>Programa</t>
  </si>
  <si>
    <t>Proyecto</t>
  </si>
  <si>
    <t>Programación</t>
  </si>
  <si>
    <t>Años en los cuales se ejecutaría cada proyecto</t>
  </si>
  <si>
    <t>0, 1, 2, …20</t>
  </si>
  <si>
    <t>Total</t>
  </si>
  <si>
    <t>Contiene el valor estimado del proyecto, durante su ejecución y se obtiene de la sumatoria horizontal para cada una de estas.</t>
  </si>
  <si>
    <t>P. ej. Costo Estimado Proyecto 1.</t>
  </si>
  <si>
    <t xml:space="preserve">Relaciona los conceptos que se tuvieron en cuenta para la estimación de costos, identificando  según sea el caso la cantidad, unidad (persona, viaje, semanas), valor unitario, dedicación en porcentaje y tiempo en meses para el recurso humano requerido, y total año, producto de la multiplicación de los ítems mencionados según corresponda. 
Para cada uno de los proyectos se resumen los supuestos empleados, los rubros empleados y para los casos que se considere el detalle del proceso estimado. </t>
  </si>
  <si>
    <t>DIRECTRICES GENERALES</t>
  </si>
  <si>
    <t>Esta hoja se define que es la Estimación de Costos y se profundiza sobre  conceptos importantes para el proceso. como lo son:  Insumos para la estimación, su alcance  y se realizan consideraciones relevantes en relación con su elaboración.</t>
  </si>
  <si>
    <t xml:space="preserve">Estimación de Costos para la implementación del Portafolio de Programas y Proyectos : </t>
  </si>
  <si>
    <t>Es la suma de los recursos financieros necesarios para desarrollar los proyectos que conforman el Plan de acción.  La estimación de costos es un componente del portafolio de programas y proyectos y el requerimientos de costos es un ejercicio que se realiza de manera preliminar e indicativa, como un valor base para los actores, que debe ser actualizado y ajustado por los actores de acuerdo al desarrollo de los proyectos.  (UPRA, 2021)</t>
  </si>
  <si>
    <t>Insumos para elaborar la Estimación de Costos :</t>
  </si>
  <si>
    <t>El proceso de estimación cuantitativa se realiza a partir de los insumos arrojados en la fase estratégica que son: metas construidas en prospectiva, línea base, lineamientos de política, portafolio de programas y proyectos, productos esperados para cada proyecto, el cronograma de Implementación, así como también la identificación del entorno político relacionado a cada proyecto.  A partir de estos insumos, se efectúa el proceso de costeo para cada proyecto.</t>
  </si>
  <si>
    <t>Alcance de la Estimación de Costos</t>
  </si>
  <si>
    <t>Consideraciones para tener en cuenta sobre la Estimación de Costos.</t>
  </si>
  <si>
    <t xml:space="preserve">El ciclo de vida de todo proyecto se estructura en torno a las fases de Planificación, implementación y seguimiento. 
En el portafolio se plantean actividades, pero no se llega al detalle de una ficha de inversión.
El proceso de cuantificación de costos se realiza partiendo de los resultados esperados o bien de la realización de supuestos relacionados con diferentes aspectos, tales como los períodos de implementación, regiones productoras, agricultores a intervenir, entre otros.  
Para esto,  se definen en primer lugar unas categorías de costos, que es un elemento en el cual se parametrizan diferentes costos asociados al sector, como son honorarios, desplazamientos, infraestructura, actividades grupales, rubros de promoción y comunicación, entre otros.  En la categoría de costos también se encuentra el detalle de algunas  estimaciones realizadas. 
Los valores obtenidos son indicativos, ya que, aunque se costea la totalidad de proyectos, en algunos casos, no se estimó la demanda de recursos de implementación y fortalecimiento, los cuales dependen de estudios, diseños, estrategias para su desarrollo, por lo que no se cuentan con elementos suficientes para presupuestar otras etapas de los proyectos.
Por otro lado, en la mayoría de los proyectos también se consideran otras formas para su desarrollo que puedan ser contempladas por los actores y no han sido estimadas en este ejercicio, por lo que son calificadas como rubros por definir.
La etapa de estimaciones de acciones para desarrollar los proyectos es posterior y debe ser desarrollada por los actores de interés de cada proyecto o temática.
</t>
  </si>
  <si>
    <t>Criterios para elaborar la Estimación de Costos:</t>
  </si>
  <si>
    <t xml:space="preserve">Globalidad: El es  "global" y a través de él se identifican  las necesidades de recursos más generales.
Recursos Escasos: Los recursos para financiar el plan de acción son escasos. Las estimaciones de recursos relacionadas con programas se basan en recursos destinados a programas similares.
Corresponsabilidad: Se busca promover el sentido de la responsabilidad compartida entre los actores para la puesta en marcha del plan de acción y su necesidad de recursos.
Gradualidad en el costo de los recursos: Debido a la limitación en los recursos públicos, se considera realizar la intervención de manera gradual. 
Fuentes de Información confiables: Uso de datos formales del sector
</t>
  </si>
  <si>
    <t>Elementos a tener en cuenta en la Estimación de Costos</t>
  </si>
  <si>
    <t>a. Formato</t>
  </si>
  <si>
    <t>b. Unidad de Medida Definida</t>
  </si>
  <si>
    <t>La unidad de medida  para presupuestar son los proyectos, por lo que se costeará cada una de éstos.</t>
  </si>
  <si>
    <t>c. Técnicas de costeo</t>
  </si>
  <si>
    <t>Para la elaboración de las estimaciones de costos realizadas se emplean algunas de estas técnicas. En el proceso se puede intuir o definir el uso de una o varias técnicas de costeo para la unidad de medida definida.
1. Juicio de expertos: Aporta una perspectiva valiosa  para la elaboración de la categoría de costos y los rubros empleados en el desarrollo de los proyectos y sus actividades;  permite contar con información de proyectos similares anteriores y puede utilizarse para determinar si es conveniente combinar métodos de estimación, así como también orienta en conciliar diferencias entre ellos.
2. Estimación análoga: Utiliza el costo real de proyectos similares anteriores como base para estimar el costo del proyecto actual. 
3. Estimación paramétrica: Consiste en utilizar información histórica para estimar los costos futuros.
4. Estimación ascendente: Estima el costo de cada paquete de trabajo o actividad, con el mayor grado de detalle posible, de manera que el costo se resume en niveles superiores.”</t>
  </si>
  <si>
    <t>Fuente: Elaboración Propia</t>
  </si>
  <si>
    <t>Valor</t>
  </si>
  <si>
    <t>Unidad</t>
  </si>
  <si>
    <t>Rodamiento</t>
  </si>
  <si>
    <t>Promedio</t>
  </si>
  <si>
    <t>Cantidad</t>
  </si>
  <si>
    <t>Pautas redes sociales</t>
  </si>
  <si>
    <t>Plan de medios radial regional</t>
  </si>
  <si>
    <t>Pautas en redes sociales</t>
  </si>
  <si>
    <r>
      <t xml:space="preserve">Contiene los valores totales en </t>
    </r>
    <r>
      <rPr>
        <b/>
        <sz val="11"/>
        <color theme="1"/>
        <rFont val="Arial"/>
        <family val="2"/>
      </rPr>
      <t xml:space="preserve">pesos </t>
    </r>
    <r>
      <rPr>
        <sz val="12"/>
        <color theme="1"/>
        <rFont val="Arial"/>
        <family val="2"/>
      </rPr>
      <t>constantes de 2022 para cada programa, proyecto  y totales, a partir de la sumatoria horizontal.</t>
    </r>
  </si>
  <si>
    <t>Nombre del programa al que corresponde el programa, se vincula de los nombres de los 10 programas dispuestos en la hoja "Estimación de Costos Anualizada"</t>
  </si>
  <si>
    <t>Contiene los  valores en pesos constantes de 2022 de cada proyecto acorde con los conceptos presupuestados y su ejecución en el tiempo. Estos valores están vinculados desde los cuadros específicos para cada proyecto..</t>
  </si>
  <si>
    <t>30 personas</t>
  </si>
  <si>
    <t xml:space="preserve">Fecha de inicio </t>
  </si>
  <si>
    <t>Por definir</t>
  </si>
  <si>
    <t>Concepto</t>
  </si>
  <si>
    <t>Dedicación</t>
  </si>
  <si>
    <t>Meses</t>
  </si>
  <si>
    <t>Total año</t>
  </si>
  <si>
    <t>Mesas de trabajo</t>
  </si>
  <si>
    <t>Global</t>
  </si>
  <si>
    <t>Mesas de trabajo virtuales</t>
  </si>
  <si>
    <t>Viáticos Internacional</t>
  </si>
  <si>
    <t>Cursos cortos</t>
  </si>
  <si>
    <t>Cursos cortos virtuales</t>
  </si>
  <si>
    <t>Cursos libres virtuales</t>
  </si>
  <si>
    <t>Equipo humano</t>
  </si>
  <si>
    <t>Desplazamientos, viáticos del equipo humano</t>
  </si>
  <si>
    <t>Stand de promoción y divulgación en eventos regionales</t>
  </si>
  <si>
    <t>Campaña publicitaria nacional</t>
  </si>
  <si>
    <t>Ruedas de negocios virtuales</t>
  </si>
  <si>
    <t>Otros mecanismos de posicionamiento</t>
  </si>
  <si>
    <t xml:space="preserve">Total </t>
  </si>
  <si>
    <t xml:space="preserve">Se estima 12 mesas de trabajo presencial y virtuales, 4 talleres y/o eventos de divulgación nacionales, 2 talleres y/o eventos por región, 2 talleres y/o eventos prácticos por región. Se estima compra de plataformas de base de datos, 4 stands de promoción y divulgación nacional y 7 regionales, un monto global para pautas en redes sociales, 1 campaña publicitaria nacional, 2 ferias comerciales nacionales, 7 ruedas de negocios presenciales y 7 virtuales.  Se estima incentivar al desarrollo de marcas para 10 empresas anualmente, 5 micro, 3 pequeñas y 2 medianas empresas para intervenir 10 empresas anualmente, , el valor estimado se halla de acuerdo a la Resolución 957 del 2019  de la DIAN, relacionado con la clasificación de las empresas por el valor de ingresos, en micro, pequeñas y medianas, se tomó el valor de los ingresos  y se estimó un porcentaje del 3%, 1% y 0.2%, partiendo de este valor, se considero un incentivo de 40%, 25% y 20% respectivamente. Se considera por presupuestar otros mecanismos de posicionamiento. Se estima un equipo humano  de 5 personas con un salario promedio mensual de $5.464.475 por 12 meses, se estima desplazamientos de 10 viajes con sus tiquetes, viáticos y desplazamientos. </t>
  </si>
  <si>
    <t xml:space="preserve">Tabla. Estimación de costos por proyecto (COP del 2022) </t>
  </si>
  <si>
    <t>1. Incremento del consumo de maíz nacional.</t>
  </si>
  <si>
    <t>1.1. Aumento de la participación del maíz nacional en el mercado de consumo animal.</t>
  </si>
  <si>
    <t>Talleres y/o eventos de divulgación nacionales y/o regionales</t>
  </si>
  <si>
    <t>Talleres y/o eventos de divulgación nacionales y/o regionales virtuales</t>
  </si>
  <si>
    <t>Gira técnica</t>
  </si>
  <si>
    <t>Ferias comerciales</t>
  </si>
  <si>
    <t>50 asistentes</t>
  </si>
  <si>
    <t>Por muestra</t>
  </si>
  <si>
    <t>%/dedicación</t>
  </si>
  <si>
    <t>Plataformas de información</t>
  </si>
  <si>
    <t>Otras formas de aumento</t>
  </si>
  <si>
    <t>30 asistentes</t>
  </si>
  <si>
    <t>5 empresas/personas</t>
  </si>
  <si>
    <t>persona/semana</t>
  </si>
  <si>
    <t>Promedio salario</t>
  </si>
  <si>
    <t>Campañas Institucionales</t>
  </si>
  <si>
    <t>EJE ESTRUCTURAL</t>
  </si>
  <si>
    <t>OBJETIVO ESTRATÉGICO</t>
  </si>
  <si>
    <t>PROGRAMA</t>
  </si>
  <si>
    <t>PROYECTO</t>
  </si>
  <si>
    <t xml:space="preserve">EE1. Competitividad, productividad y especialización regional </t>
  </si>
  <si>
    <t>OE1. Fortalecer el mercado y el consumo de maíz.</t>
  </si>
  <si>
    <t>2. Mejoramiento productivo del cultivo de maíz.</t>
  </si>
  <si>
    <t>OE3. Fortalecer la especialización regional.</t>
  </si>
  <si>
    <t xml:space="preserve">3. Generación y consolidación de encadenamientos regionales para la cadena de maíz. </t>
  </si>
  <si>
    <t>3.1. Promoción y fortalecimiento de organizaciones de economía solidaria en la cadena de maíz.</t>
  </si>
  <si>
    <t>OE3. Fortalecer la especialización regional</t>
  </si>
  <si>
    <t>3.2. Promoción de la integración y las alianzas estratégicas regionales en la cadena de maíz.</t>
  </si>
  <si>
    <t>EE2. Gestión ambiental</t>
  </si>
  <si>
    <t xml:space="preserve">OE4. Mejorar el uso del agua y el suelo asociado al cultivo de maíz. </t>
  </si>
  <si>
    <t xml:space="preserve">4. Mejora de la gestión del agua y del suelo en el cultivo de maíz. </t>
  </si>
  <si>
    <t>4.1. Contribución a la gestión del ordenamiento ambiental, fuera de la frontera agrícola.</t>
  </si>
  <si>
    <t>4.2. Promoción del manejo eficiente del suelo y del agua, en la producción de maíz.</t>
  </si>
  <si>
    <t>OE5. Fortalecer el compromiso ambiental de la cadena.</t>
  </si>
  <si>
    <t>5.1. Mejora del desempeño ambiental de la cadena de maíz.</t>
  </si>
  <si>
    <t>EE3. Desarrollo social</t>
  </si>
  <si>
    <t>OE6. Contribuir al mejoramiento del entorno social asociado a la cadena.</t>
  </si>
  <si>
    <t xml:space="preserve">6. Contribución al mejoramiento en las condiciones de vida de la población vinculada a la cadena de maíz. </t>
  </si>
  <si>
    <t>6.1  Promoción de la atención de las necesidades básicas de los actores vinculados a la cadena.</t>
  </si>
  <si>
    <t>6.2. Contribución al incremento del nivel educativo de los actores vinculados a la cadena.</t>
  </si>
  <si>
    <t>OE7. Fomentar el ordenamiento productivo y social de la propiedad rural asociado a la cadena.</t>
  </si>
  <si>
    <t>7. Contribución al ordenamiento productivo y social de la propiedad.</t>
  </si>
  <si>
    <t>7.1. Articulación con las políticas de ordenamiento productivo y social de la propiedad rural para el cultivo de maíz.</t>
  </si>
  <si>
    <t xml:space="preserve">7.2  Fortalecimiento en el acceso y la seguridad jurídica de los predios e inversiones para el cultivo de maíz. </t>
  </si>
  <si>
    <t>EE4. Capacidades institucionales</t>
  </si>
  <si>
    <t xml:space="preserve">OE8. Fortalecer la Ciencia, Tecnología e Innovación de la cadena  </t>
  </si>
  <si>
    <t>8. Fortalecimiento del desarrollo tecnológico y la innovación en la cadena de maíz.</t>
  </si>
  <si>
    <t>8.1. Fortalecimiento de los procesos I+D+i para la cadena de maíz y sus derivados.</t>
  </si>
  <si>
    <t>8. Fortalecimiento del desarrollo tecnológico y la innovación de la cadena.</t>
  </si>
  <si>
    <t>8.2. Fortalecimiento del talento humano en I+D+i, y en extensionismo agrícola e industrial.</t>
  </si>
  <si>
    <t>OE9. Fortalecer la organización, financiación, seguimiento y control de la cadena.</t>
  </si>
  <si>
    <t>9. Fortalecimiento de la gestión institucional de la cadena de maíz</t>
  </si>
  <si>
    <t>9.1. Fortalecimiento del Sistema de Inspección, Vigilancia y Control para la cadena de maíz.</t>
  </si>
  <si>
    <t>9. Fortalecimiento de la gestión institucional de la cadena de maíz.</t>
  </si>
  <si>
    <t>9.2. Diseño y mejora de los instrumentos de financiamiento, comercialización, gestión de riesgos y empresarización para la cadena de maíz.</t>
  </si>
  <si>
    <t>Por persona</t>
  </si>
  <si>
    <t>Costo anual</t>
  </si>
  <si>
    <t>Persona/promedio/mes</t>
  </si>
  <si>
    <t xml:space="preserve">Talleres y/ o eventos de divulgación nacionales y/o regionales </t>
  </si>
  <si>
    <t>Talleres y/o eventos de divulgación nacional y/o regional virtuales</t>
  </si>
  <si>
    <t>Ferias Comerciales</t>
  </si>
  <si>
    <t>Plataformas/ base de datos</t>
  </si>
  <si>
    <t xml:space="preserve"> Rueda de negocio nacional y regional presencial</t>
  </si>
  <si>
    <t>50 personas</t>
  </si>
  <si>
    <t>5 empresas y/o personas</t>
  </si>
  <si>
    <t>Certificaciones diferenciadoras</t>
  </si>
  <si>
    <t>Campaña publicitaria regional</t>
  </si>
  <si>
    <t>Plan de Medios radial regional</t>
  </si>
  <si>
    <t xml:space="preserve">Cursos cortos </t>
  </si>
  <si>
    <t>Tiquetes y viáticos</t>
  </si>
  <si>
    <t>Equipo en región</t>
  </si>
  <si>
    <t>Mensual</t>
  </si>
  <si>
    <t>Fecha de finalización</t>
  </si>
  <si>
    <t>Mes 12 Año 20</t>
  </si>
  <si>
    <t>Cursos libres</t>
  </si>
  <si>
    <t>Valor Global</t>
  </si>
  <si>
    <t>Por UPA</t>
  </si>
  <si>
    <t>40 personas</t>
  </si>
  <si>
    <t>Desarrolladores de plataformas de mercadeo</t>
  </si>
  <si>
    <t>Incentivo vivienda</t>
  </si>
  <si>
    <t>Incentivo servicios Públicos</t>
  </si>
  <si>
    <t>Valor promedio</t>
  </si>
  <si>
    <t>Valor global</t>
  </si>
  <si>
    <t>Otras formas de promoción</t>
  </si>
  <si>
    <t>Plan de medios regional</t>
  </si>
  <si>
    <t>Material promocional</t>
  </si>
  <si>
    <t>Cursos libres  virtuales</t>
  </si>
  <si>
    <t>Diplomado</t>
  </si>
  <si>
    <t>Diplomado virtual</t>
  </si>
  <si>
    <t>Otras formas de contribución</t>
  </si>
  <si>
    <t>Apoyos tecnológicos</t>
  </si>
  <si>
    <t>Persona/promedio</t>
  </si>
  <si>
    <t>Persona</t>
  </si>
  <si>
    <t>Convenios y Programas</t>
  </si>
  <si>
    <t>Incentivo a las Tics</t>
  </si>
  <si>
    <t>Incentivo conectividad</t>
  </si>
  <si>
    <t>Mes 7 del año 1</t>
  </si>
  <si>
    <t>Mes 12 del año 20</t>
  </si>
  <si>
    <t>Plan radial regional</t>
  </si>
  <si>
    <t>Otras formas de mejora</t>
  </si>
  <si>
    <t>Convenios y programas</t>
  </si>
  <si>
    <t>Incentivo a la formalización</t>
  </si>
  <si>
    <t>Incentivo al emprendimiento</t>
  </si>
  <si>
    <t>Mes 12 del año 19</t>
  </si>
  <si>
    <t>Material de divulgación</t>
  </si>
  <si>
    <t>Otras formas de articulación</t>
  </si>
  <si>
    <t>Desarrolladores de plataformas de información</t>
  </si>
  <si>
    <t>Otras formas de promoción y tenencia</t>
  </si>
  <si>
    <t>Campaña institucional</t>
  </si>
  <si>
    <t xml:space="preserve">Equipo humano </t>
  </si>
  <si>
    <t>Desarrolladores plataformas</t>
  </si>
  <si>
    <t>Viaje  internacional</t>
  </si>
  <si>
    <t>Mercados campesinos/circuitos cortos comercialización</t>
  </si>
  <si>
    <t>Desarrolladores plataforma asistencia técnica</t>
  </si>
  <si>
    <t>Material divulgación y promocional</t>
  </si>
  <si>
    <t>Planes de reconversión productiva</t>
  </si>
  <si>
    <t>Viaje Internacional y viáticos</t>
  </si>
  <si>
    <t xml:space="preserve"> Rueda de negocio nacional y regional virtual</t>
  </si>
  <si>
    <t>Giras técnica</t>
  </si>
  <si>
    <t>20 asistentes</t>
  </si>
  <si>
    <t>Certificadores de producto  cal</t>
  </si>
  <si>
    <t>Plantas productoras</t>
  </si>
  <si>
    <t>Equipo humano nacional</t>
  </si>
  <si>
    <t>5 empresas</t>
  </si>
  <si>
    <t>Material promocional y divulgación</t>
  </si>
  <si>
    <t>Otras formas de implementación</t>
  </si>
  <si>
    <t>Equipo humano  especializados</t>
  </si>
  <si>
    <t>Mes 10 Año 1</t>
  </si>
  <si>
    <t>Valor 1 año</t>
  </si>
  <si>
    <t>Mesas de trabajo virtual</t>
  </si>
  <si>
    <t>Meses/periodicidad</t>
  </si>
  <si>
    <t xml:space="preserve"> Mesas de trabajo presencial</t>
  </si>
  <si>
    <t>Desplazamiento equipo humano</t>
  </si>
  <si>
    <t>Visitas, giras técnicas</t>
  </si>
  <si>
    <t xml:space="preserve">Equipo humano  región </t>
  </si>
  <si>
    <t>Mes 12 año 20</t>
  </si>
  <si>
    <t>Talleres y/ o eventos de divulgación nacionales y/o regionales presenciales</t>
  </si>
  <si>
    <t>Talleres y/ o eventos de divulgación nacionales y/o regionales virtuales</t>
  </si>
  <si>
    <t>Mesas de trabajo presenciales</t>
  </si>
  <si>
    <t>Desplazamiento equipo humano nacional</t>
  </si>
  <si>
    <t>Equipo humano en región</t>
  </si>
  <si>
    <t>Cursos cortos presenciales</t>
  </si>
  <si>
    <t>Rueda de negocio nacional y regional presencial</t>
  </si>
  <si>
    <t xml:space="preserve">Diplomados </t>
  </si>
  <si>
    <t>Diplomados virtual</t>
  </si>
  <si>
    <t>Mesas de trabajo  presenciales</t>
  </si>
  <si>
    <t>Giras técnicas</t>
  </si>
  <si>
    <t>Equipo en Región</t>
  </si>
  <si>
    <t>Incentivo emprendimiento microempresas</t>
  </si>
  <si>
    <t>Incentivo emprendimiento pequeñas</t>
  </si>
  <si>
    <t>Incentivo emprendimiento medianas</t>
  </si>
  <si>
    <t>Empresa</t>
  </si>
  <si>
    <t>Promedio persona</t>
  </si>
  <si>
    <t>Valor anual año 1 al 5</t>
  </si>
  <si>
    <t>Valor anula año 6 a 20</t>
  </si>
  <si>
    <t>Año 1</t>
  </si>
  <si>
    <t>Promedio Persona</t>
  </si>
  <si>
    <t xml:space="preserve">Rueda de negocio nacional y regional presencial </t>
  </si>
  <si>
    <t>Empresa/asociación</t>
  </si>
  <si>
    <t>Valor anual año 1 al 10</t>
  </si>
  <si>
    <t>Valor anula año 11 a 20</t>
  </si>
  <si>
    <t>Mes 4 año 1</t>
  </si>
  <si>
    <t xml:space="preserve">Por definir </t>
  </si>
  <si>
    <t>Mes 1 año 1</t>
  </si>
  <si>
    <t>Talleres y/ o eventos de divulgación nacionales y/o regionales (Productor, transformador, comercialización)</t>
  </si>
  <si>
    <t xml:space="preserve">Global </t>
  </si>
  <si>
    <t>Campaña publicitaria institucional ( Nacional)</t>
  </si>
  <si>
    <t xml:space="preserve">Promedio persona </t>
  </si>
  <si>
    <t xml:space="preserve">Desplazamiento y viáticos Equipo Humano </t>
  </si>
  <si>
    <t xml:space="preserve">Equipo humano región </t>
  </si>
  <si>
    <t>Rueda de negocio  virtual</t>
  </si>
  <si>
    <t>Talleres y/o eventos de divulgación virtuales</t>
  </si>
  <si>
    <t>Incentivos valor agregado microempresas</t>
  </si>
  <si>
    <t>Incentivo valor agregado  pequeñas  empresas</t>
  </si>
  <si>
    <t>PROGRAMA - PROYECTO / AÑO 1 AL 20</t>
  </si>
  <si>
    <t>TOTAL</t>
  </si>
  <si>
    <t>Estimación de Costos  Plan de acción cadena maicera</t>
  </si>
  <si>
    <t>Apoyo UPA</t>
  </si>
  <si>
    <t>Incentivo Familias explotación integral</t>
  </si>
  <si>
    <t>Talleres y/o eventos de divulgación regionales</t>
  </si>
  <si>
    <t>Material de promoción</t>
  </si>
  <si>
    <t>Valor mensual</t>
  </si>
  <si>
    <t xml:space="preserve">Se consideran 7 departamentos (Chocó, Meta, Caquetá, Nariño, Cauca,  Boyacá y Córdoba) con áreas de producción de maíz ubicadas fuera de la frontera agrícola. Se estiman 28 mesas de trabajo presencial y virtual (4 por departamento), 7 talleres y/o eventos de divulgación regionales presenciales (1 por departamento), eventos de divulgación virtuales (3 por departamento). Se estima un equipo humano en región de 7 personas, con rodamiento (peajes y combustible) y apoyos tecnológicos (GPS y Tablet); y se considera "Por definir" otras formas de contribución. </t>
  </si>
  <si>
    <t>Talleres y/o eventos de divulgación nacionales</t>
  </si>
  <si>
    <t>Parcelas demostrativas o lotes modelo</t>
  </si>
  <si>
    <t>Escuelas, días de campo, giras técnicas,  y/o visitas</t>
  </si>
  <si>
    <t>Costo/30 personas</t>
  </si>
  <si>
    <t>Costo/persona</t>
  </si>
  <si>
    <t>Consultoría especializada para diseño de riego intrapredial</t>
  </si>
  <si>
    <t>Otros tipos de captación, almacenamiento y aprovechamiento de agua</t>
  </si>
  <si>
    <t>Talleres y/o eventos virtuales</t>
  </si>
  <si>
    <t>Escuelas, días de campo, giras técnicas,  y/ o visitas</t>
  </si>
  <si>
    <t>Costo/20 personas</t>
  </si>
  <si>
    <t>Parcelas demostrativas</t>
  </si>
  <si>
    <t>Diplomados</t>
  </si>
  <si>
    <t>Diplomados virtuales</t>
  </si>
  <si>
    <t>Personas</t>
  </si>
  <si>
    <t xml:space="preserve">Incentivo Inversiones en tecnologías y prácticas sostenibles microempresas </t>
  </si>
  <si>
    <t>Incentivo Inversiones en tecnologías y prácticas sostenibles pequeñas</t>
  </si>
  <si>
    <t>Incentivo Inversiones en tecnologías y prácticas sostenibles medianas</t>
  </si>
  <si>
    <t>Viaje internacional</t>
  </si>
  <si>
    <t>Viáticos</t>
  </si>
  <si>
    <t>Empresas</t>
  </si>
  <si>
    <t>Implementación del modelo de I+D+i</t>
  </si>
  <si>
    <t>Otras formas de fortalecimiento</t>
  </si>
  <si>
    <t>Formación tecnológica y/o universitaria</t>
  </si>
  <si>
    <t>Maestría</t>
  </si>
  <si>
    <t>Doctorado</t>
  </si>
  <si>
    <t>Viajes internacionales</t>
  </si>
  <si>
    <t>Otros mecanismos de fortalecimiento</t>
  </si>
  <si>
    <t xml:space="preserve">Incentivos para unidades productoras </t>
  </si>
  <si>
    <t>Valor anual años 2 al 20</t>
  </si>
  <si>
    <t xml:space="preserve">Valor persona asistencia técnica </t>
  </si>
  <si>
    <t>Subtotal sin asistencia técnica</t>
  </si>
  <si>
    <t>Incentivos a la formalización a la propiedad</t>
  </si>
  <si>
    <t>Valor indicativo en pesos constantes de 2022 por programa y proyecto.</t>
  </si>
  <si>
    <t>Total 
(Millones de Pesos)</t>
  </si>
  <si>
    <t>Mediano Plazo 
(5 al 12 año)</t>
  </si>
  <si>
    <t>Corto Plazo
 (1 al 4 año)</t>
  </si>
  <si>
    <t>Parcelas demostrativas/lotes modelos</t>
  </si>
  <si>
    <t xml:space="preserve">OE2. Incrementar la productividad del cultivo de maíz. </t>
  </si>
  <si>
    <t>EE1. Competitividad, productividad y especialización regional</t>
  </si>
  <si>
    <t xml:space="preserve">3.4. Fortalecimiento de la oferta de insumos y servicios asociados a la cadena. </t>
  </si>
  <si>
    <t>3.5. Mejora del entorno productivo para las grandes inversiones en las regiones maiceras.</t>
  </si>
  <si>
    <t>OE6. Contribuir al mejoramiento del entorno social asociado a la cadena</t>
  </si>
  <si>
    <t>6. Contribución al mejoramiento en las condiciones de vida de la población vinculada a la cadena de maíz.</t>
  </si>
  <si>
    <t>OE9. Fortalecer la organización, financiación, seguimiento y control de la cadena</t>
  </si>
  <si>
    <t>9.3. Fortalecimiento de mecanismos institucionales para el impulso a las inversiones en producción de maíz a mediana y gran escala.</t>
  </si>
  <si>
    <t>9.4. Diseño y operación del Sistema nacional de Información para la cadena de maíz.</t>
  </si>
  <si>
    <t>9.5. Constitución y fortalecimiento de la Organización de Cadena de maíz.</t>
  </si>
  <si>
    <t>9.6. Adopción, promoción y monitoreo de la política pública para la cadena de maíz.</t>
  </si>
  <si>
    <t>Desplazamiento Experto</t>
  </si>
  <si>
    <t>Tiquetes Viaje Internacional</t>
  </si>
  <si>
    <t xml:space="preserve">Plan de medios radial regional </t>
  </si>
  <si>
    <t xml:space="preserve">Equipamiento de laboratorios para el control de calidad de grano </t>
  </si>
  <si>
    <t>Desarrollo de la estrategia financiera</t>
  </si>
  <si>
    <t>Mesas de trabajo virtuales (nacionales, regionales e internacionales)</t>
  </si>
  <si>
    <t>Funcionamiento del sistema</t>
  </si>
  <si>
    <t>otras formas de fortalecimiento</t>
  </si>
  <si>
    <t xml:space="preserve">Se estima mesas de trabajo presenciales (7) y mesas  virtuales por subregión (19), un taller y evento de divulgación presencial por región.  Para el desarrollo de las actividades se proyectan  2 profesionales con un salario promedio de 5.661.197 para el apoyo de las actividades del proyecto a nivel nacional y el fortalecimiento de un equipo regional conformado por 1 personas por región con salario promedio de $5.032.173 y desplazamientos y viáticos para el equipo humano. Se deja por definir el acompañamiento y consolidación de las gestión de los comités regionales de la cadena de maíz. </t>
  </si>
  <si>
    <t>Desarrollador de plataforma</t>
  </si>
  <si>
    <t>Se estima mesas de trabajo presenciales por región y mesas de trabajo virtuales por subregión (19), talleres y eventos de divulgación nacional y regional. Para el desarrollo de las actividades se proyectan  2 profesionales con un salario promedio de 5.661.197 para el apoyo de las actividades del proyecto a nivel nacional y el fortalecimiento de un equipo regional conformado por 1 personas por región con salario promedio de $5.032.173 y desplazamientos y viáticos para el equipo humano (compartidos con el proyecto 9.4., se cuenta con un profesional desarrollador de la plataforma de seguimiento del POP. Por definir de dejan las actividades de empoderamiento gradual y seguimiento y evaluación POP</t>
  </si>
  <si>
    <t>Fortalecimiento</t>
  </si>
  <si>
    <t xml:space="preserve">Se estima realizar 1 taller nacional y dos talleres presenciales por región (14),  1 taller virtual por subregión (19) y una mesa de trabajo presencial por cada región (7) y una mesa de trabajo virtual por región (7).  Para el desarrollo de las actividades se proyectan  3 profesionales con un promedio salarial de $7.862.772 para el apoyo de las actividades del proyecto a nivel nacional y el fortalecimiento de un equipo regional con profesionales y técnicos a los cuales se les asigna dos subregiones, considerando el rodamientos, desplazamiento, viáticos y el apoyo técnico requerido.  El funcionamiento del sistema de información que incluye los sistemas de información y servicios tecnológicos, Hardware, software y conectividad necesarios para el despliegue del sistema y estrategias de operación, se deja por definir considerando el nivel de información con el que se cuenta. </t>
  </si>
  <si>
    <t>Valor indicativo en pesos constantes de 2022 corto, mediano y largo plazo</t>
  </si>
  <si>
    <t>Equipo gestor especializado</t>
  </si>
  <si>
    <t>Total  año 1 al 5</t>
  </si>
  <si>
    <t>Total 6 al año 20</t>
  </si>
  <si>
    <t>Funcionamiento red colaborativa</t>
  </si>
  <si>
    <t>Se estima realizar 1 taller nacional y los talleres por región (7) presenciales, 2 talleres virtual por subregión (10) con mayor potencial para la producción de maíz tecnificado de mediana y gran escala y una mesa de trabajo presencial por cada región (7) y dos mesas de trabajo virtuales por cada región (14).  Para el desarrollo de las actividades a nivel nacional se proyectan 5 profesionales con un promedio de ingresos de $8.953.563, con experiencia en el sector y en las diferentes líneas temáticas con un coordinador de equipo. Se contemplan viajes internacionales para consolidar la red de colaboradores, el fortalecimiento de un equipo regional con profesionales y técnicos de acuerdo a las regiones con mayor potencial para la producción de maíz tecnificado de mediana y gran escala, considerando rodamientos, desplazamientos y viáticos. Se fortalecen la estrategia de comunicación con 1 campaña publicitaria institucional y 1 plan de medios radial a nivel subregional (10).  El proyecto contempla promover la red colaborativa de manera permanente que se deja por definir, considerando el nivel de información con que se cuenta.</t>
  </si>
  <si>
    <t>Mes 12  del año 20</t>
  </si>
  <si>
    <t>Participación en ferias comerciales internacionales</t>
  </si>
  <si>
    <t>Visitas a zonas productivas potenciales priorizadas</t>
  </si>
  <si>
    <t>Equipo Humano Nacional</t>
  </si>
  <si>
    <t>Desplazamiento</t>
  </si>
  <si>
    <t>Valor 2 al 4</t>
  </si>
  <si>
    <t>Valor 2 al 6</t>
  </si>
  <si>
    <t>Valor año 7 al 20</t>
  </si>
  <si>
    <t>Incentivos, deducciones tributarias, entre otras</t>
  </si>
  <si>
    <t>Valor anual del 6 al 20</t>
  </si>
  <si>
    <t>Hectáreas por año</t>
  </si>
  <si>
    <t xml:space="preserve">Este proyecto se considera para las 19 subregiones maiceras y 7 regiones a lo largo del territorio nacional. Se estiman 12 mesas de trabajo presencial, 12 mesas de trabajo virtuales, talleres y/o eventos de divulgación nacionales presenciales y 19 virtuales por subregión, un monto de material de divulgación de $3.000.0000 por subregión, se estima pautas en redes sociales por región por un valor global de 5 millones,  2 desarrolladores de plataformas para divulgar información, cursos cortos presenciales y virtuales por subregión, 2 personas que apoyen la realización de actividades a nivel nacional, una persona por región, con rodamiento, apoyos tecnológicos, se estima un 50% de dedicación a este proyecto y el restante tiempo al proyecto 7.2 . </t>
  </si>
  <si>
    <t>Fecha de Finalización</t>
  </si>
  <si>
    <t>Mes 12 Año 12</t>
  </si>
  <si>
    <t xml:space="preserve">Se estiman 25 mesas de trabajo (4 presenciales y 19 virtuales), 4 talleres y/o eventos de divulgación nacionales, talleres y/o eventos de divulgación regionales (7 presenciales, 1 en cada región y 19 virtuales, 1 en cada subregión), Escuelas, días de campo, giras técnicas,  y/ o visitas y  parcelas demostrativas (1 en cada subregión). Se estiman diplomados presenciales (1 en cada una de las 7 regiones) y virtuales (1 en cada una de las 19 subregiones); un equipo humano nacional de 2 personas, con viáticos y desplazamientos, y un equipo en región de 19 personas, con rodamiento (peajes y combustible) y apoyos tecnológicos (GPS y Tablet). Se propone un incentivo para inversiones en tecnologías y prácticas sostenibles para microempresas (7 por año, 1 en cada región), pequeñas empresas (7 por año, 1 en cada región) y medianas empresas (4 por año, 1 en cada región priorizada, correspondiente a las regiones que agrupan 10 de las 19 subregiones porque contienen más del 30% del área en producción de maíz en sistema tecnificado). Se considera "Por definir" otras formas de mejora. </t>
  </si>
  <si>
    <t xml:space="preserve">Incentivo microempresas técnicas especializadas  </t>
  </si>
  <si>
    <t xml:space="preserve">Incentivo pequeñas empresas técnicas especializadas  </t>
  </si>
  <si>
    <t xml:space="preserve">Incentivo  medianas empresas técnicas especializadas  </t>
  </si>
  <si>
    <t xml:space="preserve">Se estiman 11 mesas de trabajo (4 presenciales y 7 virtuales), talleres y/o eventos de divulgación nacional (4 talleres), regionales (1 por región) y virtuales (1 por subregión). Se estima un equipo humano nacional de 4 personas, con desplazamiento y viáticos, viajes internacionales (valor promedio tiquetes a Brasil, USA, México) y viáticos internacionales, un equipo humano en región de 7 personas, con rodamiento (Peajes y combustible) y apoyos tecnológicos (GPS y Tablet). Se propone un incentivo dirigido a promover la creación de empresas especializadas de extensión agrícola e industrial, en total 60 empresas en 5 años, es decir 12 empresas por año, entre micro, mediana y pequeña empresa (3 en cada una de las 4 regiones priorizadas, correspondiente a las regiones que agrupan 10 de las 19 subregiones porque contienen más del 30% del área en producción de maíz en sistema tecnificado). Se considera "Por definir" la implementación del modelo I+D+i y otras formas de fortalecimiento. </t>
  </si>
  <si>
    <t>Se estiman 25 mesas de trabajo (4 presenciales y 19 virtuales), 4 talleres y/o eventos de divulgación nacionales, talleres y/o eventos de divulgación regionales (7 presenciales y 19 virtuales - 1 en cada subregión), 19 parcelas demostrativas y 19 giras técnicas (1 en cada subregión). Se estiman, cursos cortos, cursos libres, y diplomados presenciales (1 en cada una de las subregiones) y virtuales (5 en cada una de las 19 subregiones). Se estima un apoyo del 30% para formación tecnológica y/o universitaria, maestría y doctorado. Se estima un equipo humano nacional de 2 personas, con viáticos y desplazamientos, y viajes y viáticos internacionales, y un equipo en región de 7 personas, con rodamiento (peajes y combustible) y apoyos tecnológicos (GPS y Tablet). Se considera "Por definir" Otros tipos de fortalecimiento.</t>
  </si>
  <si>
    <t>Mes 10 del año 1</t>
  </si>
  <si>
    <t>% Publico</t>
  </si>
  <si>
    <t>% Privado</t>
  </si>
  <si>
    <t>% Cooperación Internacional (CI)</t>
  </si>
  <si>
    <t>Valor Público</t>
  </si>
  <si>
    <t>Valor Privado</t>
  </si>
  <si>
    <t>Valor CI</t>
  </si>
  <si>
    <t>% Presupuesto General de la Nación (PGN)</t>
  </si>
  <si>
    <t>% Presupuesto Sistema General de Regalías</t>
  </si>
  <si>
    <t>%Recursos Entidades Territoriales</t>
  </si>
  <si>
    <t>%Otros Recursos</t>
  </si>
  <si>
    <t>Recursos Presupuesto General de la Nación (PGN)</t>
  </si>
  <si>
    <t xml:space="preserve"> Recursos Presupuesto Sistema General de Regalías</t>
  </si>
  <si>
    <t>Recursos Entidades Territoriales</t>
  </si>
  <si>
    <t>Otros Recursos</t>
  </si>
  <si>
    <t>Distribución Fuentes de Financiación estimativo de Costos Plan de acción cadena de maiz</t>
  </si>
  <si>
    <t>Porcentaje y Valor indicativo en pesos constantes  de 2022 corto, mediano y largo plazo</t>
  </si>
  <si>
    <t>Mes 10  Año 1</t>
  </si>
  <si>
    <t>Mes 4 Año 1</t>
  </si>
  <si>
    <t>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24 mesas de trabajo presencial y virtuales (dos por mes), se estima la realización de  talleres y/o eventos de divulgación nacional y/regional, uno por subregión a intervenir, tanto de  manera presencial como virtual, se estimó un incentivo a las Tics por un valor de $300.000, que corresponde al valor de la Tablet para 10 personas por región. También se estima un incentivo a la conectividad por un valor de $600.000 el cual se calculó para pagar el servicio de internet por un año por región.   Se estima la realización de un plan de medios radial regional,  un equipo humano a nivel nacional que ejecuten el proyecto 6.1 y 6.2 , de 2 personas con un valor promedio de $7.862.772 por diez meses, una persona por cada región con un valor promedio de $2.516.084 con su respectivo rodamiento por un período de 8 meses, que comparten actividades con el proyecto 6.2. Se considera por definir convenios y programas y otras formas de contribución.</t>
  </si>
  <si>
    <t>Valor 1 al 5 año</t>
  </si>
  <si>
    <t>Valor adicional para fortalecer el ISA ( Incentivo de seguros agropecuarios) para el sector maicero</t>
  </si>
  <si>
    <t>Valor año</t>
  </si>
  <si>
    <t>Se supone la intervención a 10 subregiones porque  tienen más del 30% en producción de maíz tecnificado, que se agrupan en 4 macro regiones (Costa, Valle, Tolima y Llanos). Se estiman actividades de gestión desde el año 1 al 11. Se proponen mesas de trabajo presenciales y virtuales, realizadas cada semestre a nivel subregional se identifican y convocan a los agentes  que participan de la cadena de suministro de insumos, bienes y servicios para los productores. Se proponen  2 talleres anuales y 2 cursos cortos (presenciales y virtuales  en cada subregión, se capacita a productores y agroindustriales en la planificación y gestión de su cadena de suministros, la logística y tecnología involucrada y se estima dar acompañamiento e información sobre los instrumentos que tienen disponibles para el emprendimiento y la creación de empresas comerciales y de suministros de bienes y servicios para la producción. Se sugiere complementar la capacitación con diplomados en gestión de las cadenas de suministro, presenciales y virtuales para dos personas/año por subregión. Se realiza una Feria - Rueda de negocios, anual por subregión, presencial y virtual, como espacio para que oferentes de semillas, fertilizantes, fitosanitarios, agro biológicos, servicios operativos, servicios técnicos y tecnológicos, maquinaria, servicios logísticos, de mecanización, etc., se encuentren con los productores y agroindustriales, para la proyección y realización de negocios. Se considera un equipo humano de acción nacional de 2 personas, con sus desplazamientos, para liderar y coordinar las actividades de capacitación, divulgación y comerciales. Se supone un equipo humano de acción subregional, con rodamientos y apoyos tecnológicos para las actividades de coordinación, operativas, logísticas, personal que compare actividades con el proyecto 3.4. Las actividades de capacitación, talleres y eventos de divulgación se estima  implementarse  durante 5 años y las ferias - ruedas de negocio durante 20 años.</t>
  </si>
  <si>
    <t>Se propone realizar 6 mesas de trabajo presenciales y 6 virtuales en al año,  6 talleres virtuales y 6 presenciales. Se propone apoyar el desarrollo de la industria de la cal con el desarrollo de un incentivo para el emprendimiento a 2 empresas medianas en el año durante 5 años, por un valor de $39.597.850, el cual se calculó teniendo clasificación de empresas de acuerdo con el nivel de ingresos, a lo cual se calcula un % 3  y luego un 2% para medianas empresas. Se propone la contratación de 2 personas para brindar acompañamiento técnico a los empresarios en las diferentes actividades que se desarrollan en el marco de este proyecto, con un promedio mensual de $9.907.096 y se calculan  desplazamientos a las regiones.</t>
  </si>
  <si>
    <t>LEC para créditos de capitalización empresas</t>
  </si>
  <si>
    <t>Se supone la intervención a 10 subregiones porque  tienen más del 30% en producción de maíz tecnificado. Las actividades de promoción y fortalecimiento se estiman durante los primeros 5 años. Se propone realizar 10 mesas de trabajo presenciales y 10 virtuales, una por subregión, para la selección de organizaciones priorizadas para el proyecto. Se propone realizar 2 talleres en cada subregión para capacitar y orientación a los productores en el desarrollo de empresas de economía solidaria. Se propone realizar una gira técnica desde cada subregión para conocer empresas cooperativas que operen exitosamente. Se sugiere complementar la capacitación con cursos cortos, presenciales y virtuales, a personas vinculadas con las organizaciones de economía solidaria en cada subregión. Se presupuesta  un equipo de dos personas y sus desplazamientos, con campo de operación nacional  especializados en las temáticas del desarrollo empresarial y alianzas estratégicas, para coordinar y realizar las actividades de capacitación y consultoría. Se estima un equipo humano de campo con  rodamientos y apoyos tecnológicos de operación subregional, para las actividades operativas, de coordinación y monitoreo del avance de los proyectos. A partir del año 6, para las empresas ya consolidades, se sugiere incentivos LEC  de 10%, para créditos de capitalización de $500.000.000 por empresa asociativa cada subregión.</t>
  </si>
  <si>
    <t>Valor adicional para fortalecer el programa de cobertura de precios y tasa de cambio para maíz</t>
  </si>
  <si>
    <t xml:space="preserve">Se supone la intervención a 10 subregiones porque  tienen más del 30% en producción de maíz tecnificado, que se agrupan en 4 macro regiones (Costa, Valle, Tolima y Llanos). Se proponen 10 mesas de trabajo presenciales, complementadas con 10 virtuales, una por subregión para promover las alianzas estratégicas entre los agentes de la cadena.  Cada semestre en la época de siembras y previo a cosecha se propone realizar talleres/eventos en las 4 regiones mayores,  para acompañar gestiones comerciales alrededor de las integraciones, alianzas y acuerdos entre productores comercializadores y procesadores. En las 4 macro regiones, se estiman cursos cortos, presenciales y virtuales de capacitación en gestión empresarial y planeación estratégica, uno por semestre en cada región mayor. Se estima patrocinar  la realización de diplomados presenciales y virtuales, en gerencia y administración de empresas a 5 lideres de esquemas empresariales en cada una de las 4 macro regiones. Una vez por semestre se realizan ruedas de negocio, presenciales y virtuales, para  la definición de contratos entre productores e industria y para evaluar el resultado de los contratos definidos el semestre anterior. Para promocionar estas actividades, se sugiere un plan de medios y  material promocional por subregión. Se considera un equipo de dos personas con un promedio de $8.963.563 con su desplazamiento con campo de operación nacional especializados en las temáticas del desarrollo empresarial y alianzas estratégicas, para coordinar y realizar las actividades de capacitación y consultoría en el desarrollo de las alianzas. Se estima un equipo humano de campo de operación subregional, una persona por subregión con rodamientos y apoyos tecnológicos, para las actividades operativas, de coordinación y monitoreo del avance de los proyectos, actividades compartidas con el proyecto 3.1. </t>
  </si>
  <si>
    <t>Asociaciones/empresa</t>
  </si>
  <si>
    <t>Análisis de calidad del grano</t>
  </si>
  <si>
    <t>Consultoría Especializada</t>
  </si>
  <si>
    <t>Tiquetes y desplazamiento 8 días</t>
  </si>
  <si>
    <t>Se propone realizar una mesa de trabajo mensuales, talleres de carácter nacional cada 3 meses, se sugiere participar en 2 ferias comerciales internacionales para promover inversión. Se propone realizar 2 visitas a conocer en el terreno, las regiones con potencial para recibir las inversiones. Se sugiere contratar un equipo de consultor de 4 personas para  gestión, estructuración de proyectos y para brindar orientación y acompañamiento  a los empresarios e inversionistas, se incluyen los cálculos de desplazamientos a las regiones.</t>
  </si>
  <si>
    <t>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desarrolladores de plataformas por 4 meses, mesas de trabajo 12 virtuales y 12 presenciales, talleres y se estima la realización de  talleres y/o eventos de divulgación nacional y/regional, uno por mes, tanto de  manera presencial como virtual, también se estima realización de 4 cursos cortos presenciales por subregión de manera presencial y 4 cursos cortos por subregión de manera virtual, en el cual el 50% es asumido por el que toma el curso,  se estima la realización de diplomados (3 por región) de manera presencial y virtual, se estima apoyar el 50% de formación tecnológico a una persona por región, se estima la realización de plan de medios radial regional para difundir el proyecto. Se estima un incentivo a la unidad productiva basados en proveer insumos para sembrar una hectárea de maíz tradicional de manera óptima, que es un valor de $1.610.000 por familia, se estima intervenir al 30% de las familias durante le desarrollo del plan. Se estima un equipo humano a nivel nacional y en región, de 4 personas con un valor promedio de $5.661.197 por diez meses, una persona por cada región con un valor promedio de $3.931.384 con su respectivo rodamiento  y apoyos tecnológicos por un período de 8 meses. Se estima un grupo de personas para asistir el 100% de las familias con producción tradicional durante el desarrollo del POP, asistencia que se dará 50% de manera virtual y 50% presencial, personal que se va reduciendo ya que se estima que las familias tradicionales disminuyen a lo largo del tiempo al ser más tecnificadas. Se considera por definir convenios y programas y otras formas de contribución.</t>
  </si>
  <si>
    <t>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 la realización de mesas de trabajo 12 virtuales y 12 presenciales,  se estima la realización de  talleres y/o eventos de divulgación nacional y/regional, uno por región, campañas institucionales por región a intervenir, un monto global de material promocional, también se estima realización  de cursos cortos presenciales  y virtuales por subregión,  Se estima un incentivo a la formalización de $1.610.000 para pequeños  como apoyo en asesoría, documentación, para 10 empresas por cada región, que corresponde al valor de una ha de maíz tradicional,  se estima un incentivo al emprendimiento por $8.954.883 para pequeñas empresas para 10 empresas por cada región, el cual se calculó teniendo en cuenta el valor de los ingresos  de acuerdo a la clasificación de la Dian, a la cual se le estimó un porcentaje del  5% del valor anual de los ingresos estimados y a este resultado se le calculó el  5%. Se estima un equipo humano a nivel nacional de 2 personas con un valor promedio de $7.862.772  por diez meses, una persona por cada región con un valor promedio de $3.145.107 con su respectivo rodamiento por un período de 10 meses. Se considera por definir otras formas de promoción.</t>
  </si>
  <si>
    <t>Consultoría especializada</t>
  </si>
  <si>
    <t>Se estima la realización de mesas de trabajo 12 virtuales y 12 presenciales,  se estima la realización de  talleres y/o eventos de divulgación nacional y/regional, dos por región.  Se estima 1 consultor especializado durante 5 meses, cada año para realizar asesoría en formulación de proyectos. Se estima un equipo humano a nivel nacional de 2 personas con un valor promedio de $7.862.772  por diez meses, una persona por cada región con un valor promedio de $3.145.107 con su respectivo rodamiento por un período de 10 meses. Se considera por definir otras formas de promoción.</t>
  </si>
  <si>
    <t xml:space="preserve">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30 mesas de trabajo presencial y virtuales (una por subregión), se estiman contribuir a las familias para mejorar el manejo integral de  UPA,  estimando el 30% del   del establecimiento de un cultivo tradicional de mayor productividad, este porcentaje corresponde al supuesto de participación del maíz dentro de la unidad productiva, lo cual arroja un valor de $483.000,  se estima intervenir el 50% de las UPAS de maíz tradicional (39369) durante los 20 años de la realización del POP, 984 año, también se estima realización de 10 cursos cortos presenciales por región a intervenir  (15) y virtuales (15), se estima la realización de  talleres y/o eventos de divulgación nacional y/regional, dos por región a intervenir, tanto de  manera presencial como virtual,  se estima la realización de 2 mercados campesinos por subregión a intervenir, 2 desarrolladores de plataformas de mercadeo para desarrollar y promocionar los productos campesinos de manera virtual por 4 meses, plan de medios regional para promocionar los mercados campesinos. Se estimó un incentivo de vivienda para apoyar a una familia por región, en la cual se apoya con el 30% de la cuota inicial de una vivienda, la cual se estimó en 21 millones, se estimó un valor de apoyo para seis  meses de servicios públicos por un valor promedio de $25.000 apoyando a 30% de las familias durante 18 años, también se estimó un incentivo a las Tics por un valor de $300.000 que corresponde a la donación de una Tablet que se costea en $300.00 para el 30% de las familias durante 18 años, cada año se estima apoyar a 590 familias. También se estima un incentivo a la conectividad para apoyar el 30% de las familias durante los 18 años del proyecto, es decir 590 familias año por un valor de $600.000 el cual se calculó para pagar el servicio de internet por un año.  Se estima un valor material promocional de $10 millones por región.  Se estima un equipo humano a nivel nacional de 2 personas para que ejecute los proyectos 6.1 y 6.2 , con un valor promedio de $7.862.772 por diez meses, una persona por cada región con un valor promedio de $2.516.084 con su respectivo rodamiento por un período de 8 meses. </t>
  </si>
  <si>
    <t>Otros mecanismos de seguridad jurídica</t>
  </si>
  <si>
    <t xml:space="preserve">Se estima realizar 1 taller nacional y los talleres presenciales por subregión (priorizando 10 zonas por su ubicación estratégica), 1 taller virtual por subregión (19), 1  mesa de trabajo por región (7) y una mesa de trabajo virtual por región (7) y se incluyen mesas internacionales y nacionales para conocer experiencias (3), para el desarrollo de las actividades se proyectan 3 profesionales con un promedio salarial de 7.862.772 para el apoyo de las actividades del proyecto a nivel nacional, considerando el desplazamiento y viáticos. El proyecto contempla acciones de contribuir en el recaudo de la cuota de fomento cerealista que se deja por definir, considerando el nivel de información con que se cuenta.  Se considera un monto global de 60 millones para consultorías especializadas que apoyen el diseño y/o mejora de las normas técnicas para comercialización de maíz, así como el diseño y/o mejora de otros instrumentos para comercialización, empresarización, gestión de riesgo. </t>
  </si>
  <si>
    <t>Total año y  2</t>
  </si>
  <si>
    <t>Consultorías especializadas</t>
  </si>
  <si>
    <r>
      <t>En este anexo se presentan los detalles de los cálculos realizados para estimar los costos de implementación del portafolio de programas y proyectos para el subsector maíz, en pesos constantes de 2022. Esta estimación de costos arroja un valor indicativo de la suma de recursos financieros, que al momento se pueden cuantificar, para lograr las metas propuestas en el plan, es importante aclarar que este es un valor base</t>
    </r>
    <r>
      <rPr>
        <sz val="11"/>
        <color theme="1"/>
        <rFont val="Arial"/>
        <family val="2"/>
      </rPr>
      <t xml:space="preserve">, algunos  de los rubros </t>
    </r>
    <r>
      <rPr>
        <sz val="11"/>
        <rFont val="Arial"/>
        <family val="2"/>
      </rPr>
      <t>quedan descritos c</t>
    </r>
    <r>
      <rPr>
        <sz val="11"/>
        <color theme="1"/>
        <rFont val="Arial"/>
        <family val="2"/>
      </rPr>
      <t>omo “Por definir” ya</t>
    </r>
    <r>
      <rPr>
        <sz val="11"/>
        <rFont val="Arial"/>
        <family val="2"/>
      </rPr>
      <t xml:space="preserve"> que en este momento no se cuentan con suficientes elementos para poder cuantificar su costo; corresponderá a los ejecutores del plan precisar esa información. En ese mismo sentido es importante aclarar que los valores consignados en esta estimación, en ningún caso representan asignaciones presupuestales, corresponderá a los ejecutores del plan revisar y actualizar los costos, y gestionar la financiación para la implementación  de cada uno de los proyectos.</t>
    </r>
  </si>
  <si>
    <t>Al Portafolio de Programas y Proyectos de este Plan, aún, no se le han asignado recursos del Gobierno, ni de la UPRA, ni del sector privado, ni de cooperación internacional.
En ese sentido esta Estimación de Costos es la herramienta que permitirá al MADR y a los actores tanto públicos como privados por el sector maíz, saber cuál es la demanda de recursos aproximada para desarrollar los proyectos señaladas en el Portafolio y con ello facilitar gestión de recursos para su implementación.
Esta Estimación de Costos presentado debe ser revisada y actualizada periódicamente.</t>
  </si>
  <si>
    <t>kits de maquinaria</t>
  </si>
  <si>
    <t>Este proyecto se considera para las 19 subregiones maiceras que pertenecen a 7 regiones a lo largo del territorio nacional. Se estiman la realización de 12 mesas de trabajo presencial y 12 mesas de trabajo virtuales, talleres y/o eventos de divulgación nacionales presenciales y virtuales a nivel subregional, un monto de material promocional de $3.000.000 por región, se estima pautas en redes sociales por región por un valor global de 5 millones,  una campaña institucional a nivel nacional, cursos cortos presenciales y virtuales 10 por región. Se estima la creación de un incentivo a la formalización de la propiedad para pequeños con el fin de apoyar en temas de registro y documentación, por un valor de $3.000.000 a 20 productores de cada subregión, 2 personas que apoyen la realización de actividades a nivel nacional, una persona por región, con rodamiento, apoyos tecnológicos, se estima un 50% de dedicación a este proyecto y el restante tiempo al proyecto 7.1 .  Se estima un equipo gestor especializado de 2 personas durante 5 años para que acompañe los inversitas en procesos de implementación</t>
  </si>
  <si>
    <t xml:space="preserve">Se estima realizar 1 taller nacional y los talleres por región (7) presenciales, 1 taller virtual por subregión (19) y una mesa de trabajo presencial por cada región (7)  y dos mesas de trabajo virtuales por cada subregión.  Para el desarrollo de las actividades se proyectan 3 profesionales con un promedio salarial de $7.862.772, se contemplan viajes por ejemplo a Argentina para el evaluar experiencias internacionales en el manejo de la calidad del grano y el fortalecimiento de un equipo regional con profesionales y técnicos a los cuales se les asigna dos subregiones, considerando el rodamientos, desplazamiento y viáticos. Se fortalecen la estrategia de comunicación con 1 campaña publicitaria institucional y 1 plan de medios radial a nivel subregional (19).  Se estima el fortalecimiento de laboratorios del ICA e Invima para los temas relacionados con el control de calidad del grano que se deja por definir. El proyecto contempla acciones para el diseño de la estrategia financiera y otras formas de fortalecimiento que se deja por definir, considerando el nivel de información con que se cuenta. </t>
  </si>
  <si>
    <t>SUPUESTOS ESTIMACION DE COSTOS</t>
  </si>
  <si>
    <t>Incentivo comisión FAG contratos   (Año 3 al 7 )</t>
  </si>
  <si>
    <t>RESULTADO ESPERADO A 20 AÑOS</t>
  </si>
  <si>
    <t>ACTORES ALIADOS</t>
  </si>
  <si>
    <t>PRODUCTOS</t>
  </si>
  <si>
    <t>ACTIVIDADES</t>
  </si>
  <si>
    <t xml:space="preserve">
La rentabilidad en los cultivos de maíz en el país se ha incrementado significativamente gracias a los rendimientos alcanzados en los últimos 20 años, que pasaron de 4,0 toneladas por hectárea a 8,8 toneladas por hectárea, sumado a la reducción de los costos de producción y al crecimiento del mercado, que hoy alcanza los 15,1 millones de toneladas, distribuidos en 3,4 millones de toneladas para consumo humano y 11,6 millones para el consumo pecuario. Esta rentabilidad se ha visto favorecida eventualmente por el incremento de los precios internacionales del maíz.
En la actualidad la producción maicera nacional abastece cerca del 58 %  de la demanda interna, soportado en las ventajas competitivas y comparativas del cultivo, así como, en la calidad de su grano ajustada a los requerimientos de la demanda, la cual es determinada bajo Normas Técnicas Colombianas, acordes con los estándares internacionales, y las reconocidas y aplicadas por los mercados.
De igual forma, se ha logrado mitigar la pérdida creciente del mercado interno de consumo humano ante el maíz importado, y la totalidad de las 3,3 millones de toneladas de este mercado son abastecidas con producción nacional. Igualmente se aprovecha el sólido mercado nacional de maíz para el consumo pecuario, que 20 años atrás era abastecido casi en su totalidad con maíz importado, y hoy en día la producción nacional, bajo condiciones y precios competitivos, logra participar con 5,4 millones de toneladas, lo que equivale a un 47% de ese mercado.</t>
  </si>
  <si>
    <t xml:space="preserve">Minagricultura (Entidad líder); Mincomercio, Minsalud, INVIMA, ADR, BMC, Finagro, Supersolidaria, Innpulsa, Entidades Territoriales, Cámaras de Comercio, Gremios de la cadena de maíz, y Empresas, Productores y Asociaciones consumidoras de maíz como alimento para animales. </t>
  </si>
  <si>
    <t>1.1.1. Analizar de manera continua, el comportamiento de la demanda en el ámbito nacional y regional, de los compradores de maíz cuyo destino es alimento animal, teniendo en cuenta sus requerimientos en términos de cantidades, calidades, procesos y demás características; con el fin de identificar las ventanas de oportunidad que puedan ser abastecidas por la creciente oferta nacional de maíz.</t>
  </si>
  <si>
    <t xml:space="preserve">1.1.2. Mejorar el nivel de información del productor y/o proveedor, en relación a los requerimientos, calidades, precios, condiciones de entrega, entre otras, de los compradores de maíz dirigidos al consumo animal, con el fin de conocer las exigencias tanto para el maíz nacional como para el maíz importado, fomentando mejorar los niveles de confianza entre las partes. </t>
  </si>
  <si>
    <t>1.1.3. Realizar acompañamiento comercial y financiero a productores, asociaciones y empresas que redunden en el cumplimiento de los requerimientos del mercado, enfocándose en estrategias de negociación y cumplimiento de las normas de calidad, en concordancia con la actividad 9.2.4.</t>
  </si>
  <si>
    <t>1.1.4. Fomentar e incentivar la implementación de contratos de suministro a mediano y largo plazo entre productores, cooperativas, asociaciones, comercializadores, mayoristas, minoristas, empresas transformadoras, entre otros, a nivel local, regional, y nacional, con elementos que aseguren su cumplimiento, en concordancia con el proyecto 9.2."Diseño y mejora de los instrumentos de financiamiento, comercialización, gestión de riesgos y empresarización para la cadena de maíz".</t>
  </si>
  <si>
    <t>1.1.5. Impulsar y consolidar espacios comerciales y desarrollo de proveedores, entre los diferentes actores de la cadena, tanto en el mediano como en el largo plazo, con el fin de incrementar negocios a nivel local, regional, nacional, incorporando elementos que aseguren el cumplimiento de las condiciones pactadas en precios, calidades, entrega, entre otros, en concordancia con el proyecto 9.2 "Diseño y mejora de los instrumentos de financiamiento, comercialización, gestión de riesgos y empresarización para la cadena de maíz.</t>
  </si>
  <si>
    <t>1.2. Posicionamiento de la oferta del maíz nacional y sus derivados, para alimentación humana y otros usos.</t>
  </si>
  <si>
    <t>La rentabilidad en los cultivos de maíz en el país se ha incrementado significativamente gracias a los rendimientos alcanzados en los últimos 20 años, que pasaron de 4,0 toneladas por hectárea a 8,8 toneladas por hectárea, sumado a la reducción de los costos de producción y al crecimiento del mercado, que hoy alcanza los 15,1 millones de toneladas, distribuidos en 3,4 millones de toneladas para consumo humano y 11,6 millones para el consumo pecuario. Esta rentabilidad se ha visto favorecida eventualmente por el incremento de los precios internacionales del maíz.
De igual forma, se ha logrado mitigar la pérdida creciente del mercado interno de consumo humano ante el maíz importado, y la totalidad de las 3,3 millones de toneladas de este mercado son abastecidas con producción nacional. Igualmente se aprovecha el sólido mercado nacional de maíz para el consumo pecuario, que 20 años atrás era abastecido casi en su totalidad con maíz importado, y hoy en día la producción nacional, bajo condiciones y precios competitivos, logra participar con 5,4 millones de toneladas, lo que equivale a un 47% de ese mercado.</t>
  </si>
  <si>
    <t>Minagricultura (Entidad líder); Mincomercio, Innpulsa, INVIMA, Procolombia, ADR, Cámaras de Comercio, UPRA, Fenalce-FNC, Gremios de la cadena de maíz, Industria Alimenticia y otras Industrias, Consumidores de maíz y derivados y Empresas consumidoras de subproductos de maíz.</t>
  </si>
  <si>
    <t xml:space="preserve">Servicio de monitoreo y seguimiento del mercado de maíz dirigido al consumo humano, subproductos y derivados.
Servicio de apoyo a la comercialización para la cadena de maíz.
Servicio de acompañamiento productivo y empresarial para la cadena de maíz
Servicio de apoyo para la agregación de valor, en elementos diferenciadores para la cadena de maíz. 
Servicio de promoción al consumo de maíz y derivados.
Servicio de educación informal para el consumidor actual y potencial de la cadena de maíz, productos y derivados. </t>
  </si>
  <si>
    <t>1.2.1. Analizar de manera continua, tendencias, oportunidades y desafíos relacionados con la población consumidora de maíz y derivados, así como con empresas consumidoras de subproductos y demás usos del grano, tanto en el ámbito internacional, nacional y regional, para identificar nichos, canales de comercialización, segmentos de mercado, entre otras variables de importancia.</t>
  </si>
  <si>
    <t>1.2.2. Identificar y priorizar productos, subproductos y derivados del maíz para el consumo humano y otras industrias, y clasificar su nivel de competitividad en relación con el mercado internacional en relación a cantidades, precios, calidades y demás características importantes del mercado.</t>
  </si>
  <si>
    <t>1.2.3. Realizar acompañamiento comercial y financiero a productores, asociaciones, empresas proveedoras de maíz, para posicionar productos, subproductos y derivados del maíz para el consumo humano y otras industrias, a través del desarrollo de nuevas presentaciones, empaques, fichas técnicas, certificaciones, sellos, entre otros aspectos, resaltando factores relacionados con tradición, cultura, calidad, eficiencia, etc., teniendo en cuenta los avances en I+D+i del proyecto 8.1 "Fortalecimiento de los procesos de I+D+i para la cadena de maíz y sus derivados".</t>
  </si>
  <si>
    <t>1.2.4. Diseñar e implementar campañas de promoción al consumo de maíz y derivados dirigidos al consumo humano, teniendo en cuenta segmentos de mercado, canales de comercialización, alianzas con restaurantes, facultades de gastronomía; teniendo en cuenta los resultados en el monitoreo y caracterización de la actividad 9.4.4.</t>
  </si>
  <si>
    <t xml:space="preserve">1.2.5. Mejorar el nivel de información del consumidor y de las empresas compradoras de maíz, subproductos, derivados y demás usos, respecto a las calidades, usos, origen, valor agregado, elementos diferenciadores, entre otros. </t>
  </si>
  <si>
    <t>1.2.6. Promover el desarrollo de proveedores, y consolidar espacios comerciales entre productores, asociaciones, empresas e industrias compradoras de maíz que lo consuman de manera directa, indirecta o lo usen como producto intermedio, como por ejemplo la industria de materias primas alimenticias, industria farmacéutica, industria de biomateriales, entre otros, que permitan integrar sectores complementarios a través del desarrollo de alianzas de mediano y largo plazo.</t>
  </si>
  <si>
    <t>En los últimos 20 años la productividad del cultivo de maíz en el país se ha incrementado a 8,8 t/ha, con esta productividad promedio, Colombia ha disminuido la distancia, en este indicador de desempeño, con referencia a países de condiciones agroecológicas similares como Brasil. La productividad nacional del maíz se ha logrado sustentar en los niveles continuos del sistema tecnificado, para este sistema los rendimientos pasaron de 5,8 t/ha en el 2020 a 9,0 t/ha en el 2041, cambio que equivale a un incremento en la productividad de 1,6 veces durante estos últimos 20 años. Por su parte el sistema tradicional en la actualidad ha alcanzado significativos rendimientos de 4,5 t/ha frente a 1,97 t/ha de años atrás, estos datos indican que en la producción tradicional el rendimiento aumento 2,4 veces con relación al pasado.
Se destaca el aumento de un 30 % del total de área sembrada en el 2020, al 95 % de siembras con semilla certificada, lo cual equivale a 950.000 hectáreas de maíz con semillas de calidad, igualmente se ha logrado que el 70 %  de los establecimientos sean con material hibrido. 
Además de los incrementos en productividad, el área cultivada de maíz también ha crecido logrando triplicar, desde el 2020, la superficie de maíz en el país. Este aumento en la superficie agrícola se ha generado en parte por el interés e inversión del sector privado; en los últimos 20 años se han sembrado más de 600 mil hectáreas nuevas en las regiones con mayor potencialidad , con un promedio de 30 mil hectáreas/año . En la actualidad existe un millón de hectáreas de maíz, de las cuales 950.000 hectáreas se desarrollan bajo el sistema tecnificado y 50.000 hectáreas pertenecen al sistema tradicional , estas cifras demuestran que una cantidad importante de áreas del sistema tradicional se han tecnificado y consecuentemente los productores han mejorado sus capacidades para el manejo del cultivo lo que se ha reflejado en los incrementos de los niveles de productividad. 
Con los incrementos en productividad y en área también se logró enfrentar el lento crecimiento que presentaba la producción nacional logrando pasar del 19 %  al 58 % del abastecimiento en los últimos años; en la actualidad la producción total es cercana a 8.775.000 toneladas, de esta producción el 97 % (8.550.000 toneladas) es obtenido del sistema tecnificado y el 3 % (225.000 toneladas) del sistema tradicional.</t>
  </si>
  <si>
    <t>Minagricultura y ADR (Entidades líderes); Entidades territoriales, EPSEA, Agrosavia, Fenalce - FNC, ICA, Mincomercio, Innpulsa, Cámaras de Comercio, Asociaciones regionales de Ing. Agrónomos, Universidades, Finagro, Empresas de Semillas, Acosemillas, Distribuidores de maquinaria agrícola, Distribuidores de Insumos Agrícolas, Gremios de la cadena de maíz y Productores y Organizaciones de productores de maíz.</t>
  </si>
  <si>
    <t>Servicio de capacitación, asistencia técnica y extensión agrícola para los productores de maíz.
Servicio de apoyo para el acceso a activos productivos para la producción de maíz.
Servicio de apoyo financiero e incentivos para procesos de adecuación, mejoramiento y sostenimiento de la fertilidad de los suelos, en el cultivo de maíz.
Servicio de monitoreo del nivel de adopción e impacto, de las prácticas de manejo, las tecnologías y modelos de gestión empresarial para la producción de maíz.</t>
  </si>
  <si>
    <r>
      <t xml:space="preserve">Además de los incrementos en productividad, el área cultivada de maíz también ha crecido logrando triplicar, desde el 2020, la superficie de maíz en el país; </t>
    </r>
    <r>
      <rPr>
        <strike/>
        <sz val="12"/>
        <color theme="1"/>
        <rFont val="Arial"/>
        <family val="2"/>
      </rPr>
      <t>e</t>
    </r>
    <r>
      <rPr>
        <sz val="12"/>
        <color theme="1"/>
        <rFont val="Arial"/>
        <family val="2"/>
      </rPr>
      <t>n los últimos 20 años se han sembrado más de 600 mil hectáreas nuevas en las regiones con mayor potencialidad , con un promedio de 30 mil hectáreas/año . En la actualidad existe un millón de hectáreas de maíz, de las cuales 950.000 hectáreas se desarrollan bajo el sistema tecnificado y 50.000 hectáreas pertenecen al sistema tradicional , estas cifras demuestran que una cantidad importante de áreas del sistema tradicional se han tecnificado y consecuentemente los productores han mejorado sus capacidades para el manejo del cultivo lo que se ha reflejado en los incrementos de los niveles de productividad. 
Se destaca el impacto positivo que, sobre los indicadores de desempeño del cultivo de maíz, ha tenido la consolidación de la inversión privada, nacional y extranjera, en proyectos productivos de agricultura empresarial de gran escala y alto nivel tecnológico, los cuales simultáneamente han decantado hacia los productores tecnificados de menor escala, las tecnologías aplicadas, logrando el aumento generalizado de la productividad de los cultivos.</t>
    </r>
  </si>
  <si>
    <t>Mincomercio, Minagricultura, Minciencias, ART, ICA, y ProColombia (Entidades líderes); Minhacienda, DIAN, DNP, ADR, Agrosavia, Innpulsa, Entidades Territoriales, Cámaras de comercio, Agencias de promoción de inversión, Gremios de la cadena de maíz, Comités Regionales de la cadena de maíz, Inversionistas y empresarios.</t>
  </si>
  <si>
    <t xml:space="preserve">Documento técnico de priorización de áreas para la inversión en producción de maíz a gran escala y de identificación de inversionistas y empresarios.
Servicio de apoyo a proyectos de inversión en producción de maíz a mediana y gran escala con enfoque de mercado.
Servicio de acompañamiento técnico para el ingreso de material genético al país y para procesos de validación tecnológica.
Servicio de acompañamiento a los inversionistas para el acceso a beneficios tributarios.
Servicio de fomento para inversiones extranjeras en la producción nacional de maíz. </t>
  </si>
  <si>
    <t>Los esfuerzos y trabajo conjunto de la cadena de maíz, han generado procesos de especialización territorial  en el país, que han permitido el desarrollo de las regiones maiceras del Caribe Seco, Caribe Húmedo, Valles Interandinos, Orinoquia y Amazonia, y dentro de estas, la consolidación de clústeres para las regiones maiceras del  Caribe Húmedo, Valles Interandinos y Orinoquia, los dos primeros clústeres con enfoque hacia el consumo humano y animal y el último con enfoque de clúster hacia el consumo animal , adicionalmente, esta última región se destaca por ser la de mayor crecimiento y especialización de la actividad empresarial alrededor del maíz.
La participación de los productores a través de asociaciones es cada día mayor; a tal punto que del total de productores de maíz, el 40 % pertenece a algún tipo de asociación con enfoque hacia el mercado, de carácter económico, productivo y de servicios.</t>
  </si>
  <si>
    <t>Minagricultura y ADR (Entidades líderes); Entidades Territoriales, Finagro
Fenalce - FNC, Supersolidaria, Asociaciones de producción, comercialización y transformación, Dansocial, Confecoop, Mincomercio, Bancóldex, Innpulsa, ProColombia, Cámaras de Comercio.</t>
  </si>
  <si>
    <t>Servicio de gestión para el emprendimiento solidario.
Servicio de promoción, fomento y divulgación de la asociatividad solidaria en la cadena de maíz.
Servicios de educación informal en economía solidaria para los actores de la cadena de maíz.
Servicio de monitoreo de las organizaciones de economía solidaria asistidas.</t>
  </si>
  <si>
    <t>3.1.1. Identificar, clasificar y seleccionar las organizaciones de economía solidaria que ya se encuentren constituidas y activas o en tránsito de estarlo, y los productores con potencial asociativo, ubicados en las regiones priorizadas, dedicados a la producción y/o comercialización y/o procesamiento de maíz, teniendo en cuenta la caracterización subregional de la actividad 9.4.3.</t>
  </si>
  <si>
    <t>EE1. Especialización regional, productividad y competitividad</t>
  </si>
  <si>
    <t>3.1.2. Capacitar y orientar a los productores, comercializadores y procesadores de maíz, seleccionados, en desarrollo empresarial agroindustrial, dentro del marco de los principios de la economía solidaria, con enfoque al mercado, la competitividad y el suministro de bienes y servicios.</t>
  </si>
  <si>
    <t>3.1.3. Incentivar el fortalecimiento y crecimiento de las organizaciones de economía solidaria seleccionadas, y su acceso a los mercados, a través de instrumentos financieros y no financieros que promuevan inversiones en infraestructura, equipos, capital humano y de trabajo, teniendo en cuenta los avances en el proyecto 9.2. "Diseño y mejora de los instrumentos de financiamiento, comercialización, gestión de riesgos y empresarización para la cadena de maíz".</t>
  </si>
  <si>
    <t>3.1.4. Monitorear los avances de las organizaciones de economía solidaria asistidas y seleccionar casos exitosos para realizar transferencias bajo métodos de evaluación comparativa (benchmarking) de los temas priorizados.</t>
  </si>
  <si>
    <t>La consolidación de la cadena ha facilitado el encadenamiento productivo de sus eslabones con el fin de lograr mayor competitividad en el mercado; mecanismos organizacionales como las asociaciones y cooperativas, han impulsado este proceso de integración horizontal y vertical en las regiones maiceras priorizadas para clústeres, generando economías de escala que mejoran la producción, comercialización, financiación, así como la asistencia técnica local, regional y nacional. La participación de los productores a través de asociaciones es cada día mayor; a tal punto que del total de productores de maíz, el 40 % pertenece a algún tipo de asociación con enfoque hacia el mercado, de carácter económico, productivo y de servicios; de igual manera, se siguen aumentado las alianzas productivas con la industria para absorber al menos el 20 % de la cosecha nacional mediante compras anticipadas y agricultura por contrato.</t>
  </si>
  <si>
    <t>Minagricultura y ADR (Entidades líderes), Mincomercio, Finagro, Fenalce - FNC, Entidades Territoriales, Bancóldex, Innpulsa, ProColombia, Cámaras de Comercio, Gremios de la cadena de maíz, Industria alimenticia e Industria de alimentos balanceados, Productores, comercializadores y procesadores de maíz.</t>
  </si>
  <si>
    <t xml:space="preserve">Servicios de asistencia técnica para la generación de Alianzas Estratégicas.
Servicio de apoyo para la suscripción e implementación de acuerdos comerciales y de inversión, entre los agentes de la cadena de maíz. 
Servicio de monitoreo de la consolidación de alianzas estratégicas, y acuerdos comerciales y de inversión, entre los agentes de la cadena de maíz. </t>
  </si>
  <si>
    <t xml:space="preserve">3.2.1. Fortalecer la formación y capacitación de los productores, comercializadores y procesadores de maíz en sistemas de integración vertical y horizontal y asociación empresarial tales como alianzas estratégicas, integradores de crédito asociativo, esquemas de riesgo compartido, maquilas, franquicias, entre otras. </t>
  </si>
  <si>
    <t>3.2.2. Realizar acompañamiento comercial y financiero a productores, organizaciones de economía solidaria, y empresas, fomentando alianzas de mediano y largo plazo que mejoren la estabilidad de la oferta, para la suscripción e implementación de acuerdos comerciales, de desarrollo de proveedores y de inversión, considerando elementos como la competitividad, rentabilidad, cumplimiento, sostenibilidad económica, visión de largo plazo y responsabilidad social y ambiental, que sustenten las inversiones públicas y privadas para el crecimiento del área cultivada en maíz.</t>
  </si>
  <si>
    <t>3.2.3. Monitorear la consolidación de las alianzas estratégicas, y acuerdos comerciales y de inversión entre los agentes de la cadena en las regiones.</t>
  </si>
  <si>
    <t>3.3. Aumento de la capacidad instalada regional para el secamiento, almacenamiento, y procesamiento agroindustrial de maíz.</t>
  </si>
  <si>
    <t>El eslabón transformador de cada región maicera priorizada para clústeres está conformado por una industria fortalecida con infraestructura de secamiento y almacenamiento acorde con las necesidades de las zonas de producción que le han permitido obtener ventajas de mercado al administrar los inventarios de maíz, atender el desabastecimiento del grano y las eventualidades en el flujo normal del maíz importado, entre otros . Esta infraestructura está ubicada estratégicamente, de acuerdo con proyecciones de crecimiento y desarrollo territorial fijado por la cadena para las regiones priorizadas para clústeres, y aprovecha las ventajas de los sistemas multimodales adelantados en el país, enfrentando así los desafíos de los altos costos logísticos ocasionados por el estado de las vías y los medios de transporte empleados en el sector. El apoyo a los industriales a través de financiación e incentivos para la inversión en infraestructura de secamiento y almacenamiento ha sido fundamental para el crecimiento de este eslabón de la cadena.</t>
  </si>
  <si>
    <t>Infraestructura de secamiento y almacenamiento, construida, ampliada y/o mejorada.
Servicio de capacitación a los productores y/o agroindustriales de maíz, sobre los diferentes tipos de procesos industriales y productos originados de estos.
Servicio de apoyo financiero a programas y proyectos para inversiones en infraestructura de procesamiento industrial de maíz.
Servicio de apoyo financiero para empresas y emprendimientos productivos.</t>
  </si>
  <si>
    <t>3.3.1. Identificar y seleccionar al interior de las subregiones maiceras priorizadas, las locaciones, con mejores condiciones de ubicación, infraestructura y logística, respecto a las zonas de producción, transformación y consumo, para la construcción, ampliación y mejora de la infraestructura de secamiento y almacenamiento, teniendo en cuenta la caracterización subregional de la actividad 9.4.3.</t>
  </si>
  <si>
    <t>3.3.2. Capacitar, orientar y acompañar técnicamente a los productores, sus empresas y/o a los agroindustriales, sobre construcción, mejora y adecuación de los diferentes tipos de infraestructura de secamiento y almacenamiento de maíz, acorde con las subregiones maiceras priorizadas.</t>
  </si>
  <si>
    <t>3.3.3. Promover la financiación, cofinanciación, incentivos, alianzas público - privadas, inversión directa, estructuración de planes de negocio, entre otras, para ampliar la infraestructura de secamiento y almacenamiento y para promover la instalación de nuevas empresas agroindustriales para el procesamiento de maíz.</t>
  </si>
  <si>
    <t>3.3.4. Capacitar a los productores y/o agroindustriales en los diferentes tipos de procesos industriales que usan el maíz como materia prima, así como el acompañamiento en el aprovechamiento de atributos diferenciales asociados a la calidad del maíz y la fabricación de nuevos productos, que agreguen valor, tanto en las líneas de consumo animal como humano.</t>
  </si>
  <si>
    <t xml:space="preserve">3.3.5. Promover la creación de empresas agroindustriales regionales para el procesamiento de maíz y fabricación de derivados, brindando acompañamiento técnico y cofinanciación para la formulación y ejecución de planes de negocio. </t>
  </si>
  <si>
    <t>La producción de maíz de las regiones maiceras priorizadas para clústeres responde a las exigencias de una producción tecnificada a gran escala que emplea maquinarias y equipos de alta tecnología para desarrollar la agricultura de precisión en el cultivo; a tal punto que el 30 % de las Unidad Productora Agrícola – UPA, cuentan con tractores y sembradoras propias y el 20 % con cosechadores combinadas propias, en cuanto  a la obsolescencia de los equipos menores (más de cinco años de uso) estos no superan el 20 %; las demás UPA acceden a los bancos de maquinaria de las empresas especializadas que se han establecido en las regiones maiceras. El fortalecimiento de líneas de inversión y de crédito han sido claves para la adquisición de maquinaria y la creación de empresas especializadas de mecanización agrícola.</t>
  </si>
  <si>
    <t>Minagricultura y ADR (Entidades líderes); Finagro, Fenalce - FFC, Distribuidores de maquinaria agrícola, Distribuidores de Insumos Agrícolas, Mincomercio, Mintransporte, MinTIC, Bancóldex, Innpulsa, Cámaras de Comercio, Empresas de Semillas, Acosemillas, Proveedores de bienes y servicios para la producción, comercialización y procesamiento de maíz, Productores, comercializadores y procesadores de maíz.</t>
  </si>
  <si>
    <t>Servicio de acompañamiento para fortalecer la oferta de insumos y servicios comerciales, técnicos y logísticos, para la cadena de maíz. 
Servicio de producción, comercialización y uso seguro de semillas híbridas.
Servicio de apoyo financiero para empresas y emprendimientos productivos.</t>
  </si>
  <si>
    <t>3.4.1. Identificar y convocar a los proveedores de insumos y servicios comerciales, técnicos y logísticos, de las subregiones maiceras priorizadas, para fortalecer su oferta, acorde con las necesidades de la cadena, y a partir de la caracterización subregional de la actividad 9.4.3.</t>
  </si>
  <si>
    <t xml:space="preserve">3.4.2. Promover en Colombia, la multiplicación y comercialización de semillas hibridas de alta tecnología a precios competitivos, a través de acompañamiento para crear empresas que se dediquen a esta actividad y de orientación a las ya existentes.  </t>
  </si>
  <si>
    <t>3.4.4. Capacitar a los productores y/o agroindustriales, en la gestión de sus cadenas de suministro de insumos y servicios, la logística de sus operaciones y la tecnología aplicable en estas.</t>
  </si>
  <si>
    <t>3.4.5. Promover el establecimiento de una mayor cantidad de oferentes de maquinaria agrícola, en las regiones productoras, y de empresas prestadoras de servicios de mecanización agrícola, que incluyan las tecnologías de agricultura de precisión en su oferta de productos y servicios.</t>
  </si>
  <si>
    <t>3.4.6. Promover la capacitación de operadores de maquinaria agrícola y equipos tecnológicos para la agricultura, y la capacitación de personas para su mantenimiento y reparación.</t>
  </si>
  <si>
    <t xml:space="preserve">Mincomercio y Minagricultura (Entidades líderes); ADR, Minenergia, Finagro, Entidades financieras, Bancóldex, Innpulsa, BMC, Gremios de la cadena de maíz, Industria alimenticia y otras industrias, Distribuidores de maquinaria agrícola, Distribuidores de Insumos Agrícolas, Empresarios e inversionistas. </t>
  </si>
  <si>
    <t>3.5.1. Brindar acompañamiento técnico a los empresarios para facilitar la importación de maquinaria y equipos de alta tecnología, nuevos o usados, destinados a la producción de maíz a mediana y gran escala, considerando el inventario actual de maquinaria y equipos, los oferentes del servicio, los mecanismos de renovación y modernización, los impuestos y aranceles, entre otros, estimulando la constitución de bancos de maquinaría de alta tecnología.</t>
  </si>
  <si>
    <t>3.5.2. Promover la financiación, cofinanciación, incentivos, alianzas público - privadas, inversión directa, estructuración de proyectos, entre otras, que impulsen iniciativas de almacenamiento de granos a escala (elevadores en puertos secos).</t>
  </si>
  <si>
    <t>3.5.3. Orientar y promover la integración y las alianzas estratégicas regionales en modelos agroempresariales integrales (maíz – soya) y/o (maíz - soya - gramíneas - proteína), impulsando la vinculación con la producción pecuaria y con negocios de extracción de aceite y torta de soya.</t>
  </si>
  <si>
    <t xml:space="preserve">3.5.4. Orientar y promover, a través de instrumentos financieros e incentivos, el desarrollo de la industria de cal y otras enmiendas requeridas en los procesos de adecuación, mejoramiento y sostenimiento de la fertilidad de los suelos, que favorezcan el desarrollo competitivo de los modelos agroempresariales.    </t>
  </si>
  <si>
    <t xml:space="preserve">El ordenamiento de la totalidad de la producción de maíz al interior de la frontera agrícola y en áreas con condiciones biofísicas, socioecosistémicas y socioeconómicas favorables para el cultivo, ha permitido el uso más eficiente del suelo y del agua; contrarrestado simultáneamente la afectación de los ecosistemas boscosos, de las áreas de exclusión  y en general de los recursos naturales asociados a la producción del grano. </t>
  </si>
  <si>
    <t xml:space="preserve">Minambiente, y Autoridades Ambientales (Entidades líderes); Minagricultura, IDEAM, Entidades Territoriales, Organismos de control del Sistema Nacional Ambiental - SINA, UPRA, y Productores de maíz. </t>
  </si>
  <si>
    <t>Servicio de promoción y divulgación de la normatividad de áreas de importancia ambiental fuera de la frontera agrícola.
Servicio de apoyo para procesos graduales de sustitución en áreas de importancia ambiental fuera de la frontera agrícola, en las cuales se desarrolle la actividad productiva.</t>
  </si>
  <si>
    <t>4.1.1. Realizar campañas de sensibilización y divulgación de la normatividad relacionada con las áreas protegidas y de exclusión, a los productores de maíz con cultivos ubicados en estas áreas de importancia ambiental, fuera de la frontera agrícola.</t>
  </si>
  <si>
    <t>4.1.2.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t>
  </si>
  <si>
    <t>4.1.3. Promover la formalización de acuerdos entre las autoridades ambientales y los productores de maíz, para el desarrollo de procesos graduales de sustitución en áreas de importancia ambiental fuera de la frontera agrícola en las cuales se desarrolle la producción de maíz, considerando las recomendaciones establecidas en los Planes Maestros de Reconversión Productiva que se formulen para esta cadena.</t>
  </si>
  <si>
    <t>En la totalidad de las áreas cultivadas en el sistema tecnificado, se ha implementado, entre otras prácticas, la labranza de conservación, la descompactación de suelos, la incorporación de residuos y aumento de los contenidos de materia orgánica, la siembra directa, la rotación del maíz con otros cultivos como soya, frijol, algodón y arroz y el desarrollo de sistemas integrados con coberturas, pasturas y ganadería. La recuperación de suelos degradados y los sistemas de agricultura regenerativa, han sido determinantes.  Las prácticas han generado beneficios para la protección y fertilidad de los suelos y simultáneamente aportes positivos en la productividad, así como la disminución de costos por la optimización y ahorro de fertilizantes, agroinsumos y el uso generalizado de bioinsumos. 
En los últimos 20 años también la gestión de agua asociada al cultivo ha mejorado gracias al desarrollo de mecanismos que han contribuido al uso eficiente del recurso, esta eficiencia se refleja en el bajo incremento de la demanda hídrica para el cultivo, el cual bordea en la actualidad el 5,1 %; las mejoras en la eficiencia del agua también se evidencian con el incremento que ha tenido el indicador de rendimiento en el uso del recurso, dándose un aumento del 1,2 % en la productividad hídrica del cultivo de maíz . Al mismo tiempo se ha ampliado la cobertura de tierras adecuadas con riego, alcanzado en la actualidad el cubrimiento del 10 % del total de tierras con potencial para riego, también las soluciones individuales en riego  se han incrementado en un 20 % al año.</t>
  </si>
  <si>
    <t xml:space="preserve">Minagricultura, Minambiente, y CAR (Entidades líderes); ADR, Entidades Territoriales, ICA, IDEAM, EPSEA, UPRA, Asociaciones de usuarios de Distritos de riego, Gremios de la Cadena de Maíz, Empresas de servicios de agua potable, y Productores de maíz.  </t>
  </si>
  <si>
    <t xml:space="preserve">Servicio de apoyo a los productores de maíz para la incorporación de buenas prácticas para el uso y manejo sostenible del suelo.
Servicio de acompañamiento a los productores de maíz, para la implementación de los PMRP.
Servicio de extensión agropecuaria relacionada con calidad, planificación y uso del agua.
Servicio de apoyo financiero para el uso y aprovechamiento del agua.
Servicio de monitoreo y  reporte, del nivel de adopción e impacto de las buenas prácticas en el uso y manejo sostenible del suelo y de la productividad hídrica en el cultivo de maíz.  </t>
  </si>
  <si>
    <t>4.2.1. Realizar capacitaciones y brindar asistencia técnica a los productores de maíz, para la adopción de buenas prácticas de recuperación, uso y manejo del suelo, tales como: labranza de conservación, rotación de cultivos, descompactación, reincorporación de residuos del cultivo, desarrollo de sistemas integrados con coberturas y pasturas, recuperación de áreas degradadas, intensificación sostenible de la producción, uso de bioinsumos, entre otras, de acuerdo con las características y necesidades de las regiones maiceras.</t>
  </si>
  <si>
    <t>4.2.2. Realizar acompañamiento técnico a los productores en la implementación de los Planes Maestros de Reconversión Productiva - PMRP que se formulen para la cadena de maíz, en áreas con condicionantes ambientales para la producción, al interior de la frontera agrícola.</t>
  </si>
  <si>
    <t>4.2.3. Promover mecanismos financieros y no financieros dirigidos a la incorporación de buenas prácticas para la regeneración, uso y manejo sostenible, así como para el aumento de la fertilidad del suelo, en la producción de maíz.</t>
  </si>
  <si>
    <t>4.2.4. Realizar el acompañamiento técnico a los productores de maíz en la adopción de prácticas y tecnologías de manejo agronómico que optimicen el uso del recurso y la productividad hídrica, de acuerdo con la normatividad ambiental aplicable al acceso y aprovechamiento del agua, las demandas del cultivo, y la disponibilidad y capacidad de regulación hídrica, de las fuentes de abastecimiento.</t>
  </si>
  <si>
    <t xml:space="preserve">4.2.5. Fomentar la financiación y cofinanciación requerida en el aumento de la capacidad de captación, almacenamiento y aprovechamiento del agua en soluciones individuales o colectivas (reservorios, reutilización, pozos profundos, pivotes, riego por goteo y aspersión, entre otros) de acuerdo con las características de las regiones maiceras. </t>
  </si>
  <si>
    <t xml:space="preserve">4.2.6. Promover la implementación del instrumento de Pago por Servicios Ambientales - PSA, en el marco de alianzas o acuerdos público - privados o entre privados, a través de procesos de divulgación y capacitación. </t>
  </si>
  <si>
    <t>4.2.7. Implementar un mecanismo de monitoreo y reporte, del nivel de adopción e impacto de las buenas prácticas en el uso y manejo del suelo, y desarrollar mecanismos de monitoreo de la productividad hídrica en el cultivo de maíz, evaluando la eficiencia en el uso del agua.</t>
  </si>
  <si>
    <t>Ante la vulnerabilidad del cultivo a la variabilidad y cambio climático, la cadena dispone de un sistema nacional, regional y local de monitoreo y reporte del clima basado en escenarios de variabilidad climática y cambio climático, así como de riesgo agroclimático; que informa a los productores y les ayuda a mejorar la toma de decisión frente al manejo del cultivo; de esta manera las regiones maiceras se vienen preparando a las proyecciones del cambio de áreas de aptitud que indicaban que las UPA de zonas de altitud alta se reducirían entre 43 y 50 %, las UPA en zonas de aptitud media aumentarían hasta el 72 % y las UPA de baja aptitud podrían incrementarse hasta 100 %.
En los agentes de la cadena, existe una mayor conciencia y compromiso, especialmente en los productores tecnificados y en los transformadores, en adelantar sus actividades, aprovechando el potencial que tiene el cultivo y el grano para la captura de carbono, minimizando las emisiones de este y lo impactos ambientales; gracias a la transferencia de conocimiento y asistencia técnica que ha permitido informarlos sobre las innovaciones en prácticas relacionadas con economía circular, energías renovables, manejo de residuos entre otros.</t>
  </si>
  <si>
    <t>Minagricultura, Minambiente y Minenergia (Entidades líderes); CAR, UPME, ADR, IDEAM, ICA, Agrosavia, EPSEA, SENA, Universidades, Entidades Territoriales, Gremios de la Cadena de maíz, Productores, Comercializadores y Procesadores de maíz.</t>
  </si>
  <si>
    <t>5.1.1. Promover la incorporación de los escenarios de variabilidad y cambio climático, en el desarrollo especializado de las regiones maiceras, a través de los instrumentos de política nacional y regional.</t>
  </si>
  <si>
    <t>5.1.2. Socializar, difundir y capacitar a los productores sobre el uso adecuado de la información agroclimática disponible y actualizada, de acuerdo con las proyecciones climáticas, características de las regiones maiceras, y los riesgos climáticos, para orientar y favorecer la planificación de la actividad productiva.</t>
  </si>
  <si>
    <t xml:space="preserve">5.1.3. Promover el desarrollo y la adopción de semillas mejoradas en su tolerancia a las variaciones climáticas, de forma articulada con instrumentos financieros e incentivos. </t>
  </si>
  <si>
    <t xml:space="preserve">5.1.4. Realizar procesos de capacitación y divulgación sobre instrumentos financieros y no financieros dirigidos a la sostenibilidad ambiental en la producción de maíz, como líneas de crédito especiales, reconocimiento económico por captura de GEI, bonos de carbono, entre otros. </t>
  </si>
  <si>
    <t>5.1.5. Identificar y divulgar los desarrollos en tecnologías de producción bajas en carbono, modelos de economía circular y energías alternativas, aplicables a la cadena de maíz.</t>
  </si>
  <si>
    <t>5.1.6. Realizar el acompañamiento técnico y financiero para mejorar la infraestructura y equipamiento requeridos en la incorporación de tecnologías de producción bajas en carbono, modelos de economía circular, y energías alternativas, a lo largo de la cadena de maíz.</t>
  </si>
  <si>
    <t>Con los avances en los sistemas de producción de maíz más eficientes y con mejores productividades, con economías de escala más fortalecidas a través de estrategias de asociatividad y encadenamientos productivos, así como con inversiones privadas en el marco del desarrollo de las diferentes regiones maiceras, regiones que además están dotadas con infraestructura, logística y servicios públicos que, mejoraron significativamente sus condiciones de conectividad vial y comunicaciones; estos aspectos han permitido en conjunto mayores oportunidades de empleo, el aumento de los ingresos de los trabajadores, así como la permanencia en la actividad. En general se tienen mejoras integrales en las condiciones de vida de los productores y transformadores del grano, principalmente de los pequeños y medianos, así mismo las mejoras sociales se han dado en los modelos de agricultura familiar y en el resto de la población vinculada a la cadena de maíz.</t>
  </si>
  <si>
    <t>Minagricultura (Entidades líderes); Presidencia de la República, Minsalud, Minvivienda, MinTIC, ADR, SENA, Universidades, Entidades Territoriales, Gremios de la cadena de maíz, Industria de alimentos balanceados, Productores de maíz tradicional, Pequeños productores y actores con condiciones de vulnerabilidad.</t>
  </si>
  <si>
    <t xml:space="preserve">Documentos de investigación y  planeación para la cadena de maíz en el que se relacionen los pequeños productores y actores en condiciones de vulnerabilidad. 
Servicio de apoyo a la comercialización para los actores de la cadena de maíz con énfasis en pequeños productores  y actores en condiciones de vulnerabilidad.
Servicio de articulación y gestión para el mejoramiento de las condiciones de la población vinculada a la cadena de maíz, con énfasis en los pequeños productores del sector y actores en condiciones de vulnerabilidad.
Servicio de monitoreo del acceso, tipo de afiliación y calidad de los servicios de servicios públicos, salud, vivienda, de la población vinculada a la cadena de maíz, con énfasis en los pequeños productores y actores con condiciones de vulnerabilidad. </t>
  </si>
  <si>
    <t>6.1.1. Priorizar y seleccionar productores de maíz y otros actores vinculados a la cadena, según su condición de vulnerabilidad, a partir de la caracterización subregional de la actividad 9.4.3.</t>
  </si>
  <si>
    <t xml:space="preserve">6.1.2. Realizar acompañamiento a los pequeños productores de maíz tradicional y sus familias, con el fin de mejorar la seguridad alimentaria, enfatizando en el uso y aprovechamiento de los recursos de su unidad productiva.   </t>
  </si>
  <si>
    <t>6.1.3. Fomentar y aprovechar espacios alternativos para la comercialización rural de excedentes, tales como circuitos cortos de comercialización, mercados campesinos y comunitarios, compras públicas locales, entre otros, a escala local, regional y nacional, que beneficien especialmente a los pequeños productores de la cadena maicera.</t>
  </si>
  <si>
    <t>6.1.4. Articular y fomentar los programas a nivel local, regional y nacional, relacionados con el mejoramiento de las condiciones de: acceso y calidad de la nutrición de la población, servicios públicos, vivienda, salud, conectividad, entre otros, de los pequeños productores de maíz y actores vinculados a la cadena con condiciones de vulnerabilidad.</t>
  </si>
  <si>
    <t>6.1.5. Diseñar, adoptar  e implementar, en conjunto con las entidades pertinentes,  indicadores de seguimiento a la mejora en las condiciones de nutrición, servicios públicos, viviendas y salud, con énfasis en los pequeños productores de la cadena maicera y actores vinculados a esta con condiciones de vulnerabilidad.</t>
  </si>
  <si>
    <t>Es importante resaltar que la transferencia de tecnología y capacitación en los eslabones de la cadena se han podido realizar, en parte, por el fortalecimiento del nivel educativo que han tenido los productores, transformadores y personas vinculadas; en los últimos años los avances indican que en el eslabón productor el 17 % de la población ocupada tiene básica primaria, el 50 % educación básica secundaria y media, el 30 % tiene educación superior y solo el 3 % son analfabetas. Con respecto al nivel de formación de los ocupados en el eslabón de transformación se tiene que el 5 % poseen básica primaria, el 60 % alcanzaron educación básica secundaria y media y el 35 % cuentan con educación superior.</t>
  </si>
  <si>
    <t xml:space="preserve">Minagricultura y Mineducación (Entidades lideres); SENA, Universidades, Entidades Territoriales, Presidencia de la República, Industria de alimentos balanceados, Actores vinculados a la cadena de maíz. </t>
  </si>
  <si>
    <t xml:space="preserve">
Documentos de investigación que  identifique de las necesidades de acceso, cobertura y calidad en la formación de las personas ocupadas en la cadena de maíz.
Servicio de promoción para la formación las personas ocupadas en la cadena de maíz.
Servicio de articulación y gestión para el mejoramiento del nivel de personas ocupadas en la cadena de maíz. 
Servicio de monitoreo del acceso, tipo de afiliación y calidad de los servicios de servicios públicos, salud, vivienda, de la población vinculada a la cadena de maíz. 
</t>
  </si>
  <si>
    <t>6.2.1. Identificar y actualizar las necesidades de acceso, cobertura y calidad de la educación básica primaria, secundaria y superior, de los actores ocupados en la cadena de maíz,  en el marco del proyecto 9.4 "Diseño y operación del Sistema nacional de Información para la cadena de maíz".</t>
  </si>
  <si>
    <t>6.2.2. Promover convenios con las entidades competentes y establecer una red colaborativa, para fomentar el acceso a programas de educación básica primaria, secundaria y superior de los actores ocupados en la cadena de maíz.</t>
  </si>
  <si>
    <t>6.2.3. Articular programas y gestionar incentivos y mecanismos de financiación, dirigidos a contribuir con la mejora al acceso, cobertura y calidad de la educación de los actores vinculados a la cadena de maíz.</t>
  </si>
  <si>
    <t>6.2.4. Fomentar y realizar articulación con entidades gubernamentales, del ámbito, local, regional y nacional para mejorar el acceso tanto a equipos de computo como a conectividad, con el fin de impulsar y fomentar el uso de las TIC por parte de los actores vinculados a la cadena de maíz.</t>
  </si>
  <si>
    <t>La mayor rentabilidad lograda en la producción nacional de maíz y la especialización regional han contribuido a estabilizar la sostenibilidad social de la cadena, junto a esto, los avances tecnológicos, la capacitación, la asistencia técnica y el crecimiento de los diferentes eslabones, han generado, entre otros efectos positivos que se incremente la formalización laboral mediante la implementación de políticas que han permitido que un alto porcentaje  de la población este vinculada al régimen contributivo de seguridad social, a lo que se suma el incremento de la participación laboral de la población en la cadena, en especial la de los jóvenes, a la par se han cerrado brechas salariales entre hombres y mujeres. Se destaca también que con el generalizado uso de maquinarias y equipos más modernos se ha logrado especializar más las labores y que la mano de obra sea más calificada y mejor remunerada.</t>
  </si>
  <si>
    <t>Mintrabajo, Mincomercio y Cámaras de comercio (Entidades líderes); Minagricultura, SENA, Innpulsa, Bancóldex, SIC, Confecámaras, Gremios de la Cadena de maíz,  Procesadores y Comercializadores de maíz, subproductos y derivados.</t>
  </si>
  <si>
    <t xml:space="preserve">Con los avances en los sistemas de producción de maíz más eficientes y con mejores productividades, con economías de escala más fortalecidas a través de estrategias de asociatividad y encadenamientos productivos, así como con inversiones privadas en el marco del desarrollo de las diferentes regiones maiceras, regiones que además están dotadas con infraestructura, logística y servicios públicos que, mejoraron significativamente sus condiciones de conectividad vial y comunicaciones; estos aspectos han permitido en conjunto mayores oportunidades de empleo, el aumento de los ingresos de los trabajadores, así como la permanencia en la actividad. </t>
  </si>
  <si>
    <t>Minagricultura (Entidad líder); Mintransporte, DNP, ART, ADR, ANI, Entidades territoriales, Findeter, Gremios de la cadena de maíz.</t>
  </si>
  <si>
    <t>El ordenamiento productivo y social de la propiedad rural – OSP, ha sido fundamental para el desarrollo competitivo y sustentable de la cadena de maíz, en especial para la consolidación de las regiones maiceras, al contribuir en la formalización de los predios rurales que conforman estas regiones favoreciendo la regularización y acceso de la propiedad rural de los cultivadores de maíz, así como mejores condiciones para la inversión de gran escala y a largo plazo en el cultivo de maíz. 
En la actualidad la producción de maíz en el país se lleva a cabo en su totalidad al interior de la frontera agrícola , debido a que se logró revertir la situación que se presentaba hace 20 años,  donde el 28 % de la producción nacional se desarrollaba por fuera de esta ;  para lo cual fue fundamental la implementación de los planes maestros de reconversión productiva. De igual manera, se consiguió durante este periodo de tiempo, que el 100 % de la producción maicera bajo sistemas tecnificados de clima cálido se desarrollara en las zonas aptas, cuyas condiciones biofísicas, socioecosistémicas y socioeconómicas son más favorables.
Actualmente la cadena cuenta con un mercado de tierras rurales en las regiones maiceras más transparente, operante y formal.</t>
  </si>
  <si>
    <t>Minagricultura (Entidad líder); Entidades Territoriales, ANT, UPRA, Gremios de la cadena de maíz, Productores y empresarios de la cadena de maíz.</t>
  </si>
  <si>
    <t>7.1.1. Socializar y divulgar la normatividad relacionada con la frontera agrícola, a los productores y demás actores de la cadena de maíz.</t>
  </si>
  <si>
    <t>7.1.2. Promover mecanismos para que los actores de la cadena de maíz participen en las instancias que definen las políticas de ordenamiento y planificación municipal y departamental.</t>
  </si>
  <si>
    <t>7.1.4. Replicar experiencias en región, relacionadas con la planificación y ordenamiento en la siembra y producción de maíz, teniendo en cuenta la especialización regional y los requerimientos de mercado, y la caracterización y priorización regional.</t>
  </si>
  <si>
    <t>7.1.5. Realizar acompañamiento técnico en los procesos de uso y aprovechamiento eficiente del suelo para los productores de maíz, en el marco de la frontera agrícola, en coordinación con actores públicos y privados, a través de la formulación e implementación de los Planes Maestros de Reconversión Productiva - PMRP, en sus diferentes enfoques (transformación e innovación tecnológica, agregación de valor, diversificación agropecuaria, cambios sistema productivo según la aptitud de cada zona, producción en zonas condicionadas y recuperación de la capacidad productiva).</t>
  </si>
  <si>
    <t xml:space="preserve">7.1.6. Diseñar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t>
  </si>
  <si>
    <t>De igual forma, la mayor y mejor articulación interinstitucional de la cadena ha gestionado y promovido programas de regularización de la propiedad en zonas maiceras, así como mejoras normativas y herramientas contractuales, que dan mayor seguridad jurídica para el uso de la tierra y para las inversiones en producción de maíz, y han permitido reducir los niveles de informalidad de la tenencia de la tierra, pasando del 55 % al 25 %  en la actualidad. Se destacan los logros en la titularización de predios de la región de los Llanos Orientales y de la región del Caribe, y la adopción de modelos contractuales que han permitido el crecimiento de la producción de maíz del país, jalonada por proyectos empresariales de gran escala.</t>
  </si>
  <si>
    <t xml:space="preserve">Minagricultura y ANT (Entidades líderes); UPRA, Finagro, IGAC, SNR, Entidades Territoriales, Gremios de la cadena de maíz. </t>
  </si>
  <si>
    <t xml:space="preserve">7.2.1. Realizar acompañamiento a los productores de maíz en los procesos de regularización de la propiedad, para favorecer su acceso a los programas y beneficios que contribuyan a mejorar el desarrollo de la actividad productiva.  </t>
  </si>
  <si>
    <t xml:space="preserve">7.2.4. Promover la implementación de normatividad que brinde las garantías para la consolidación de inversiones privadas en el cultivo de maíz, en las regiones maiceras priorizadas. </t>
  </si>
  <si>
    <t>La existencia de diferentes instituciones y actores con capacidad investigativa en el país, sirvió de base para los avances en investigación y adopción, principalmente, de ingeniería genética, transgénesis y biotecnología, permitiendo así disponer de nuevos materiales genéticos al servicio de la producción de maíz nacional; sumado a lo anterior se tienen los progresos significativos en nutrición vegetal, investigación agronómica, en el manejo adecuado de plagas y enfermedades y de los diferentes recursos productivos involucrados en la obtención y transformación de grano, entre otros avances. 
De forma particular, la actualización del PECTIA realizada hace varios años, por parte de expertos, ha permitido que las agendas y estrategias de investigación de este plan, respondan a las necesidades de las diferentes zonas productoras y del sector maicero, gracias a los proyectos con enfoque regional y con visión trazada de mediano y largo plazo. El PECTIA se ha fortalecido con la asignación de un fondo de financiamiento para la investigación agrícola provisto de recursos suficientes y permanentes equivalente a cerca del 1 % del PIB maicero anual , a esto se suma el fortalecimiento de las alianzas estratégicas con diversos organismos internacionales. 
La investigación del maíz nacional también cuenta con recursos provenientes de la inversión privada  generada en los diferentes eslabones y regiones maiceras especializadas en la producción del cereal. El sector privado es protagonista de la rápida adopción de los desarrollos tecnológicos de países líderes en productividad, incorporados en los sistemas de producción tecnificados empresariales, adaptados a las condiciones particulares de las regiones maiceras, con respaldo de la institucionalidad pública, sobre el compromiso de hacerlo con responsabilidad social, ambiental y de la transferencia de conocimiento y tecnología a productores tecnificados de menor escala.</t>
  </si>
  <si>
    <t xml:space="preserve">Minagricultura, Agrosavia, y ADR (Entidades líderes); ICA, Minciencias, Minambiente, Minsalud, Mincomercio, SENA, CAR, EPSEA, Entidades Territoriales, Universidades, Centros de investigación, Comisión Nacional y Comisiones Regionales de Competitividad e Innovación, Gremios de la Cadena de maíz, Productores, Comercializadores y Procesadores de maíz, Comités Regionales de la cadena de maíz.  </t>
  </si>
  <si>
    <t>Documentos de planeación de I+D+i de la cadena de maíz.
Servicio de investigación, desarrollo tecnológico e innovación para la cadena de maíz.
Servicio de Habilitación a las Entidades Prestadoras del Servicio de Extensión Agropecuaria -EPSEA.
Servicio de seguimiento y monitoreo de I+D+i y del nivel de adopción e impacto de las tecnologías disponibles para la cadena maicera.</t>
  </si>
  <si>
    <t xml:space="preserve">8.1.1. Concertar y diseñar el modelo de I+D+i, asistencia técnica, y extensión agrícola e industrial, específico para la cadena de maíz, bajo los lineamientos del SNIA, PECTIA y los PDEA, con enfoque territorial y con la participación articulada de instituciones y actores públicos y privados, del ámbito nacional e internacional, considerando los proyectos ejecutados y en curso en I+D+i y las necesidades en desarrollos tecnológicos y en procesos de extensionismo, de la cadena maicera.  </t>
  </si>
  <si>
    <t>8.1.3. Revisar, priorizar y actualizar el PECTIA para la cadena de maíz, bajo el liderazgo de Minagricultura y Agrosavia, en las líneas de investigación estratégicas concertadas por los actores, con énfasis en: material genético mejorado, manejo nutricional y poblacional, uso eficiente de insumos, rotación de cultivos, manejo de plagas y enfermedades, calidad e inocuidad, sostenibilidad ambiental, gestión climática, manejo de cosecha, poscosecha y transformación, y líneas productivas con mayor valor agregado tanto para consumo animal como humano, así como en otras líneas de investigación priorizadas por la cadena.</t>
  </si>
  <si>
    <t xml:space="preserve">8.1.4. Diseñar una estrategia financiera para la articulación, concurrencia y gestión de fuentes de inversión y financiación públicas y privadas, dirigidas a la implementación del modelo I+D+i, asistencia técnica, y extensión agrícola e industrial de la cadena de maíz. </t>
  </si>
  <si>
    <t xml:space="preserve">OE4. Mejorar el uso del agua y el suelo asociado al cultivo de maíz </t>
  </si>
  <si>
    <t xml:space="preserve">8.1.5. Implementar el modelo de I+D+i, con enfoque regional y con la participación articulada de instituciones y actores públicos y privados, del ámbito nacional e internacional, en las líneas de investigación estratégicas concertadas por la cadena maicera. </t>
  </si>
  <si>
    <t>8.1.6. Conectar la oferta y la demanda de servicios de innovación para la cadena de maíz en propiedad intelectual, desarrollo de nuevos productos, optimización y desarrollo de nuevos procesos, inteligencia competitiva, entre otros, a través de instrumentos de política que promuevan la innovación.</t>
  </si>
  <si>
    <t>8.1.7. Impulsar la creación, desarrollo y/o fortalecimiento de modelos y/o empresas especializadas en la prestación de servicios de asistencia técnica y extensión agrícola e industrial, a través de instrumentos financieros y no financieros.</t>
  </si>
  <si>
    <t>8.1.8. Realizar el seguimiento y monitoreo de los avances en I+D+i de la cadena de maíz, considerando aspectos como vigilancia tecnológica e inteligencia competitiva y diseñar un mecanismo de monitoreo del nivel de adopción e impacto de las tecnologías generadas para esta cadena.</t>
  </si>
  <si>
    <t>Los avances logrados en materia de investigación, innovación y tecnología han sido complementados con el fortalecimiento, eficiencia e integralidad de la asistencia técnica y la extensión agropecuaria; esto se ha dado por la operación desde hace varios años del Servicio Público de Extensión Agropecuaria , este servicio funciona con recursos financieros y humanos suficientes, brindando a los productores un servicio con calidad, eficiencia e integralidad en los temas impartidos ; así mismo se tiene una mayor cobertura, la cual en áreas tecnificadas alcanza el 90 % y en la producción tradicional es del orden del 60 % . En la actualidad el 100 % de los servicios de asistencia técnica y extensión agropecuaria que reciben los productores de maíz son brindados por las Empresas Prestadoras del Servicio de Extensión Agropecuaria -EPSEAS – las cuales son especializadas y capacitadas en la producción del grano ; también se destaca que a la par del servicio público opera en ciertas producciones la asistencia técnica privada brindada por el gremio, por los compradores del grano y por los proveedores de insumos y servicios, todos estos actores se complementan y actúan de forma coordinada.</t>
  </si>
  <si>
    <t>Mineducación, SENA y Minciencias (Entidades líderes); Mintrabajo, Minagricultura, ADR, Agrosavia, EPSEA, Entidades Territoriales, Universidades, Comisión Nacional y Comisiones Regionales de Competitividad e Innovación, Gremios de la Cadena de maíz, Investigadores, Profesionales, técnicos y tecnólogos agrícolas e industriales.</t>
  </si>
  <si>
    <t>Servicio de apoyo para la formación integral de profesionales, técnicos y tecnólogos para la cadena.
Servicio de educación informal para los asistentes técnicos y extensionistas agrícolas e industriales.</t>
  </si>
  <si>
    <t>8.2.1. Identificar y evaluar la oferta de formación, capacitación y cobertura de investigadores, profesionales, técnicos y tecnólogos, realizando un análisis de brechas de formación, en temas específicos requeridos por la cadena de maíz.</t>
  </si>
  <si>
    <t>8.2.2. Promover acuerdos con instituciones educativas para fortalecer la formación en las áreas básicas del conocimiento y en las áreas temáticas, acordes con las necesidades de I+D+i y transferencia de tecnologías, de la cadena de maíz.</t>
  </si>
  <si>
    <t>8.2.3. Promover el diseño, mejora y/o actualización de los programas de formación integral y capacitación por competencias, y desarrollo de habilidades prácticas, a los extensionistas y asistentes técnicos agrícolas e industriales, para la cadena de maíz.</t>
  </si>
  <si>
    <t xml:space="preserve">8.2.4. Elaborar y estandarizar módulos de capacitación para su integración en programas de acompañamiento técnico dirigidos a la adopción de los desarrollos tecnológicos generados para la cadena de maíz, con enfoque regional, teniendo en cuenta el modelo de I+D+i, asistencia técnica, y extensión agrícola e industrial para la cadena de maíz. </t>
  </si>
  <si>
    <t>8.2.5. Formar capital humano en competencias, habilidades y destrezas para estructuración y gestión de proyectos de I+D+i para la cadena.</t>
  </si>
  <si>
    <t>8.2.6. Identificar, seleccionar y capacitar a los extensionistas y asistentes técnicos agrícolas e industriales, en material genético, manejo nutricional (suelos y aguas), manejo poblacional, rotación de cultivos, uso eficiente de insumos (semillas, fertilizantes, agroquímicos y bioinsumos), manejo poscosecha, manejo de equipos para trilla, procesamiento de maíz y fabricación de derivados, entre otros.</t>
  </si>
  <si>
    <t>8.2.7.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y con los sistemas de producción.</t>
  </si>
  <si>
    <t xml:space="preserve">Otro aporte relevante en el crecimiento de la cadena son los buenos resultados en sanidad, calidad e inocuidad del grano y sus productos, nacionales e importados, gracias a las prácticas adecuadas del cultivo, de post cosecha y al desempeño eficiente y activo del sistema Inspección, Vigilancia y Control – IVC, el cual ha estado respaldado con recursos suficientes, en cantidad requerida de laboratorios, de personal calificado y de la tercerización de algunas de sus actividades.
Es así como la sanidad vegetal de la cadena sigue mejorando, con el control  integrado de plagas y enfermedades que ha aumentado su presencia en las UPA maiceras, alcanzando el cubrimiento del 40 % de estas, así mismo, las regiones maiceras cuentan con estudios epidemiológicos y planes de prevención y control articulados con los planes nacionales, y con los planes de prevención y control de puertos y frontera; ... En la actualidad el país cuenta con zonas en las regiones maiceras de baja prevalencia y/o libres de plagas y enfermedades.
Un  sistema de IVC fortalecido, que esta articulado con las entidades encargadas de la coordinación con los productores, transformadores y comercializadores; permitiendo que se desarrolle un mercado de maíz nacional formalizado, con normatividad clara, procesos óptimos, y con suficientes laboratorios, recursos económicos, capacidad logística y humana, para el control de la calidad e inocuidad en cada región maicera, realizando controles de calidad e inocuidad un número estadísticamente representativo de muestras de maíz nacional, importado y de sus derivados, especialmente para el control de la contaminación con micotoxinas, de acuerdo a los estándares internacionales y respondiendo a las necesidades nacionales, regionales y locales.
De igual forma, el sistema IVC permite focalizar los riesgos de manera eficiente y oportuna considerando el origen, destino y uso del grano; en las regiones maiceras, reduciendo de forma importante los riesgos de micotoxinas, soportado en el cumplimiento de los protocolos de calidad e inocuidad del sistema IVC, en la infraestructura de secamiento y almacenamiento presente en las regiones que cubre las necesidades del beneficio del grano hasta en un 70 %, y en el respaldo que otorgan las certificaciones exigidas por el mercado, entre otros.
</t>
  </si>
  <si>
    <t xml:space="preserve">
ICA, INVIMA, Minagricultura, Minsalud, Entidades Territoriales de Salud (Entidades líderes); Entidades Territoriales, Gremios de la Cadena; Policía Nacional, Policía Fiscal y Aduanera, Productores, Comercializadores y Procesadores de maíz.</t>
  </si>
  <si>
    <t>9.1.1. Identificar las necesidades en aspectos técnicos, humanos, físicos y presupuestales, para el fortalecimiento de las autoridades sanitarias, en concordancia con los resultados esperados en materia de sanidad e inocuidad, del POP para la cadena de maíz.</t>
  </si>
  <si>
    <t>9.1.2. Actualizar el plan estratégico de las autoridades sanitarias y de inocuidad, considerando las necesidades y particularidades regionales de la cadena de maíz y en concordancia con la normatividad vigente.</t>
  </si>
  <si>
    <t>Se cuenta con un Fondo Nacional Cerealista - FNC fuerte, ... su trabajo conjunto con la organización de la cadena, que los ha llevado a tener mayores recursos vía pago de la cuota de fomento, superando las dificultades para el recaudo y la evasión.
Los agentes de la cadena pueden optar por créditos para financiar los cultivos, en montos que llegan a ser de hasta el 30% del valor de la producción anual; de igual forma se han aumentado las líneas de crédito de largo plazo para financiar inversiones en activos de lento retorno. 
Gracias a la planeación de proyectos productivos de mediano y largo plazo con rentabilidades adecuadas, también se han abierto oportunidades para la financiación no bancaria, como el acceso a mercados de capitales, a los fondos de inversión, contratos forward, entre otras. Así mismo, el Incentivo de Capitalización Rural, ha sido un gran apoyo para el crecimiento de la cadena, al tener mayor acceso a los recursos por parte de los agentes a través de sus asociaciones y alianzas.
La importancia de la gestión de los riesgos con la  toma de los seguros agrícolas, las cobertura del precio y tasa de cambio; lo que también demuestra la confianza y el respaldo que los avances de la cadena les genera, prueba de ello es que la cobertura del seguro agrícola viene creciendo y hoy cubre hasta el 30 % del área de cultivo y la cobertura de precio y tasa de cambio ha alcanzado el 40 % de la producción nacional.
La revisión, actualización y aplicación de la normas técnicas para la comercialización de maíz, acorde con los estándares internacionales , permitió la determinación de clase, tipo y grado, como parámetros generalizados y aceptados para calificar la calidad y orientar las decisiones de producción, comercialización y formación de precios en el mercado nacional del maíz como producto físico disponible, cubriendo así hasta el 50 % de la producción nacional.</t>
  </si>
  <si>
    <t>Minagricultura (Entidad líder);  Comisión Nacional de Crédito Agropecuario - CNCA, Finagro, ADR, Mincomercio, BMC, Colombia Productiva, Bancóldex, Entidades Financieras, Innpulsa, SENA, Fenalce - FNC, Gremios de la Cadena, Productores, Procesadores y Comercializadores de maíz</t>
  </si>
  <si>
    <t xml:space="preserve">9.2.1.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t>
  </si>
  <si>
    <t>9.2.2.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t>
  </si>
  <si>
    <t>9.2.3. Diseñar y/o mejorar programas que permitan la inclusión financiera de pequeños y medianos productores de maíz y MiPymes relacionadas con la cadena, que redunden en la mejora en el acceso y cobertura tanto al crédito de fomento como al formal.</t>
  </si>
  <si>
    <t>9.2.5. Diseñar y/o mejorar instrumentos de comercialización y financiación no bancaria a lo largo de la cadena maicera, tales como contratos con entrega a término, con anticipo financiero y garantía FAG, repos, valoración de activos biológicos, entre otros.</t>
  </si>
  <si>
    <t xml:space="preserve">9.2.7. Diseñar y/o mejorar instrumentos de política, para promover la asociatividad, la integración, y el emprendimiento, a lo largo de la cadena maicera.  </t>
  </si>
  <si>
    <t xml:space="preserve">9.2.8. Contribuir en el desarrollo de acciones que mejoren la gestión y el recaudo de la cuota de fomento cerealista. </t>
  </si>
  <si>
    <t>La institucionalidad nacional, a través de entidades del orden regulatorio agropecuario y ambiental, del orden catastral, del orden industrial, comercial y laboral y del orden tributario nacional, están comprometidas con modelar instrumentos adecuados para apoyar la consolidación del interés privado nacional e internacional, por invertir en proyectos de mediana y gran escala que, buscan aumentar la producción de maíz en el país.
Los procedimientos para el cumplimiento de los requisitos ambientales, de los proyectos de agricultura empresarial, en especial los de mayor escala y sus integraciones con procesos agroindustriales y pecuarios, se hicieron más expeditos, gracias a la articulación efectiva entre las entidades del orden territorial como las corporaciones autónomas regionales y las del orden nacional como la Autoridad Nacional de Licencias Ambientales ANLA, lo cual fue determinante para dar fluidez y estabilidad a la inversión privada a lo largo de la cadena.</t>
  </si>
  <si>
    <t>Minagricultura (Entidad líder); ICA, Agrosavia, Minciencias, Minambiente, Autoridades ambientales, Mincomercio, DNP, Minhacienda, BMC, ANT, UPRA, DIAN.</t>
  </si>
  <si>
    <t>9.3.1. Promover la conformación de una red colaborativa entre actores nacionales e internacionales, que facilite y agilice los procesos de validación tecnológica, necesarios para la adopción rápida de semillas de última tecnología, la protección de cultivares y el acceso a la producción de biológicos, entre otros avances tecnológicos, para unidades productivas de maíz a mediana y gran escala.</t>
  </si>
  <si>
    <t xml:space="preserve">9.3.2. Analizar el procedimiento de importación de material genético de maíz, identificando oportunidades de mejora para agilizar los trámites de ingreso al país y gestionando los respectivos cambios. </t>
  </si>
  <si>
    <t>9.3.3. Analizar los trámites asociados al cumplimiento de los requisitos ambientales para el desarrollo de modelos agroempresariales de la cadena de maíz, y gestionar su simplificación, automatización y estandarización.</t>
  </si>
  <si>
    <t>9.3.5. Promover la evaluación y actualización periódica de los beneficios tributarios para las grandes inversiones, acordes con las necesidades de los agroempresarios de la cadena de maíz, valorando las condiciones de acceso a estos y su aplicación a las particularidades de la actividad productiva, así como su impacto en la inversión, empleo, avance tecnológico y competitividad en la cadena maicera (ej.: Resolución 194 de 2020, Decreto 1157 de 2020, Estatuto Tributario, entre otras).</t>
  </si>
  <si>
    <t>Se cuenta con un sistema de información que consolida y articula la información para el servicio integral de la cadena con un plan estratégico estadístico acorde a las necesidades de esta y de cada región maicera , gracias a esto, el sistema ha generado vínculos colaborativos de acceso a la información, facilitando las bases y avances del conocimiento relacionados con maíz, los avances en los procesos productivos, el apoyo a la sanidad, calidad e inocuidad del grano y sus productos, la creación de modelos de comportamiento agroclimático y respuesta al riesgo de forma regionalizada, de seguimiento al comportamiento del mercado de tierras, comportamiento del precio del grano, movimiento de cargas, y ordenamiento social, entre otros; de igual forma, han favorecido temas relacionados con la destinación de recursos y de crédito e incentivos por parte del Gobierno.  El sistema de información está articulado con las regiones maiceras y con sus organizaciones, aportando de manera estratégica en la planeación y en la visión de cada una de estas regiones maiceras, en el marco del POP Maíz.</t>
  </si>
  <si>
    <t xml:space="preserve">Minagricultura y UPRA  (Entidades líderes); DANE, DNP, ICA, INVIMA, Agrosavia, Gremios de la Cadena de maíz, Entidades territoriales, Cámaras de Comercio, Universidades, Productores, Procesadores y Comercializadores de maíz.
 </t>
  </si>
  <si>
    <t xml:space="preserve">Documentos técnicos del estado del arte y los requerimientos de información de la cadena de maíz.
Servicio de información para la cadena de maíz.
Documentos técnicos de caracterización de la producción, comercialización y procesamiento de maíz, a nivel subregional.
Servicio de monitoreo del mercado nacional e internacional de maíz.
</t>
  </si>
  <si>
    <t xml:space="preserve">9.4.1. Elaborar un estudio técnico, financiero, jurídico y operativo para el desarrollo de un Sistema de Información para la cadena de maíz,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seleccionando la mejor alternativa para la gestión de la información sectorial a nivel nacional y regional. </t>
  </si>
  <si>
    <t xml:space="preserve">9.4.2. Poner en funcionamiento el sistema de información para la cadena maicera, a partir del establecimiento de acuerdos con los actores generadores de información, que aseguren la interoperabilidad del sistema, y realizando el levantamiento, procesamiento, análisis, monitoreo, actualización, publicación y divulgación de la información, requerida por los diferentes actores dirigidos al monitoreo de la competitividad y sostenibilidad de la cadena estableciendo: reportes y análisis de precio y calidad según el tipo y destino del maíz, indicadores de costos y eficiencia productiva y de desempeño (área, producción y rendimiento), consumo aparente, informes agroclimáticos, entre otros. </t>
  </si>
  <si>
    <t>9.4.3. Caracterizar la producción, comercialización y procesamiento de maíz, a nivel subregional, incluyendo tanto sistema de producción tradicional como tecnificado, e identificando productores, empresas, esquemas asociativos, y de integración vertical y horizontal, actuales y potenciales, y su oferta de productos y desempeño, modelos de negocio exitosos a lo largo de la cadena; necesidades de formación básica y técnica de productores, procesadores, y comercializadores, entre otros aspectos.</t>
  </si>
  <si>
    <t>9.4.4. Monitorear el comportamiento del abastecimiento del mercado y de los requerimientos de la demanda nacional para las diferentes líneas de producción, y caracterizar el consumo nacional de maíz en sus diferentes segmentos de mercado, escalas de producción y tipos de industria del consumo humano y animal.</t>
  </si>
  <si>
    <t>Los agentes de la cadena públicos y privados de todos los eslabones, han logrado hablar un solo lenguaje de colaboración y emprendimiento uniendo sus esfuerzos para apoyar la consolidación de la organización de la cadena maicera a nivel nacional y regional, entendiendo que estas, han sido el soporte y las encargadas de jalonar el  mejoramiento de los indicadores de desempeño de la cadena, alcanzando la visión plasmada hace 20 años en el POP Maíz.</t>
  </si>
  <si>
    <t xml:space="preserve">Minagricultura y Gremios de la cadena de maíz (Entidades líderes); DNP, Entidades Territoriales -Secretarias de Agricultura y Desarrollo Rural. </t>
  </si>
  <si>
    <t>Servicio de fortalecimiento de los comités regionales de la cadena de maíz y la organización de cadena a nivel nacional. 
Servicio de articulación institucional para el fortalecimiento de la cadena de maíz.</t>
  </si>
  <si>
    <t>9.5.1. Priorizar las subregiones maiceras de acuerdo con criterios de aptitud, productividad, infraestructura, bienes y servicios, mercado actual y potencial, interés y participación de los actores, entre otros factores.</t>
  </si>
  <si>
    <t>9.5.2. Crear, fortalecer y gestionar los recursos para el funcionamiento de los comités regionales de la cadena de maíz, en el marco de la Ley 811 de 2003.</t>
  </si>
  <si>
    <t>9.5.3. Propiciar la creación de la Organización de Cadena a nivel nacional, a partir de los avances en la dinámica y fortalecimiento de los comités regionales de la cadena de maíz.</t>
  </si>
  <si>
    <t xml:space="preserve">9.5.4. Acompañar el desarrollo y progreso de los comités regionales de la cadena de maíz y la Organización de Cadena a nivel nacional para lograr su sostenibilidad y capacidad ejecutiva. </t>
  </si>
  <si>
    <t>La voluntad de concertación y el diálogo, han estado presentes durante estos 20 años, desde que fue aprobado e implementado el Plan de Ordenamiento Productivo de la cadena maicera -POP maíz; y hoy se visualizan en el reconocimiento de la importancia que para todos los colombianos tiene la cadena productiva, no solo en lo económico, sino en lo cultural y en el gran aporte al bienestar social y a la seguridad alimentaria; son por estas razones entre otras, que el país, representado en sus entidades y los agentes de la cadena, han logrado el fortalecimiento de la institucionalidad que soporta una cadena desarrollada, que sigue creciendo, y que abastece las necesidades de su población.</t>
  </si>
  <si>
    <t>Minagricultura (Entidad líder); DNP, Minhacienda, y UPRA.</t>
  </si>
  <si>
    <t>Documento normativo para la adopción del Plan de Ordenamiento Productivo para la cadena de maíz
Servicio de socialización y divulgación del Plan de Ordenamiento Productivo para la cadena de maíz
Documento de planeación presupuestal para la implementación del Plan de Ordenamiento Productivo de la cadena de maíz
Servicio de seguimiento y evaluación para el Plan de Ordenamiento Productivo de la cadena de maíz.</t>
  </si>
  <si>
    <t xml:space="preserve">9.6.1. Adoptar como política pública el Plan de Ordenamiento Productivo para la cadena de maíz, mediante resolución expedida por el Minagricultura. </t>
  </si>
  <si>
    <t>9.6.2. Establecer el cronograma anual para la implementación del Plan de Ordenamiento Productivo de la cadena de maíz.</t>
  </si>
  <si>
    <t>9.6.3. Socializar y divulgar el Plan de Ordenamiento Productivo para la cadena de maíz, a nivel nacional y territorial.</t>
  </si>
  <si>
    <t>9.6.4. Gestionar ante las entidades pertinentes, tanto nacionales como locales, los recursos requeridos y estructurar el presupuesto para cada uno de los proyectos de este Plan de Acción, teniendo en cuenta la estimación de costos del portafolio de programas y proyectos, los actores líderes y aliados, y los instrumentos de política identificados en el componente de entorno político.</t>
  </si>
  <si>
    <t>9.6.5. Empoderar gradualmente los diferentes comités regionales que se constituyan, para que tomen el liderazgo en la implementación del POP de la cadena de maíz.</t>
  </si>
  <si>
    <t>9.6.6. Diseñar e implementar el sistema de seguimiento y evaluación del Plan de Ordenamiento Productivo para la cadena de maíz.</t>
  </si>
  <si>
    <t xml:space="preserve">Se estiman 6 mesas de trabajo presencial y 6 virtuales, pago anual a plataformas de información y base de datos,  se estima 2 visitas de consultores internacionales con tiquetes y viáticos para profundizar sobre temas de mercado en otros países de referencia, se estima la creación de un incentivo al valor agregado para pequeñas y medianas empresas, el cual se calculó teniendo en cuenta el valor de los ingresos de micro y pequeñas empresas, de acuerdo a la clasificación de la Dian, a la cual se le estimó un porcentaje del 10% y 5% del valor anual de los ingresos estimados y a este resultado se le calculó el 10% y el 5%  para hallar un valor de apoyo para la generación de valor agregado para micro y pequeñas empresas de $8.954.883 y $19,476.575 respectivamente, para 8  microempresas  y 4 pequeñas empresas en las regiones a intervenir, cada región. Se estimaron 5 talleres y/o eventos de divulgación nacionales y regionales por región a intervenir, tanto presencial como virtual, se estimó la realización de 2 ferias comerciales por región a intervenir, ruedas de negocios presenciales y virtuales por región, se estiman certificaciones diferenciadoras por región a intervenir, campaña publicitaria nacional, campañas publicitarias por región a intervenir, 2 stand de promoción y divulgación por zonas a intervenir, pautas en redes sociales por región, plan de medios radiales a nivel regional, cursos cortos presenciales y virtuales a nivel regional (2 por región a intervenir),  se calcula un equipo humano para los proyectos 1.1 y 1.2  a nivel nacional con un salario promedio de $7.862.772 y su desplazamiento a región, se estima también un personal en región con un sueldo promedio de $3.931.384 y rodamiento de $1.300.000 para el desplazamiento en región y apoyos tecnológicos.  Se deja por definir  otros mecanismos de posicionamiento. </t>
  </si>
  <si>
    <t>Se estiman 6 mesas de trabajo presencial y 6 virtuales (una por mes), pago de plataformas de información. Se supone la intervención a 10 subregiones porque  tienen más del 30% en producción de maíz tecnificado, se estiman 20 talleres y/o eventos de divulgación nacionales y/o regionales presenciales y 20 virtuales,  se supone la intervención en solo 4 regiones  mayores de acuerdo a la importancia actual y potencial en el mercado, 10 ruedas de negocios presenciales y 10 ruedas de negocios virtuales. Se estima 10 cursos cortos por subregión a intervenir presencial y 10 cursos cortos virtuales,  4 campañas institucionales por área a intervenir, cursos libres virtuales, para 10 personas por región, ruedas de negocios presenciales y virtuales por subregión,  2 ferias comerciales por región a intervenir. Se estima un equipo humano  de 5 personas compartido para los proyectos 1.1 y 1.2 con un salario promedio mensual de $7.862.772 por 12 meses, se estima 8 desplazamientos  con sus tiquetes y viáticos. Se estima equipo de trabajo, rodamiento, y apoyos tecnológicos en las 4 regiones a intervenir. Se sugiere la creación de un incentivo para el pago de la comisión Fag de contratos de suministro,  se parte de 193.401 has, área de maíz tecnificado en el año base 2020, tomado del análisis de prospectiva y se supone un incremento en un 10% anual, con una productividad inicial de 5.8 t/h (año base 2020), estimando su crecimiento en  5% anual. Se estima que un  20% de la producción de cada año, se comercialicen con contratos anticipados. Se supuso un valor de maíz de 1.000.000 por tonelada,  y se estimó que el porcentaje de comisión del FAG es del 3.75% y el registro en la BMC del vendedor es de 0.04% del valor de la negociación, lo que arroja un valor de $37.900 por tonelada de maíz registrada en la BMC, se estima que el 50% de este valor que sea asumido por el estado  durante los cinco primeros años .  Se deja por definir otras formas de aumento.</t>
  </si>
  <si>
    <t>Valor ICR kit por año asociaciones de productores en las siembras de maiz</t>
  </si>
  <si>
    <t>Valor ICR resto productores</t>
  </si>
  <si>
    <t>Valor LEC Kit de maquinaria por año asociaciones de productores en las siembras de maiz</t>
  </si>
  <si>
    <t>Valor LEC Kit de maquinaria por año resto de productores</t>
  </si>
  <si>
    <t>Valor Mensual</t>
  </si>
  <si>
    <t>Ton de cal por año</t>
  </si>
  <si>
    <t>Tabla de Estimación de costos</t>
  </si>
  <si>
    <t>Tabla de Estimación de Costos</t>
  </si>
  <si>
    <t>Año 2 al 20</t>
  </si>
  <si>
    <t>LEC Adecuación de tierras</t>
  </si>
  <si>
    <t>Años</t>
  </si>
  <si>
    <t>ICR Pequeños y asociativos/ soluciones individuales de riego</t>
  </si>
  <si>
    <t>ICR demás tipos de productores soluciones individuales de riego</t>
  </si>
  <si>
    <t>ICR Capacidad instalada requerida por año pequeños</t>
  </si>
  <si>
    <t>ICR Capacidad instalada requerida por año pequeños asociaciones</t>
  </si>
  <si>
    <t>ICR Capacidad instalada requerida por año medianos</t>
  </si>
  <si>
    <t xml:space="preserve">Se supone la intervención a 10 subregiones porque  tienen más del 30% en producción de maíz tecnificado, que se agrupan en 4 regiones mayores. (Costa, Valle, Tolima y Llanos). Se propone realizar 20 mesas de trabajo presenciales y 20 virtuales, 30 talleres virtuales y 30 talleres presenciales.  Se estima  complementar la capacitación con  10 cursos cortos de capacitación, 10 cursos cortos virtuales. Se estima apoyar con el 50% del costo a 1 persona por subregión a intervenir para la realización de cursos libres y 10 para cursos libres virtuales. Para acceder al oferta de consultoría agronómica y tecnología, para la alta productividad, se realizaran dos veces por año (semestrales),  en las 4 regiones mayores, un total de 8 ruedas de negocio presenciales, 8 ruedas de negocio virtuales, 8 ferias comerciales. Se propone  10 giras técnicas una por subregión a intervenir para conocer experiencias prácticas de sistemas de alta productividad. Se propone la divulgación y promoción de las actividades, mediante planes de medios, pauta en redes sociales, material promocional y de divulgación por subregión intervenir. Se estima implementar 2 lotes modelos por año (semestrales) en las 10 subregiones a  a intevenir. Se estima un apoyo del  50% del costo de la certificación de calidad para 2 plantas productoras de cal dolomita durante los primeros 5 años. Se propone una consultoría técnica especializada para alta productividad a 100 unidades de producción de 20 has por semestre, es decir 4.000 has, con un costo de 90 dólares por ha. Se propone contratar un equipo técnico humano nacional, de foco operativo, de 4 personas para la gestión de las actividades en las cuatro regiones mayores (Costa, Tolima, Valle y Llanos). Se propone contratar 4 profesionales especializados, durante 4 años, con un promedio salarial de $12.894.9491 con especialidad en tema semillas para acción nacional y 3 con especialidad en temas de suelos nutrición para acción en regiones Costa, Valle-Tolima y Llanos. Se proponen incentivos para la aplicación de cal por has sembrada y para adquirir maquinaria, los cuales se calculan de acuerdo al supuesto de gradualidad en el crecimiento en las áreas del año 2 al año 20 así: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Se propone crear un incentivo a la adecuación química de suelos, a través de  la aplicación de 5 t/h de Cal dolomita, con un costo de $150.000 por tonelada; se sugiere la asignación de un ICR del 20% durante los 10 primeros años,  ya que es una inversión de lento retorno, a partir del año 12 y hasta el 20 se propone una línea especial de crédito, que subsidie el 7.5% del interés del valor del crédito.  Para modernizar la maquinaria, se tienen en cuenta kits maquinaria para atender 400 has de capacidad, cuyo costo por kit es de $2.570.750 según estudio realizado en la iniciativa soya maíz  proyecto maíz del 2021, se propone asignar recursos de  de ICR de un 40% para asociaciones de productores y un ICR de 20% a otros productores, durante los años 2 a 11. Se estima que las hectáreas de las sociaciones de productores corresponden al 10% del área, del año 2 al 6, de 20% del área del año 7 al 11, del 30% del área del 12 al 17 y del 40% del área del año 18 al 20. Para los años 12 al 20, se sugiere asignar recursos de LEC para continuar apoyando la modernización de la maquinaria a asociaciones y a otros productores, la cual subsidia 7.5% puntos de la tasa de interés del costo de la maquinaria.
</t>
  </si>
  <si>
    <t>Se supone la intervención a 10 subregiones porque  tienen más del 30% en producción de maíz tecnificado, que se agrupan en 4 regiones mayores (Costa, Valle, Tolima y Llanos). Se estiman actividades de gestión desde el año 1 al 11. Se estima la realización de mesas de trabajo presenciales y virtuales, a nivel subregional por una parte se trabaja la selección de locaciones adecuadas para planificar la construcción de infraestructura de secamiento y almacenamiento. También explorar sobre el interés en los procesos industriales de transformación y productos derivados. Se sugiere talleres se da capacitación sobre los aspectos técnicos para la instalación de plantas de secamiento y almacenamiento, sobre los procesos de transformación, formulación de planes de negocio  y el desarrollo de empresas con este fin. Igualmente en estos talleres o eventos de divulgación se generan conexiones entre los productores, los comercializadores y las empresas constructoras de plantas industriales. Se sugiere complementar la capacitación con giras técnicas a instalaciones en funcionamiento, cursos cortos, presenciales y virtuales. Los estima procesos de capacitación y acompañamiento para la construcción de infraestructura y constitución de empresas de transformación se realizan durante 10 años. Se parte de la meta de prospectiva de contar con 3.000.000 de toneladas de capacidad de secamiento y almacenamiento, que se va incrementando con  la misma tendencia que lo hace el área con crecimiento en las áreas del año 2 al año 20 así: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Por tano  entre el año 2 al 6 se estima haber llegado al 22% de la capacidad requerida, del año 7 al 12  alcanzar un 53% adicional, y del año 13 al 20 alcanzar el 26% restante,  para alcanzar el 100% durante el transcurso del plan. De esta cantidad se estima que el  10% sea para pequeños productores y el 40% para asociaciones de pequeños productores, a los  primero se les otroga un ICR del 30% y a los segundo se les otorgaría un ICR del 40% y para medianos productores un ICR del 20%;  la cantidad de capacidad instalada para medianos productores, se estimó en un 30%, el 20% restante sería para grandes productores, que no serían objeto de incentivo. El costo promedio de esta infraestructura es de USD 974 / ton de capacidad instalada construida por pequeños productores individuales (1000 ton de almacenamiento y 35 ton / día de secamiento), de USD 743 / ton a la construida por pequeños productores asociados (3000 ton de almacenamiento y 100 ton / día de secamiento), y de USD 599 / ton a la construida por medianos productores asociados (9000 ton de almacenamiento y 300 ton / día de secamiento).  Se estima incentivos para el emprendimiento de industrias de procesamiento de maíz, a 5 microempresas, a 3 pequeñas empresas y a 1 mediana empresa. El valor del incentivo se calculó teniendo en cuenta el valor de los ingresos de micro, pequeñas y medianas empresas,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Se considera un equipo humano de acción nacional de 2 personas para liderar y coordinar las actividades de capacitación, divulgación y comerciales de los proyecto 3.3 y 3.4 . Se complementa con un equipo humano de acción subregional, con rodamientos y apoyos tecnológicos, para las actividades de coordinación, operativas, logísticas que comparten actividades con el proyecto 3.4.</t>
  </si>
  <si>
    <t>Se estiman 25 mesas de trabajo (4 presenciales y 19 virtuales), 4 talleres y/o eventos de divulgación nacionales, talleres y/o eventos de divulgación regionales (19 presenciales y 19 virtuales, 1 en cada subregión), 10 parcelas demostrativas (se toman 10 de las 19 subregiones porque contienen más del 30% del área en producción de maíz en sistema tecnificado, que se agrupan en 4 regiones), material de divulgación (en las 4 regiones priorizadas), escuelas, días de campo, giras técnicas,  y/o visitas (6 en cada una de las 10 subregiones). Se estiman, cursos cortos, cursos libres, y diplomados presenciales (1 en cada una de las 4 regiones priorizadas) y virtuales (1 en cada una de las 10 subregiones priorizadas); un equipo humano nacional de 2 personas, con viáticos y desplazamientos, un equipo en región de 10 personas, con rodamiento (peajes y combustible) y apoyos tecnológicos (GPS y Tablet) y unos consultores especializados para apoyar el diseño de riego intrapredial (1 en cada una de las 4 regiones priorizadas).  Se estima un 7,5% anual del valor del crédito como subsisido a tasa de interés (LEC) por adecuación de tierras para uso agropecuario. Las hectáreas a apoyar corresponden a un  30% de las áreas estimadas a incrementar durante la ejecución del plan (950.000), es decir 285.000 , la gradualidad en las hectáreas se estimó asi: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Se estima un valor por hectárea de $1.500.000 que es un supeusto técnico para la inversión en labores mecanización y encalamiento para adecuar tierras para el cultivo.  Por su parte para las soluciones individuales de riego, se estimó hectáreas a apoyar corresponden a un  5% de las áreas estimadas a incrementar durante la ejecución del plan (950.000), es decir 47.500  de los cuales se estimpo un 50% para pequeños y asociativos y un 30% para medianos, se considero un 20% para grandes; se sugiere un ICR de 40% para pequeños y pequelos asociativos y del 20% para medianos y a los grandes no les asigna incentivos. La gradualidad en las hectáreas se estimó asi: entre el año 2 al 6 se estima haber llegado al 15% del área proyectada (es decir cada año se alcanza un 3% de la meta), al año 16 haber alcanzado el 80% (cada año se alcanza un 6.5% de la meta)  y al año 20  (cada año se alcanza un 5%) para lograr el 100% . El  supuesto técnico estimado para el valor de las soluciones individuales de riego es de $7.994.184/ha (USD 2.150 a una tasa de cambio de $3.718); que corresponde a un sistema de riego por pivote que incluye equipos, y no incluye mano de obra, ni infraestructura para captación de aguas. Se considera "Por definir" Otros tipos de captación, almacenamiento y aprovechamiento de agua, y otras formas de promoción.</t>
  </si>
  <si>
    <t>COSTOS ESTIMADO</t>
  </si>
  <si>
    <t>TOTAL ESTIMACION DE COSTOS</t>
  </si>
  <si>
    <t>Valor ICR Cal dolomita</t>
  </si>
  <si>
    <t>Valor LEC Cal dolomita</t>
  </si>
  <si>
    <t>1. Costos de personal</t>
  </si>
  <si>
    <t>a. Honorarios</t>
  </si>
  <si>
    <t>Tabla de Honorarios Contratos de Prestación de Servicios</t>
  </si>
  <si>
    <t>Categorías</t>
  </si>
  <si>
    <t>Consultor Categoría III Nivel 8</t>
  </si>
  <si>
    <t>TP+MA+70 -79 ME</t>
  </si>
  <si>
    <t>$/mes</t>
  </si>
  <si>
    <t>Consultor Categoría III Nivel 7</t>
  </si>
  <si>
    <t>TP+MA + 60 - 69 ME</t>
  </si>
  <si>
    <t>Consultor Categoría III Nivel 6</t>
  </si>
  <si>
    <t>TP+MA + 50 - 59 ME</t>
  </si>
  <si>
    <t>Consultor Categoría III Nivel 5</t>
  </si>
  <si>
    <t>TP+MA + 40 - 49 ME</t>
  </si>
  <si>
    <t>Consultor Categoría III Nivel 4</t>
  </si>
  <si>
    <t>TP+E+ 46 - 51 ME</t>
  </si>
  <si>
    <t>Consultor Categoría III Nivel 3</t>
  </si>
  <si>
    <t>TP+E+ 41 - 45 ME</t>
  </si>
  <si>
    <t>Consultor Categoría III Nivel 2</t>
  </si>
  <si>
    <t>TP+E+ 35 - 40 ME</t>
  </si>
  <si>
    <t>Abreviaciones:</t>
  </si>
  <si>
    <t>Consultor Categoría III Nivel 1</t>
  </si>
  <si>
    <t>TP+E+ 29 - 34 ME</t>
  </si>
  <si>
    <t>Consultor Categoría II Nivel 8</t>
  </si>
  <si>
    <t>TP+E+ 23 - 28 ME</t>
  </si>
  <si>
    <t>TB</t>
  </si>
  <si>
    <t>Titulo de bachiller o diploma de bachiller</t>
  </si>
  <si>
    <t>Consultor Categoría II Nivel 7</t>
  </si>
  <si>
    <t>TP+E+ 17 - 22 ME</t>
  </si>
  <si>
    <t>TFTP</t>
  </si>
  <si>
    <t>Título de formación técnica profesional</t>
  </si>
  <si>
    <t>Consultor Categoría II Nivel 6</t>
  </si>
  <si>
    <t>TP+E+ 11 - 16 ME</t>
  </si>
  <si>
    <t>TFT</t>
  </si>
  <si>
    <t>Titulo de formación tecnológica</t>
  </si>
  <si>
    <t>Consultor Categoría II Nivel 5</t>
  </si>
  <si>
    <t>TP+E+ 5 - 10 ME</t>
  </si>
  <si>
    <t>TP</t>
  </si>
  <si>
    <t>Titulo Profesional</t>
  </si>
  <si>
    <t>Consultor Categoría II Nivel 4</t>
  </si>
  <si>
    <t>TP + 25 - 33 ME</t>
  </si>
  <si>
    <t>E</t>
  </si>
  <si>
    <t>Titulo de Posgrado en la modalidad de especialización</t>
  </si>
  <si>
    <t>Consultor Categoría II Nivel 3</t>
  </si>
  <si>
    <t>TP + 18 - 24 ME</t>
  </si>
  <si>
    <t>MA</t>
  </si>
  <si>
    <t>Titulo de posgrado en la modalidad de maestría</t>
  </si>
  <si>
    <t>Consultor Categoría II Nivel 2</t>
  </si>
  <si>
    <t>TP + 10 - 17 ME</t>
  </si>
  <si>
    <t>ME</t>
  </si>
  <si>
    <t>Meses de Experiencia</t>
  </si>
  <si>
    <t>Consultor Categoría II Nivel 1</t>
  </si>
  <si>
    <t>TFT + 7 - 15 ME, ó TP + 3 - 9 ME</t>
  </si>
  <si>
    <t>Consultor Categoría I Nivel 8</t>
  </si>
  <si>
    <t>TFT + 4-6 ME, ó TP +0 - 1 ME</t>
  </si>
  <si>
    <t>Consultor Categoría I Nivel 7</t>
  </si>
  <si>
    <t>TFT+1-3 ME</t>
  </si>
  <si>
    <t>Consultor Categoría I Nivel 6</t>
  </si>
  <si>
    <t>TFTP +7-10 ME</t>
  </si>
  <si>
    <t>Consultor Categoría I Nivel 5</t>
  </si>
  <si>
    <t>TFTP +4-6 ME</t>
  </si>
  <si>
    <t>Consultor Categoría I Nivel 4</t>
  </si>
  <si>
    <t>TFTP +1-3 ME</t>
  </si>
  <si>
    <t>Consultor Categoría I Nivel 3</t>
  </si>
  <si>
    <t>TB +16-20 ME</t>
  </si>
  <si>
    <t>Consultor Categoría I Nivel 2</t>
  </si>
  <si>
    <t>TB +8 -20 ME</t>
  </si>
  <si>
    <t>Consultor Categoría I Nivel 1</t>
  </si>
  <si>
    <t>TB +1- 7 ME</t>
  </si>
  <si>
    <t>Fuente: Valores referencia obtenidos de la tabla de honorarios de contratos de prestación de servicios y apoyo a la gestión - DNP 2022</t>
  </si>
  <si>
    <t>https://www.dnp.gov.co/DNP/contratacion</t>
  </si>
  <si>
    <t>Nota: Se supone para elaboración de estudios, conformación de grupos de trabajo de 5 personas, 1 líder y 4 profesionales de apoyo.</t>
  </si>
  <si>
    <t>2. Costos de desplazamiento a región</t>
  </si>
  <si>
    <t>a. Viáticos</t>
  </si>
  <si>
    <t>2. Tabla de viáticos  Contratos de Prestación de Servicios</t>
  </si>
  <si>
    <t>Honorarios</t>
  </si>
  <si>
    <t>TP+MA+70-79ME</t>
  </si>
  <si>
    <t>TP+MA+60-69 ME</t>
  </si>
  <si>
    <t>TP + MA +50-59 ME</t>
  </si>
  <si>
    <t>TP+MA+40-49ME</t>
  </si>
  <si>
    <t>TP+E+46-51ME</t>
  </si>
  <si>
    <t>TP+E+41-45ME</t>
  </si>
  <si>
    <t>TP+E+35-40ME</t>
  </si>
  <si>
    <t>TP+E+29-34ME</t>
  </si>
  <si>
    <t>TP+E+23-28ME</t>
  </si>
  <si>
    <t>TP+E+17-22ME</t>
  </si>
  <si>
    <t>TP+E+11-16ME</t>
  </si>
  <si>
    <t>TP+E+5-10ME</t>
  </si>
  <si>
    <t>TP+E+25-33ME</t>
  </si>
  <si>
    <t>TP+18-24 ME</t>
  </si>
  <si>
    <t>TP+10- 17 ME</t>
  </si>
  <si>
    <t>TFT+7-15 ME, o TP+3-9 ME</t>
  </si>
  <si>
    <t>TFT+ 4-6 ME, o TP+ 1 ME</t>
  </si>
  <si>
    <t>Nota: Cubre Alojamiento y Alimentación</t>
  </si>
  <si>
    <t>Viáticos/ Tabla de base de liquidación.</t>
  </si>
  <si>
    <t>COMISIONES DE SERVICIO EN EL INTERIOR DEL PAÍS</t>
  </si>
  <si>
    <t>BASE DE LIQUIDACIÓN</t>
  </si>
  <si>
    <t>VIÁTICOS DIARIOS EN PESOS</t>
  </si>
  <si>
    <t>Viáticos diarios en pesos</t>
  </si>
  <si>
    <t>Hasta $0 a $1.228.413</t>
  </si>
  <si>
    <t>Hasta</t>
  </si>
  <si>
    <t>De $1.228.414 a $1.930.333</t>
  </si>
  <si>
    <t xml:space="preserve">De  $1.930.334 a $2.577.679 </t>
  </si>
  <si>
    <t>De  $2.577.680 a $3.269.437</t>
  </si>
  <si>
    <t>De  $3.269.438 a $3.948.523</t>
  </si>
  <si>
    <t>De  $3.948.524 a $5.954.970</t>
  </si>
  <si>
    <t>De  $5.954.971 a $8.322.997</t>
  </si>
  <si>
    <t>De  $8.322.998 a $9.882.403</t>
  </si>
  <si>
    <t>De  $9.882.404 a12.165.606</t>
  </si>
  <si>
    <t>De $12.165.607 a $14.710.550</t>
  </si>
  <si>
    <t>De $14.710.551  en adelante</t>
  </si>
  <si>
    <t>Fuente: Valores referencia obtenidos del Decreto No.979 DE 2021 "Por el cual se fijan las escalas de viáticos</t>
  </si>
  <si>
    <t>"https://www.funcionpublica.gov.co/eva/gestornormativo/norma.php?i=169099</t>
  </si>
  <si>
    <t>Bogota- Monteria</t>
  </si>
  <si>
    <t>Bogota_ Ibague</t>
  </si>
  <si>
    <t>Bogotá- Valledupar</t>
  </si>
  <si>
    <t>Bogotá- Villavicencio</t>
  </si>
  <si>
    <t>Valor promedio ida y regreso</t>
  </si>
  <si>
    <t>Valor promedio ida y regreso. Despegar 3 de maroz 2022</t>
  </si>
  <si>
    <t xml:space="preserve">Nota: Corresponde a un valor promedio simple  del costo de vuelos de rutas nacionales. </t>
  </si>
  <si>
    <t>Combustible</t>
  </si>
  <si>
    <t>Criterio de Cálculo</t>
  </si>
  <si>
    <t>Galón de gasolina</t>
  </si>
  <si>
    <t>Km por Galón</t>
  </si>
  <si>
    <t>35 km por galón</t>
  </si>
  <si>
    <t>Combustible Región 2. Intermedia /Recorre 100 km diario por 20 dias)</t>
  </si>
  <si>
    <t>2000 km mensuales</t>
  </si>
  <si>
    <t>Combustible Región 3. Lejana/ Recorre 200 km diarios por 20 dias.</t>
  </si>
  <si>
    <t>4000 km mensuales</t>
  </si>
  <si>
    <t>Valor aprox Combustible</t>
  </si>
  <si>
    <t>Aproximación a número mayor</t>
  </si>
  <si>
    <t>El rubro de combustible se utiliza el valor promedio hallado, es decir $800.000</t>
  </si>
  <si>
    <t>Aprox mayor valor</t>
  </si>
  <si>
    <t>Valor peaje promedio 12.000 y se estima dos peajes diarios</t>
  </si>
  <si>
    <t xml:space="preserve">Nota: Corresponde a un valor global simple  del costo promedio de peajes entre las subregiones. </t>
  </si>
  <si>
    <t>e. Rodamiento</t>
  </si>
  <si>
    <t>Peajes</t>
  </si>
  <si>
    <t>Alquiler GPS</t>
  </si>
  <si>
    <t>Alquiler Tablet</t>
  </si>
  <si>
    <t>Barreno</t>
  </si>
  <si>
    <t>Medidor de pH</t>
  </si>
  <si>
    <t>Otros</t>
  </si>
  <si>
    <t>Nota: Valor promedio precio alquiler marzo 2022</t>
  </si>
  <si>
    <t>g. Tiquetes internacionales</t>
  </si>
  <si>
    <t>Países De referencia</t>
  </si>
  <si>
    <t>Valor tiquetes</t>
  </si>
  <si>
    <t>Brasil- Sao Paulo-</t>
  </si>
  <si>
    <t>Mexico</t>
  </si>
  <si>
    <t>Argentina</t>
  </si>
  <si>
    <t>Estados Unidos- Chicago</t>
  </si>
  <si>
    <t>3/03/2022, fuente Despegar.</t>
  </si>
  <si>
    <t xml:space="preserve">Nota: Corresponde a un valor promedio simple del costo de vuelos  directos a dichos destinos. </t>
  </si>
  <si>
    <t>Nota. En concordancia  la regionalización de maiz.</t>
  </si>
  <si>
    <t>Regiones Maiceras</t>
  </si>
  <si>
    <t>Amazonia - AZ</t>
  </si>
  <si>
    <t>Caribe Húmedo - CH</t>
  </si>
  <si>
    <t>Caribe Seco - CS</t>
  </si>
  <si>
    <t>Costa Pacifica - CP</t>
  </si>
  <si>
    <t>Ladera - LA</t>
  </si>
  <si>
    <t>Orinoquia - OR</t>
  </si>
  <si>
    <t>Valles Interandinos - VI</t>
  </si>
  <si>
    <t>% Participación del Sistema Técnificado por subregión</t>
  </si>
  <si>
    <t>Participación sistema tecnificado</t>
  </si>
  <si>
    <t>VI - Valle del Cauca</t>
  </si>
  <si>
    <t>LA - Valle Occidente</t>
  </si>
  <si>
    <t>LA - Tolima Huila</t>
  </si>
  <si>
    <t>VI - Alto Magdalena</t>
  </si>
  <si>
    <t>OR - Sabánas (Altillanura)</t>
  </si>
  <si>
    <t>OR - Piedemonte</t>
  </si>
  <si>
    <t>CH - Sinú</t>
  </si>
  <si>
    <t>LA - Eje Cafetero</t>
  </si>
  <si>
    <t>AZ - Piedemonte amazonico</t>
  </si>
  <si>
    <t>CS - Interior</t>
  </si>
  <si>
    <t>VI - Magdalena Medio</t>
  </si>
  <si>
    <t>LA - Macizo Colombiano</t>
  </si>
  <si>
    <t>CH - Sabánas</t>
  </si>
  <si>
    <t>CH - Bajo cauca</t>
  </si>
  <si>
    <t>CS - Litoral</t>
  </si>
  <si>
    <t>LA - Cundinamarca, Boyacá, Santanderes</t>
  </si>
  <si>
    <t>AZ - Amazonía Guaviare</t>
  </si>
  <si>
    <t>AZ - Llanura Amazonica</t>
  </si>
  <si>
    <t>Costo Pacifica</t>
  </si>
  <si>
    <t>No se cuentan con datos coherentes</t>
  </si>
  <si>
    <t>Sub Regiones Maiceras Tecnificadas (&gt; 30% de producción tenificada)</t>
  </si>
  <si>
    <t>Tomado del documento de Regionalización. UPRA 2021</t>
  </si>
  <si>
    <t xml:space="preserve">Macro regiones tecnificadas </t>
  </si>
  <si>
    <t>Subregiones Maiceras</t>
  </si>
  <si>
    <t>Produccion toneladas</t>
  </si>
  <si>
    <t xml:space="preserve">Macro regiones técnificadas </t>
  </si>
  <si>
    <t>4 - VALLE</t>
  </si>
  <si>
    <t>2 - TOLIMA</t>
  </si>
  <si>
    <t>1 - COSTA</t>
  </si>
  <si>
    <t>3 - LLANOS</t>
  </si>
  <si>
    <t>Regiones Maiceras Mayores Agregadas Tecnificadas</t>
  </si>
  <si>
    <t>Cálculos Propios Experto</t>
  </si>
  <si>
    <t>% Producción Tradicional según región maicera</t>
  </si>
  <si>
    <t>Costa Pacifica</t>
  </si>
  <si>
    <t>Sub Regiones Maiceras Tradicionales (&gt; 5% de producción tradicional)</t>
  </si>
  <si>
    <t>3. Actividades Grupales</t>
  </si>
  <si>
    <t>a. Mesas de trabajo</t>
  </si>
  <si>
    <t>e. Mesas de trabajo virtual</t>
  </si>
  <si>
    <t>f. Talleres y/o eventos de divulgación nacional y/o regional virtuales</t>
  </si>
  <si>
    <t>i. Eventos Gestión y divulgación Nacional y/o Regional virtuales</t>
  </si>
  <si>
    <t>Nota: Las mesas ,eventos y talleres virtuales corresponden al 20% del valor estimado de forma presencial</t>
  </si>
  <si>
    <t>(Se calculan mesas de trabajo de 20 personas)</t>
  </si>
  <si>
    <t>Refrigerio</t>
  </si>
  <si>
    <t>Café y otros</t>
  </si>
  <si>
    <t>Costo estimado</t>
  </si>
  <si>
    <t>b. Talleres y/ o eventos de divulgación nacionales y/o regionales (Productor, transformador, comercialización)</t>
  </si>
  <si>
    <t>Se calcula asistencia 40 personas</t>
  </si>
  <si>
    <t>Auditorio</t>
  </si>
  <si>
    <t>Estación de café y otros</t>
  </si>
  <si>
    <t>Material de divulgación y promocional</t>
  </si>
  <si>
    <t>Protocolos de bioseguridad</t>
  </si>
  <si>
    <t>Talleres Nacionales</t>
  </si>
  <si>
    <t>Nota: Auditorio incluye video beam. 40 personas</t>
  </si>
  <si>
    <t>c. Mesas de trabajo</t>
  </si>
  <si>
    <t>Nota: Auditorio incluye video beam</t>
  </si>
  <si>
    <t>c. Escuelas, dias de campo, giras técnicas,  y/ o visitas,  (Productor, transformador, comercialización)</t>
  </si>
  <si>
    <t>Se calcula asistencia 20 personas</t>
  </si>
  <si>
    <t>Refrigerio e hidratación</t>
  </si>
  <si>
    <t>Almuerzo</t>
  </si>
  <si>
    <t>Apoyos tecnológicos y herramientas de diagnóstico</t>
  </si>
  <si>
    <t>Protocolo de bioseguridad</t>
  </si>
  <si>
    <t>Desplazamiento personas/transporte</t>
  </si>
  <si>
    <t>Se estima que las personas provean sus propios medios para llegar a los puntos de encuentro</t>
  </si>
  <si>
    <t xml:space="preserve"> Protocolo bioseguridad :Insumos/ lavado de botas/manos, tapabocas.</t>
  </si>
  <si>
    <t xml:space="preserve">d. Parcelas demostrativas o lotes modelos </t>
  </si>
  <si>
    <t xml:space="preserve"> (1ha por semestre)</t>
  </si>
  <si>
    <t>Semillas</t>
  </si>
  <si>
    <t>Abonos</t>
  </si>
  <si>
    <t>Fitosanitarios</t>
  </si>
  <si>
    <t>Labores</t>
  </si>
  <si>
    <t>Análisis de laboratorios</t>
  </si>
  <si>
    <t xml:space="preserve">h. Taller Práctico </t>
  </si>
  <si>
    <t>Salones para prácticas</t>
  </si>
  <si>
    <t>Capacitador (Viáticos y/o honorarios jornada)</t>
  </si>
  <si>
    <t>Insumos/materia prima y consumibles</t>
  </si>
  <si>
    <t>imprevistos</t>
  </si>
  <si>
    <t>Medidas de bioseguridad</t>
  </si>
  <si>
    <t xml:space="preserve">4. Tasa de cambio </t>
  </si>
  <si>
    <t>a. Tasa de cambio</t>
  </si>
  <si>
    <t>Pesos por Dólar</t>
  </si>
  <si>
    <t>Pesos Por Euro</t>
  </si>
  <si>
    <t xml:space="preserve">Promedio simple del período contemplado </t>
  </si>
  <si>
    <t>5. Promoción y Comunicación</t>
  </si>
  <si>
    <t>Ítem</t>
  </si>
  <si>
    <t>a. Sección radial nacionales</t>
  </si>
  <si>
    <t>b. Sección Radial Regionales</t>
  </si>
  <si>
    <t>c. Vallas publicitarias Ciudades Principales</t>
  </si>
  <si>
    <t>d. Vallas publicitarias Ciudades regionales</t>
  </si>
  <si>
    <t>e. Comerciales  tv a nivel Nacional</t>
  </si>
  <si>
    <t>f. Comerciales tv a nivel regional</t>
  </si>
  <si>
    <t>g. Pendones</t>
  </si>
  <si>
    <t>h. Campaña publicitaria nacional</t>
  </si>
  <si>
    <t>i. Campaña publicitaria regional</t>
  </si>
  <si>
    <t>j. Campaña publicitaria institucional</t>
  </si>
  <si>
    <t>l. Stand de promoción y divulgación en eventos nacionales</t>
  </si>
  <si>
    <t>m. Stand de promoción y divulgación en eventos regionales</t>
  </si>
  <si>
    <t>a. Sección radiales nacionales</t>
  </si>
  <si>
    <t>Noticiero mediodía</t>
  </si>
  <si>
    <t>Noticiero 10 am</t>
  </si>
  <si>
    <t>Noticiero 6 am</t>
  </si>
  <si>
    <t>Fuente: Basada en cotizaciones de ventas@caracol.com.co, 3 de marzo 2022, https://mediakit.caracol.com.co/buscar.aspx?q=caracol</t>
  </si>
  <si>
    <t>b. Cuña Radiales Regionales (Promedio aprox)</t>
  </si>
  <si>
    <t>Rubro</t>
  </si>
  <si>
    <t>Cuña radial regional  Monteria, Sincelejo</t>
  </si>
  <si>
    <t>Cuña radial regional región 2 (Ibagué)</t>
  </si>
  <si>
    <t>Cuñas radiales regionales (Promedio aprox)</t>
  </si>
  <si>
    <t>Vallas Publicitarias</t>
  </si>
  <si>
    <t>c. Vallas Publicitarias Nacional</t>
  </si>
  <si>
    <t>d. Vallas Publicitarias Regionales</t>
  </si>
  <si>
    <t>Incluye el costo de diseño, elaboración y alquiler del sitio de publicación de la valla. Fuente. Dato experto</t>
  </si>
  <si>
    <t>Comerciales tv</t>
  </si>
  <si>
    <t>Nota. Fuente comerciales tv nacional y regional, experto.</t>
  </si>
  <si>
    <t>Pendones</t>
  </si>
  <si>
    <t>Corresponde a un conjunto de pendones</t>
  </si>
  <si>
    <t>h. Campaña Publicitaria Nacional</t>
  </si>
  <si>
    <t>Equipo organizador</t>
  </si>
  <si>
    <t>Impresos</t>
  </si>
  <si>
    <t>Secciones  radiales nacionales</t>
  </si>
  <si>
    <t>Comerciales tv nivel nacional</t>
  </si>
  <si>
    <t>Total campaña publicitaria Nacional</t>
  </si>
  <si>
    <t>Nota: Se estima 1 meses de duración</t>
  </si>
  <si>
    <t>redondeo</t>
  </si>
  <si>
    <t xml:space="preserve">i. Campañas Publicitarias Regionales </t>
  </si>
  <si>
    <t>Cuñas radiales regionales</t>
  </si>
  <si>
    <t>Comerciales tv a nivel regional</t>
  </si>
  <si>
    <t>Vallas publicitarias</t>
  </si>
  <si>
    <t>Total Campaña publicitaria Regional</t>
  </si>
  <si>
    <t>Se estima 1 mes de duración</t>
  </si>
  <si>
    <t>j. Campaña publicitaria institucional ( Nacional)</t>
  </si>
  <si>
    <t>Sección radiales nacionales</t>
  </si>
  <si>
    <t>Comerciales tv nacional</t>
  </si>
  <si>
    <t>Vallas nacionales</t>
  </si>
  <si>
    <t>Elementos de promoción y divulgación</t>
  </si>
  <si>
    <t>Total campaña publicitaria institucional</t>
  </si>
  <si>
    <t xml:space="preserve">Se estima 1 mes de duración </t>
  </si>
  <si>
    <t>k. Campaña publicitaria institucional (Regional)</t>
  </si>
  <si>
    <t>Paquete Cuñas radiales regionales</t>
  </si>
  <si>
    <t>Vallas regionales</t>
  </si>
  <si>
    <t>k. Stand promoción Nacional</t>
  </si>
  <si>
    <t>l. Stand promoción regional</t>
  </si>
  <si>
    <t>Incluye diseño, mobiliario y  alquiler del espacio. Fuente Experto.</t>
  </si>
  <si>
    <t>m. Plan de Medios radial Nacional</t>
  </si>
  <si>
    <t>Ítems</t>
  </si>
  <si>
    <t>Paquete cuñas radiales nacionales</t>
  </si>
  <si>
    <t>Plan de medios Nacional</t>
  </si>
  <si>
    <t>n. Plan de Medios radial regional</t>
  </si>
  <si>
    <t>ñ. Plan de Medios radial Institucional</t>
  </si>
  <si>
    <t>6. Comercialización</t>
  </si>
  <si>
    <t>e. Mercados campesinos/circuitos cortos comercialización</t>
  </si>
  <si>
    <t>a. Rueda de negocio nacional y regional presencial</t>
  </si>
  <si>
    <t>Persona locales ( tiquete, hospedaje)</t>
  </si>
  <si>
    <t>Montaje</t>
  </si>
  <si>
    <t>Almuerzos</t>
  </si>
  <si>
    <t>Inscripciones</t>
  </si>
  <si>
    <t>Estación de café y agua</t>
  </si>
  <si>
    <t>Promoción y divulgación</t>
  </si>
  <si>
    <t xml:space="preserve">Rueda de negocio </t>
  </si>
  <si>
    <t>Se supone que la duración de la rueda son dos días, una noche. (30 asistentes)</t>
  </si>
  <si>
    <t>b Rueda de negocio  virtual</t>
  </si>
  <si>
    <t>Promoción y comunicación</t>
  </si>
  <si>
    <t xml:space="preserve">c. Participación en ferias comerciales </t>
  </si>
  <si>
    <t>Persona locales ( tiquete, hospedaje, viáticos)</t>
  </si>
  <si>
    <t>Stand  (5)</t>
  </si>
  <si>
    <t xml:space="preserve">Participación en ferias comerciales </t>
  </si>
  <si>
    <t>se estima la participación de 5 empresas o personas a la feria</t>
  </si>
  <si>
    <t>d. Participación en ferias comerciales internacionales</t>
  </si>
  <si>
    <t>Persona  ( tiquete)</t>
  </si>
  <si>
    <t xml:space="preserve">Stand </t>
  </si>
  <si>
    <t>Aprox</t>
  </si>
  <si>
    <t>se estima la participación de 5 empresas a la feria internacional, no incluye el hospedaje</t>
  </si>
  <si>
    <t>7. Capacitación, Formación y educación</t>
  </si>
  <si>
    <t xml:space="preserve"> a. Cursos cortos</t>
  </si>
  <si>
    <t>Se estima que un capacitador cobre 300.000 por cada persona capacitada, se estima un promedio de 30 personas por curso corto. Incluye refrigerio, material de divulgación, auditorio.</t>
  </si>
  <si>
    <t>b. Cursos cortos virtuales</t>
  </si>
  <si>
    <t>Se estima honorarios de capacitador, medios para realizarla. Se calculó como un 30% del valor del cursos corto presencial.</t>
  </si>
  <si>
    <t>c. Cursos libres</t>
  </si>
  <si>
    <t>Valor persona capacitada</t>
  </si>
  <si>
    <t>d. Cursos libres virtuales</t>
  </si>
  <si>
    <t>Valor persona capacitada, se calculo como un 30% del valor del curso libre presencial.</t>
  </si>
  <si>
    <t>e. Diplomado</t>
  </si>
  <si>
    <t>f. Diplomado virtual</t>
  </si>
  <si>
    <t>Valor persona capacitada, se calculo como un 30% del valor del  diplomado  presencial.</t>
  </si>
  <si>
    <t>g. Formación tecnológica y/o universitaria</t>
  </si>
  <si>
    <t>h. Maestría</t>
  </si>
  <si>
    <t>Valor persona capacitada/ semestre</t>
  </si>
  <si>
    <t>i. Doctorado</t>
  </si>
  <si>
    <t>Fuente: Experto
Nota: El valor estimado corresponde al apoyo asignado para educación, ítems d, e f.</t>
  </si>
  <si>
    <t xml:space="preserve">8. Certificaciones </t>
  </si>
  <si>
    <t>a. Certificaciones diferenciadoras</t>
  </si>
  <si>
    <t>Consultoría</t>
  </si>
  <si>
    <t>Costo Certificaciones diferenciadores</t>
  </si>
  <si>
    <t>Total costo certificaciones</t>
  </si>
  <si>
    <t>Fuente. Bureau Veritas</t>
  </si>
  <si>
    <t>9. Laboratorios de control de calidad</t>
  </si>
  <si>
    <t>Observaciones</t>
  </si>
  <si>
    <t>Fuente</t>
  </si>
  <si>
    <t>a. Análisis de suelo y elementos disponibles en la solución del suelo</t>
  </si>
  <si>
    <t>Agrilab</t>
  </si>
  <si>
    <t xml:space="preserve">b.  Análisis de calidad del grano -  Grado </t>
  </si>
  <si>
    <t>Clasificacion grano maiz consumo NTC 366</t>
  </si>
  <si>
    <t>Enzipan</t>
  </si>
  <si>
    <t xml:space="preserve">c. Analisis de Inocuidad del grano - Aflatoxinas Totales semicuantitativo </t>
  </si>
  <si>
    <t>KIT</t>
  </si>
  <si>
    <t>10 . Infraestructura</t>
  </si>
  <si>
    <t>Solución para esquemas asociativos</t>
  </si>
  <si>
    <t>Proyecto Fincas -  1000 TM - Atiende a 450 Has ( para 4 a 8 agricultores de 50 a 100 Has)</t>
  </si>
  <si>
    <t>Proyecto Asociativo Pequeños - 3000 TM - Atiende a 1300 Has(10 a 20 agricultores de 60 a 130 Has)</t>
  </si>
  <si>
    <t>Proyecto Asociativo Medianos - 9000 TM - Atiende a 4000 Has (20 a 30 Agricultores de 130 a 200 Has)</t>
  </si>
  <si>
    <t>Proyecto Asociativo Grandes - 27000 TM - Atiende a 12000 Has(20 a 30 agricultores de 400 a 600 has)</t>
  </si>
  <si>
    <t>US$ 300 / tonelada de capacidad instalada. Concepto de expertos INVEIN - Keppler Weber</t>
  </si>
  <si>
    <t>Infraestructura en procesamiento de maiz</t>
  </si>
  <si>
    <t>Trilladora Pequeña 50 k</t>
  </si>
  <si>
    <t>Trilladora Mediana 100 kilos</t>
  </si>
  <si>
    <t>Trilladora Grande 200 kilos</t>
  </si>
  <si>
    <t>Cotizacion Fabricantes Bucaramanga</t>
  </si>
  <si>
    <t>Planta para secamiento, almacenamiento y producción de harinas precocidas</t>
  </si>
  <si>
    <t>Planta de transformación con capacidad instalada para la producción de 12.000 toneladas al año. Infraestructura de Recibo, secado y almacenado (capacidad de secamiento de 45 ton/h y capacidad de almacenamiento de 4 silos de 3000 m3 y 6 silos de 1500 m3). Subestación eléctrica 400 kva</t>
  </si>
  <si>
    <t>Terreno (5 hectáreas) Obras Civiles Adecuación oficina</t>
  </si>
  <si>
    <t xml:space="preserve">Tomado del documento PLA DE NEGOCIOS - PRODUCCIÓN DE HARINAS PRECOCIDAS DE MAÍZ - FENALCE - STARCO - 2007. Incrementados en 70%
</t>
  </si>
  <si>
    <t xml:space="preserve">10 . Incentivos </t>
  </si>
  <si>
    <t>Año 2020/ Prospectiva</t>
  </si>
  <si>
    <t xml:space="preserve">Incentivo comisión FAG contratos 1.1 </t>
  </si>
  <si>
    <t>Has promedio de maiz  tecnificado año</t>
  </si>
  <si>
    <t>Productividad ( ton por ha)</t>
  </si>
  <si>
    <t>Toneladas de maiz</t>
  </si>
  <si>
    <t>Valor comercial de una tonelada de maíz</t>
  </si>
  <si>
    <t>Valor contratos</t>
  </si>
  <si>
    <t>comisión FAG</t>
  </si>
  <si>
    <t>Registro BMC vendedor</t>
  </si>
  <si>
    <t>Costos garantia  FAG  y registro BMC de contratos forward sin administración de garantías</t>
  </si>
  <si>
    <t>Incentivo Valor Agregado  1.2</t>
  </si>
  <si>
    <t xml:space="preserve">UVT (Unidad de Valor Tributario- DIAN 2022) </t>
  </si>
  <si>
    <t>Empresas Manufactureras</t>
  </si>
  <si>
    <t>Clasificación DIAN</t>
  </si>
  <si>
    <t>Valor de los ingresos</t>
  </si>
  <si>
    <t>%  estimado para valor agregado</t>
  </si>
  <si>
    <t>Valor estimado</t>
  </si>
  <si>
    <t xml:space="preserve">% Estimado para apoyo valor agregado </t>
  </si>
  <si>
    <t>Incentivo</t>
  </si>
  <si>
    <t xml:space="preserve">Microempresas </t>
  </si>
  <si>
    <t>Pequeñas Empresas</t>
  </si>
  <si>
    <t>Medianas Empresas</t>
  </si>
  <si>
    <t>Inv Privada</t>
  </si>
  <si>
    <t>% Distribución has año maiz</t>
  </si>
  <si>
    <t xml:space="preserve">% Distribución  Has de maiz aprox </t>
  </si>
  <si>
    <t>% Gradualidad en has</t>
  </si>
  <si>
    <t>Cantidad de cal por ha</t>
  </si>
  <si>
    <t>Cantidad de car requerida año</t>
  </si>
  <si>
    <t>Valor Cal $ / ton</t>
  </si>
  <si>
    <t>Valor total Estimado Cal</t>
  </si>
  <si>
    <t>ICR</t>
  </si>
  <si>
    <t>LEC</t>
  </si>
  <si>
    <t>Has año maiz</t>
  </si>
  <si>
    <t>Participación de asociaciones de productores en las siembras de maiz</t>
  </si>
  <si>
    <t>Has año maiz asociaciones de productores</t>
  </si>
  <si>
    <t>Has año maiz resto de productores</t>
  </si>
  <si>
    <t>Capacidad de Operación de Kit de maquinaria por ha</t>
  </si>
  <si>
    <t>Requerimiento de kit por año asociaciones de productores en las siembras de maiz</t>
  </si>
  <si>
    <t>Requerimiento de kit para productores</t>
  </si>
  <si>
    <t>Valor kit de maquinaria</t>
  </si>
  <si>
    <t>ICR de asociaciones de productores en las siembras de maiz</t>
  </si>
  <si>
    <t>ICR demás prodcutores</t>
  </si>
  <si>
    <t>Valor kit por año asociaciones de productores en las siembras de maiz</t>
  </si>
  <si>
    <t>Tractores siembra 190  hp</t>
  </si>
  <si>
    <t>Sembradora- abonadora 12 lineas ( 50 cmts) Neumática, con tasa variable</t>
  </si>
  <si>
    <t>Implementos  de labranza (desborsadoras, arados de cincel, escarificadores)</t>
  </si>
  <si>
    <t>Abonadora  autopropulzada</t>
  </si>
  <si>
    <t>Pulverizadoras autopropulzada</t>
  </si>
  <si>
    <t>Cosechadoras /(230.240hp). Con monitor de rendimiento</t>
  </si>
  <si>
    <t>Cabezal maicero</t>
  </si>
  <si>
    <t xml:space="preserve">Tolvas Graneleras </t>
  </si>
  <si>
    <t>Total Kit</t>
  </si>
  <si>
    <t>Fuente: Soya Maiz- Proyecto pais. 2021</t>
  </si>
  <si>
    <t>Proyecto 3.1 Capital de trabajo para comercialización  o procesamiento</t>
  </si>
  <si>
    <t>Valor promedio tonelada de maiz en el mercado</t>
  </si>
  <si>
    <t xml:space="preserve">Cantidad  a comercializar por una asociación </t>
  </si>
  <si>
    <t>Valor 500 toneladas de maíz</t>
  </si>
  <si>
    <t>Cantidad de creditos</t>
  </si>
  <si>
    <t>Plantas de secamiento y almacenamiento 3.3</t>
  </si>
  <si>
    <t>Pequeños</t>
  </si>
  <si>
    <t>Pequeños asociados</t>
  </si>
  <si>
    <t>Medianos</t>
  </si>
  <si>
    <t>Grandes</t>
  </si>
  <si>
    <t>Meta Prospectiva de capacidad instalada de secamiento y almacenamiento ton</t>
  </si>
  <si>
    <t>Período ( 19 años)</t>
  </si>
  <si>
    <t xml:space="preserve">Fuente. Dato experto </t>
  </si>
  <si>
    <t>Capaciadad instalada requerida por año</t>
  </si>
  <si>
    <t>% de Requerimiento de capacidad instalada año</t>
  </si>
  <si>
    <t>Capacidad instalada requerida por año pequeños</t>
  </si>
  <si>
    <t>Capacidad instalada requerida por año pequeños asociaciones</t>
  </si>
  <si>
    <t>Capadcidad instalada requerida por año asociativo medianos</t>
  </si>
  <si>
    <t>Capacidadad instalada requerido por año grandes</t>
  </si>
  <si>
    <t>Descrpcion</t>
  </si>
  <si>
    <t>Capacidad total de almacenamiento
TM</t>
  </si>
  <si>
    <t># de silos</t>
  </si>
  <si>
    <t>Capacidad por silo
TM</t>
  </si>
  <si>
    <t>Capacidad Torre de Secamiento
TM / Dia</t>
  </si>
  <si>
    <t>Cantidad almacenada / Cosechada</t>
  </si>
  <si>
    <t>Rendimiento regional 
Ton / Ha</t>
  </si>
  <si>
    <t>Hectareas atendidas</t>
  </si>
  <si>
    <r>
      <t xml:space="preserve">Producto </t>
    </r>
    <r>
      <rPr>
        <b/>
        <sz val="11"/>
        <color rgb="FF0070C0"/>
        <rFont val="Arial"/>
        <family val="2"/>
      </rPr>
      <t xml:space="preserve">Procesado </t>
    </r>
    <r>
      <rPr>
        <sz val="11"/>
        <color theme="1"/>
        <rFont val="Arial"/>
        <family val="2"/>
      </rPr>
      <t>Ton</t>
    </r>
  </si>
  <si>
    <t>Valor total de la planta UUSD)</t>
  </si>
  <si>
    <t>Valor unitario USD/ton</t>
  </si>
  <si>
    <t>Valor unitario en pesos por tonelada</t>
  </si>
  <si>
    <t>% ICR</t>
  </si>
  <si>
    <t xml:space="preserve">Proyecto pequeño individual  </t>
  </si>
  <si>
    <t>Proyecto Asociativo Pequeños 
(10 a 20 agricultores de 60 a 130 Has)</t>
  </si>
  <si>
    <t>Proyecto Asociativo Medianos
(20 a 30 Agricultores de 130 a 200 Has)</t>
  </si>
  <si>
    <t>Proyecto Asociativo Grandes 
(20 a 30 agricultores de 400 a 600 has)</t>
  </si>
  <si>
    <t>ICR  Capacidad instalada requerida por año medianos</t>
  </si>
  <si>
    <t xml:space="preserve"> Capacidadad instalada requerido por año grandes</t>
  </si>
  <si>
    <t>Equipos e infraestructura requerida para el montaje de una planta de Poscosecha de acuerdo a su capacidad</t>
  </si>
  <si>
    <t>35 Ton/dia</t>
  </si>
  <si>
    <t>100 Ton/dia</t>
  </si>
  <si>
    <t>300 Ton/dia</t>
  </si>
  <si>
    <t>600 Ton/dia</t>
  </si>
  <si>
    <t>Equipos de Importacion</t>
  </si>
  <si>
    <t>Equipos Nacionales</t>
  </si>
  <si>
    <t xml:space="preserve">Importacion </t>
  </si>
  <si>
    <t>Obra Civil</t>
  </si>
  <si>
    <t>Electrico</t>
  </si>
  <si>
    <t>Vr. TOTAL</t>
  </si>
  <si>
    <t>Promoción  al emprendimiento P. 3.3 , 3.4, 3.5, 8.1</t>
  </si>
  <si>
    <t xml:space="preserve">%  estimado para formalización </t>
  </si>
  <si>
    <t xml:space="preserve">Valor estimado para formalización </t>
  </si>
  <si>
    <t xml:space="preserve">% Estimado para formalización </t>
  </si>
  <si>
    <t xml:space="preserve">4.2. LEC adecuación de tierras para uso agropecuario </t>
  </si>
  <si>
    <t>Has de maiz</t>
  </si>
  <si>
    <t>Con crédito para adecuación de tierras</t>
  </si>
  <si>
    <t>has sujeto de credito</t>
  </si>
  <si>
    <t>$ / Ha</t>
  </si>
  <si>
    <t>Lec promedio</t>
  </si>
  <si>
    <t>Has de maiz con crédito para adecuación de tierras</t>
  </si>
  <si>
    <t xml:space="preserve">% estimado para gradualidad en las has de maiz. </t>
  </si>
  <si>
    <t>Valor del crédito</t>
  </si>
  <si>
    <t>Valor incentivo LEC Adecuación de tierras</t>
  </si>
  <si>
    <t>4.2. ICR  Soluciones individuales en riego</t>
  </si>
  <si>
    <t>% estimado soluciones individuales en riego</t>
  </si>
  <si>
    <t>Valor$ / Ha soluciones individuales en riego</t>
  </si>
  <si>
    <t>Pequeños y pequeños asociados</t>
  </si>
  <si>
    <t>ICR  promedio pequeños y asociativos</t>
  </si>
  <si>
    <t>ICR Promedio demás</t>
  </si>
  <si>
    <t>Es un valor estimado de soluciones individuales para riego.</t>
  </si>
  <si>
    <t>$ / Ha soluciones individuales en riego</t>
  </si>
  <si>
    <t>Has de maiz  estimadas para pequeños y/ asociados</t>
  </si>
  <si>
    <t>Has de maiz estimadas para demás productores</t>
  </si>
  <si>
    <t>ICR Pequeños y asociativos</t>
  </si>
  <si>
    <t>ICR demás tipos de productores</t>
  </si>
  <si>
    <t>Incentivo (tecnologías limpias) 5.1</t>
  </si>
  <si>
    <t xml:space="preserve">%  estimado para  nuevas empresas </t>
  </si>
  <si>
    <t>Valor estimado para nuevas empresas</t>
  </si>
  <si>
    <t>% Estimado para apoyo por tipo de empresa</t>
  </si>
  <si>
    <t>Incentivo/crédito</t>
  </si>
  <si>
    <t>Incentivo vivienda P.6.1</t>
  </si>
  <si>
    <t>Valor vivienda rural</t>
  </si>
  <si>
    <t>% cuota inicial</t>
  </si>
  <si>
    <t>Valor global subsidiado</t>
  </si>
  <si>
    <t>Valor promedio servicios públicos hogar P.6.1</t>
  </si>
  <si>
    <t>Incentivo servicios públicos</t>
  </si>
  <si>
    <t>Incentivo a las TICs 6.1 y 6.2</t>
  </si>
  <si>
    <t>Valor Tablet</t>
  </si>
  <si>
    <t>Incentivo conectividad 6.1</t>
  </si>
  <si>
    <t>Valor pago servicio internet anual</t>
  </si>
  <si>
    <t xml:space="preserve">Incentivo a las Unidades Productoras  6.3 </t>
  </si>
  <si>
    <t>Preparación de suelo y encalado</t>
  </si>
  <si>
    <t>Semillas hibrida</t>
  </si>
  <si>
    <t>Promedio UPA Maiz Tradicional</t>
  </si>
  <si>
    <t>Persona requerido por UPA</t>
  </si>
  <si>
    <t xml:space="preserve">Costo Persona por UPA </t>
  </si>
  <si>
    <t>Costo persona 8 Meses</t>
  </si>
  <si>
    <t>Has Maiz Tradicional</t>
  </si>
  <si>
    <t>Has asistidas por UPA promedio</t>
  </si>
  <si>
    <t>Promoción  al emprendimiento P. 6.4</t>
  </si>
  <si>
    <t xml:space="preserve">Valor costo ha de tierra 7.2 </t>
  </si>
  <si>
    <t>has</t>
  </si>
  <si>
    <t>Incentivo a la formalización de la tierra pequeños</t>
  </si>
  <si>
    <t>Se estima un 5% para documentos</t>
  </si>
  <si>
    <t>Corresponden a los pagos realizados para el personal en concepto de remuneración del trabajo ya sea de manera directa o indirecta.  
Fuente: Eustat, Instituto Vasco de Estadística. Consulta  14 abril 2021.</t>
  </si>
  <si>
    <t xml:space="preserve">Fuente: DNP, Anexo No. 2, Tabla de honorarios de contratos de prestación de servicios profesionales y apoyo a la gestión. Consulta. 14 de abril 2021. 
</t>
  </si>
  <si>
    <t>https://colaboracion.dnp.gov.co/cdt/contratacion/tabla%20de%20honorarios%202015-2.pdf?web</t>
  </si>
  <si>
    <t>b. Equipo humano</t>
  </si>
  <si>
    <t>2. Costos de desplazamiento</t>
  </si>
  <si>
    <t>Corresponde a los gastos que debe incurrir una persona cuando debe realizar sus servicios en una  sede diferente a la habitual, por lo que tendrá derecho al
reconocimiento de una remuneración de acuerdo al cargo que desempeña, así como también el pago de viáticos y gastos de transporte.
Fuente: Adaptado de la definición dada en la Resolución 0418 del 20 de abril del 2020.
https://minciencias.gov.co/sites/default/files/upload/reglamentacion/resolucion_0418-2020.pdf</t>
  </si>
  <si>
    <t>Fuente: Adaptado de la definición dada en la Resolución 0418 del 20 de abril del 2020.</t>
  </si>
  <si>
    <t>https://minciencias.gov.co/sites/default/files/upload/reglamentacion/resolucion_0418-2020.pdf</t>
  </si>
  <si>
    <t>Concepto utilizado para nombrar al dinero o las especies que se le entregan a una persona para cubrir los gastos que incurren para el cumplimiento de sus funciones fuera del área habitual de trabajo o sustentar un viaje.
Para el ejercicio de estimación de costos, este valor es tomado de la tabla de honorarios y viáticos del DNP 2020.
Fuente: Adaptado de la definición del blog de emprendimiento
https://liderdelemprendimiento.blogspot.com/2017/03/que-son-los-viaticos.html</t>
  </si>
  <si>
    <t>b. Tiquetes Nacionales</t>
  </si>
  <si>
    <t xml:space="preserve">Es la relación entre el valor de una moneda y otra, es decir, nos indica cuántas unidades  de una divisa se necesitan para obtener una unidad de otra. Fuente: Adaptado  Wikipedia.
</t>
  </si>
  <si>
    <t>Es la relación entre el valor de un dólar y un peso,  es decir,  indica cuántos pesos se requiere  para un dólar. Por ejemplo, para el 2020, se requieren 3693 pesos para adquirir un dólar estadunidense.  Fuente: Adaptado Wikipedia.</t>
  </si>
  <si>
    <t>Es la relación entre el valor de un dólar y un euro, es decir,  indica cuántos pesos se requiere  para un euro.   Por ejemplo, para el 2020, se requieren 4.214  pesos para adquirir un euro.  Fuente: Adaptado Wikipedia</t>
  </si>
  <si>
    <t>Es  el costo asignado a una estructura de publicidad exterior consistente en un soporte plano sobre el que se fijan anuncios publicitarios. Para las ciudades principales, el costo asignado incluye el costo de diseño, elaboración y alquiler del sitio de publicación de la valla. Fuente: Adaptado Wikipedia</t>
  </si>
  <si>
    <t>Es  el costo asignado a una estructura de publicidad exterior consistente en un soporte plano sobre el que se fijan anuncios publicitarios. Para las ciudades no principales, el costo asignado incluye el costo de diseño, elaboración y alquiler del sitio de publicación de la valla. Fuente: Adaptado Wikipedia.</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</si>
  <si>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a nivel nacional. Fuente: Adaptado Wikipedia</t>
  </si>
  <si>
    <t>Es el costo asignado al  soporte audiovisual que se le brinda a una audiencia a través del medio electrónico conocido como televisión. Su duración se encuentra usualmente entre los 10 y los 70 segundos para promocionar un producto, servicio o institución comercial. El costo del comercial depende de la elaboración del comercial, y también del valor que se cobre a la hora en que se paute el comercial, en este ejercicio se realiza un costo estimado de acuerdo a dato de experto, a nivel regional. Fuente: Adaptado Wikipedia</t>
  </si>
  <si>
    <t>Es el costo asignado a un conjunto de piezas creadas con el objetivo de difundir una estrategia institucional. La campaña publicitaria institucional  Incluye impresos, cuñas  paquetes de cuñas radiales regionales, brochures, pautas en redes sociales, comerciales de tv a nivel regional,  material promocional y vallas promocionales. Fuente: Adaptado Wikipedia</t>
  </si>
  <si>
    <t>k. Campaña nacional de promoción al consumo</t>
  </si>
  <si>
    <t>Es el costo asignado a un conjunto de piezas creadas con el objetivo de promover el consumo de un producto o bien.  Fuente: Elaboración propia</t>
  </si>
  <si>
    <t>Es el costo asignado al valor del espacio dentro de una feria o salón en el nivel nacional, en el que una empresa o institución  expone y presenta sus productos o servicios . Fuente_ Adaptado Wikipedia</t>
  </si>
  <si>
    <t>Es el costo asignado al valor del espacio dentro de una feria o salón a nivel regional, en el que una empresa o institución  expone y presenta sus productos o servicios . Fuente_ Adaptado Wikipedia</t>
  </si>
  <si>
    <t>n. Plan de medios radial regional</t>
  </si>
  <si>
    <t>Es el costo asignado a la planificación estratégica de campañas o comunicación para llegar al público objetivo a nivel regional. Fuente: Elaboración propia</t>
  </si>
  <si>
    <t>Es el costo asignado a la planificación estratégica de campañas o comunicación de una institución para llegar al público objetivo. Fuente: Elaboración propia</t>
  </si>
  <si>
    <t>o. Material promocional</t>
  </si>
  <si>
    <t>Es el costo asignado al mecanismo que permite el encuentro entre emprendedores, empresarios, inversores e instituciones que buscan lograr acuerdos para abrir oportunidades de compra o venta de servicios, productos o procesos. Este valor incluye el costo de tiquetes, hospedaje y  alimentación.</t>
  </si>
  <si>
    <t>b. Rueda de negocio virtual</t>
  </si>
  <si>
    <t>Es el costo asignado al mecanismo que permite el encuentro entre emprendedores, empresarios, inversores e instituciones que buscan lograr acuerdos para abrir oportunidades de compra o venta de servicios, productos o procesos de  forma virtual.</t>
  </si>
  <si>
    <t>c. Participación en ferias comerciales</t>
  </si>
  <si>
    <t>Es el costo asignado a las actividades en las que la oferta y la demanda de diversos productos se concentran en un mismo espacio  del territorio nacional por un tiempo determinado. Tiene como objetivo permitir la promoción del producto y facilitar el establecimiento de contactos comerciales. El costo asignado incluye el stand, inscripción a evento y   alimentación.</t>
  </si>
  <si>
    <t>d. Ferias comerciales internacionales</t>
  </si>
  <si>
    <t>Es el costo asignado a las actividades en las que la oferta y la demanda de diversos productos se concentran en un mismo espacio en el ámbito internacional y por un tiempo determinado. Tiene como objetivo permitir la promoción del producto y facilitar el establecimiento de contactos comerciales. El costo asignado incluye el stand, inscripción a evento y   alimentación.</t>
  </si>
  <si>
    <t>Es el costo asignado al proceso de certificación del conocimiento en una temática determinada y debe cumplir unas horas de formación.  El costo asignado incluye honorarios de capacitador para 30 personas, refrigerio, material de divulgación y auditorio.</t>
  </si>
  <si>
    <t xml:space="preserve"> b. Cursos cortos virtuales</t>
  </si>
  <si>
    <t xml:space="preserve">Es el costo asignado al proceso de certificación del conocimiento en una temática determinada  de manera virtual y debe cumplir unas horas de formación.  El costo asignado es el 30% del costo estimado del curso corto de manera presencial. </t>
  </si>
  <si>
    <t>Es el costo asignado al proceso de formación de una  temática determinada, son capacitaciones en conocimientos muy específicos o técnicos, cualquier persona puede cursarlos. En ocasiones, funcionan como parte de una actualización profesional o bien, para conocer sobre un tema o profundizar en uno..  El costo asignado incluye honorarios de capacitador para 30 personas, refrigerio, material de divulgación y auditorio.</t>
  </si>
  <si>
    <t xml:space="preserve">Es el costo asignado al proceso de formación virtual de una  temática determinada, son capacitaciones en conocimientos muy específicos o técnicos, cualquier persona puede cursarlos. En ocasiones, funcionan como parte de una actualización profesional o bien, para conocer sobre un tema o profundizar en uno. El costo asignado es el 30% del costo estimado del curso libre  de manera presencial. </t>
  </si>
  <si>
    <t xml:space="preserve">Es el costo por promedio por persona para realizar un diplomado, referente a matricula en universidad privada.  </t>
  </si>
  <si>
    <t>Es el costo por promedio por persona para realizar un diplomado, referente a matricula en universidad privada.  El costo asignado corresponde al 30% del diplomado presencial.</t>
  </si>
  <si>
    <t>Es el costo promedio asignado por persona  para obtener un grado académico de posgrado otorgado por una universidad privada.</t>
  </si>
  <si>
    <t>Es el costo promedio asignado por persona a un  programa  para obtener un  título superior otorgado por una universidad privada y es también un aval que acredita la experticia en un tema específico para la persona que lo ha obtenido.</t>
  </si>
  <si>
    <t>10. Infraestructura</t>
  </si>
  <si>
    <t xml:space="preserve">11. Apoyos e  Incentivos </t>
  </si>
  <si>
    <t xml:space="preserve">Es el costo del incentivo asignado a la compra de vivienda es de $21.000.000, que corresponde al 30% del valor estimado de la cuota incial de una vivienda rural (68 millones). Se estima incentivar el 50% del valor de la cuota inicial. </t>
  </si>
  <si>
    <t xml:space="preserve">Es el valor del incentivo asignado a los servicios públicos rurales de una familia, cuyo valor se estimó en un valor promedio de $25.000, solo por una vez al año. </t>
  </si>
  <si>
    <t>Es el valor del incentivo asignado al valor promedio de una Tablet por familia, el cual fue estimado en $300.000.</t>
  </si>
  <si>
    <t>Es el valor del incentivo asignado al  costo promedio de internet en un año  por familia, el valor estimado es de $600.000 anuales.</t>
  </si>
  <si>
    <t>En la estimación del pago  a las personas naturales contratadas por prestación de servicios profesionales y de apoyo a la gestión. Para el ejercicio de estimación de costos, este valor es tomado de la tabla de honorarios y viáticos del DNP 2021.
Fuente: DNP, Anexo No. 2, Tabla de honorarios de contratos de prestación de servicios profesionales y apoyo a la gestión. Consulta. 14 de abril 2021. 
https://colaboracion.dnp.gov.co/CDT/Contratacion/Tabla%20de%20Honorarios%202021.pdf?</t>
  </si>
  <si>
    <t xml:space="preserve">Es el valor otorgado al costo de desplazarse  entre los aeropuertos y las subregiones maiceras. Fuente: Elaboración propia. </t>
  </si>
  <si>
    <t>3. Regiones</t>
  </si>
  <si>
    <t>3. Regiones Maiceras</t>
  </si>
  <si>
    <t>Es la suma del valor promedio mensual otorgado a los peajes para desplazarse en las regiones maiceras y al valor promedio hallado para el combustible estimado para desplazarse en las regiones maiceras, lo cual se considera el valor requerido de rodamiento.</t>
  </si>
  <si>
    <t>f. Apoyos tecnológicos  y herramientas de diagnóstico</t>
  </si>
  <si>
    <t>f. Apoyos Tecnológicos y herramientas de diagnóstico</t>
  </si>
  <si>
    <t>También se costean herramientas de diagnóstico como barreno, medido de pH y otros.</t>
  </si>
  <si>
    <t>b. Tiquetes Nacionales aéreos</t>
  </si>
  <si>
    <t>c. Valor dado al desplazamiento Terrestre por persona/promedio ( 2 dias)</t>
  </si>
  <si>
    <t>c. Desplazamiento Terrestre Profesionales</t>
  </si>
  <si>
    <t>d. Peaje promedio mensual</t>
  </si>
  <si>
    <t>4. Actividades Grupales</t>
  </si>
  <si>
    <t>a. Subregiones</t>
  </si>
  <si>
    <t>b. Macroregiones técnificadas</t>
  </si>
  <si>
    <t>Corresponde a los gastos que se debe incurrir para  llevar a cabo los proyectos y que involucra a más de una persona, ya sea grupos pequeños, medianos y grandes y se persiguen para alcanzar los objetivos propios de cada uno de los temáticas trabajadas en la cadena maicera. Elaboraicón propia 2022</t>
  </si>
  <si>
    <t>Es el valor promedio estimado de los honorarios del grupo de personas que desarrolla el proyecto, en algunos casos  la gestión de las personas corresponde al ámbito nacional y en otros al regional. Fuente: Elaboración propia 2022</t>
  </si>
  <si>
    <t>Es un valor de referencia sobre el  costo de  los vuelos que se efectúan dentro de las fronteras del país y que corresponden a las ciudades que cuentan con mayor frecuencia de vuelos,  para la cadena de maiz.
Fuente: Elaboración Propia 2022</t>
  </si>
  <si>
    <t xml:space="preserve"> Corresponde a un valor global simple  del costo promedio de peajes entre las subregiones.  Elaboración propia 2022</t>
  </si>
  <si>
    <t>Es el valor otorgado al alquiler de  una GPS y un computador para ser usado como herramienta de trabajo en su oficio. También se costean herramientas de diagnóstico como barreno, medido de pH y otros. Fuente: Elaboración propia 2022</t>
  </si>
  <si>
    <t xml:space="preserve">Es un valor de referencia sobre el  costo de  los vuelos que se efectúan fuera de las fronteras del país. Se identificó un precio promedio para cuatro  países de referencia para la cadena de maiz. Fuente: Elaboración propia 2022
</t>
  </si>
  <si>
    <t>Es el valor otorgado a los espacios de intercambio de experiencias sobre temáticas relacionadas con el sector maicero para la construcción conjunta de propuestas y recomendaciones que contribuyan a fortalecer el trabajo colaborativo entre los interesados. Se costea un refrigerio, cafe y otros.
 Fuente: Adaptado Sistema de información ambiental de Colombia.</t>
  </si>
  <si>
    <t>Es el valor otorgado al  gasto  que se debe incurrir para realizar  proyectos en el ámbito  nacional y/ regional de manera presencial, encaminadas a la capacitación, socialización, promoción, divulgación  y gestión de temas de temas referentes al sector maciero. Se calcula asistencia para 40 personas.  Se costea un auditorio, refrigerio, estación de café y otros, material de dilvulgación y promoción, protocolos de bioseguridad. Fuente: Elaboración propia 2022</t>
  </si>
  <si>
    <t xml:space="preserve">Material de divulgación y promoción </t>
  </si>
  <si>
    <t>Es el valor otorgado al costo de la constitución de equipos de asistentes técnicos  y/o visitas que se ejecutan en los diferentes eslabones de acuerdo a la necesidad del proyecto, para realizar transferencia de conocimiento de  temas específicos de la cadena maicera. Su costo incluye refrigerio e hidratación, almuezo, material de divulgación y promoción, apoyos tecnológicos y herramientas de diagnóstico, protocolo de biosegurdida, desplazamiento de personas para 20 personas. Fuente : Elaboración propia 2022.</t>
  </si>
  <si>
    <t>Es el valor estimado a la constitución de una parcela demostrativa o lotes modelos para una hectárea de maiz. Se estima costos de semilla,abonos, fitosanitarios, laborales y análisis de laboratorios.  Fuente: Elaboración propia 2022.</t>
  </si>
  <si>
    <t>e. Mesas de trabajo virtuales</t>
  </si>
  <si>
    <t>10% costo presencial</t>
  </si>
  <si>
    <t xml:space="preserve">Es el 20% del  valor otorgado a las mesas de trabajo presencial. 
 Fuente: Elaboración propia, 2022 </t>
  </si>
  <si>
    <t>f. Talleres y/ o eventos de divulgación nacionales y/o regionales virtuales (Productor, transformador, comercialización)</t>
  </si>
  <si>
    <t>20% costo presencial</t>
  </si>
  <si>
    <t>f. Talleres y/ o eventos de divulgación nacionales y/o regionales virtuales  (Productor, transformador, comercialización)</t>
  </si>
  <si>
    <t xml:space="preserve">Es el 20% del  valor otorgado a los talleres y/o eventos de divulgación nacionales y/o regionales a realizarse de manera  presenciales. 
 Fuente: Elaboración propia, 2022 </t>
  </si>
  <si>
    <t xml:space="preserve"> Promedio simple anual para los años 2020 y 2021. Primer trimestre del 2022</t>
  </si>
  <si>
    <t>Es el costo asignado a un grupo de anuncios auditivo destinados a publicitar diversos productos, empresas, marcas o servicios a través de mensajes que no excede los 10s a 30 segundos de duración. Para hallar el valor nacional, se realiza un promedio simple de tres cotizaciones para secciones radiales a nivel nacional, que incluye secciones  radiales al mediodía, noticias de las 10 am y noticiero de las 6 am. Cotizaciones basadas en datos de caracol radio. Las secciones radiales corresponden a presentación con marca y slogan hasta de 5 segundos, desarrollo de contenido y cuña hasta de 30 segundos. En los programas especiales las secciones podrán patrocinar el contenido habitual de los programas.</t>
  </si>
  <si>
    <t>b. Secciones radiales regionales</t>
  </si>
  <si>
    <t xml:space="preserve">Es el costo asignado a un grupo de anuncios auditivos destinados a publicitar diversos productos, empresas, marcas o servicios a través de mensajes que no exceden los 10s a 30 segundos de duración. Para hallar el valor regional, se realiza un promedio simple, teniendo en cuenta las regiones relacionas con la cadena maicera. El valor standard es de 30 seg. Fuente: Adaptado Directorio de Negocios </t>
  </si>
  <si>
    <t>Es el costo asignado a un grupo de piezas de impresión digital que contienen un mensaje publicitario o institucional, que transmiten información importante de manera rápida, directa y contundente. Se utilizan en exteriores e interiores y permiten una visualización de la empresa o de la marca. Fuente: Adaptado Wikipedia</t>
  </si>
  <si>
    <t>Es el costo asignado a un conjunto de piezas creadas con el objetivo de difundir una marca,  producto o un servicio a nivel nacional. La campaña publicitaria nacional contiene  equipo organizador, impresos, secciones radiales nacionales, comerciales a tv nacional, pautas en redes sociales y vallas publicitarias, para un mes de difusión. Fuente: Adaptado Wikipedia</t>
  </si>
  <si>
    <t>Es el costo asignado a un conjunto de piezas creadas con el objetivo de difundir una marca,  producto o un servicio a nivel regional. La campaña publicitaria regional incluye  equipo organizador, impresos, secciones radiales regionales, comerciales a tv regional, pautas en redes sociales y vallas publicitarias regionales. Fuente: Adaptado Wikipedia.</t>
  </si>
  <si>
    <t>Stand</t>
  </si>
  <si>
    <t>ñ. Plan de medios  radial Institucional</t>
  </si>
  <si>
    <t>Es el costo global asignado a una gama de producos que representen una marca, empresa  u organización  que requiera que un público determinado la conozca. Fuente Concepto definición</t>
  </si>
  <si>
    <t xml:space="preserve">Es el costo por promedio por persona para realizar formación tecnológica y/o universitaria  en temas referentes al sector maicero. El costo asignado corresponde la matricula. </t>
  </si>
  <si>
    <t>Incluye el  costo asignado  del consultor  al predio o al sitio para verificar el proceso de cumplimiento de la norma a certificar y el costo  del proceso de certificación por un ente acreditado de la norma diferenciadora implementada por el productor, transformador y/comercializador.</t>
  </si>
  <si>
    <t>a. Instalación de secamiento y almacenamiento integrada con silos metalicos</t>
  </si>
  <si>
    <t>b. Infraestructura en procesamiento de maiz</t>
  </si>
  <si>
    <t>c. Planta para secamiento, almacenamiento y producción de harinas precocidas</t>
  </si>
  <si>
    <t>b. Incentivo Valor Agregado  1.2</t>
  </si>
  <si>
    <t>a. Costos garantia  FAG  y registro BMC de contratos forward sin administración de garantías 1.1</t>
  </si>
  <si>
    <t>d. LEC Compra cal dolomita  has de maiz 2.2</t>
  </si>
  <si>
    <t>c. Valor ICR Cal dolomita</t>
  </si>
  <si>
    <t>d. Valor LEC Cal dolomita</t>
  </si>
  <si>
    <t xml:space="preserve">Para la cadena de maiz se consideran 7 regiones productoras, las cuales se  determinaron a partir de la división de regiones naturales del IGAC y de la zonificación del ICA para registro de cultivares, teniendo en cuenta datos del  CNA 2014  de UPAs productoras de maiz en altitud menor a 1.800 m.s.n.m  y de municipios con producción mayor a 300 toneladas. Fuente. Documento de reginalización Maiz. UPRA. </t>
  </si>
  <si>
    <t>Para la cadena de maiz se consideraron 19 subregiones maicera, la cual se realizó a partir de aspectos geográficos como su topografía, relieve, hidrografía, pluviosidad, clima y tipo de suelos. En el proceso de costeo para actividades relacionadas con producción tecnificada, se consideraron las  diez (10) subregiones que cuentan con más del 30% en la producción de maíz tecnificado. Fuente: Elaboración Propia. 2022</t>
  </si>
  <si>
    <t xml:space="preserve">Es un agrupación espacial mayor ralizada  en 4 regiones macro  que son: Costa, Tolima, Valle, Llanos, las cuales son  reconocidas por su importancia en la producción actual y potencial de crecimiento. Fuente: Elaboración propia. 2022. </t>
  </si>
  <si>
    <t>Es el costo asignado a un paquete de análisis que incluye analisis fisico - químico de suelos, textura, pH, contenidos de elementos minerales nutricionales, carbono organico, cálculo relaciones de intercambio,niveles de saturación y disponibilidad de elementos en la solución del suelo. Fuente. Elaboración propia 2022.</t>
  </si>
  <si>
    <t>Es el costo asignado al análisis de clasificación de granos de maiz para consumo, según la NTC 366. Fuente.Elaboración propia 2022</t>
  </si>
  <si>
    <t>Es el costo asignado  al análisis  mediante Kit para la determinanción de Aflatoxinas Totales semicuantitativo. Fuente: Elaboración 2022</t>
  </si>
  <si>
    <t xml:space="preserve">Corresponde a un sistema integrado para el beneficio de granos, que incluye la atención de las etapas de recibo, prelimpieza, limpieza, secado en torre, elevadores, transportadores, silos de reposo, trabajo, y  silos de almacenamiento metálicos. Fuente: Elaboración propia 2022. </t>
  </si>
  <si>
    <t>Corresponde a trilladoras como equipo basico del procesamiento industrial de maíz con bajo valor agregado, en la linea de productos para consumo humano. Fuente: Elaboración propia</t>
  </si>
  <si>
    <t>Corresponde a un sistema integrado para el beneficio de granos de maiz y su procesamiento industrial de mayor valor agregado en la producción de harinas precocidas. Fuente Elaboración propia 2022.</t>
  </si>
  <si>
    <t xml:space="preserve">Es un valor estimado para constituir  garantías FAG  y registro los contratos forward de maiz ante la Bolsa Mercantil de Colombia, el cual es estimó como una alternativa  de financiamiento para los productores, la cual genera la obtención de recursos financieros no formales como anticipo al vendedor. </t>
  </si>
  <si>
    <t xml:space="preserve">1.1.6. Promover alianzas entre las empresas vendedoras de proteína animal y sus proveedores, para que en el producto final (huevo, pollo, cerdo, carne, etc.), se incorporen elementos, tales como sellos, certificaciones, entre otros; que resalten características diferenciadoras, asociadas a las buenas prácticas, sostenibilidad, bienestar animal, Global Gap, trazabilidad, y otras certificaciones que generen valor diferenciador del producto, así como a los atributos de calidad del maíz utilizado para alimentación, entre otros elementos. </t>
  </si>
  <si>
    <t>Servicio de monitoreo y seguimiento al abastecimiento del mercado y requerimientos de la demanda. 
Servicio de educación informal a los proveedores de la cadena de maíz, para el segmento del consumo animal.
Servicio de apoyo a la comercialización para la cadena de maíz.
Servicio de acompañamiento productivo y empresarial para la cadena de maíz.</t>
  </si>
  <si>
    <t>2.1. Fortalecimiento de la extensión agrícola y asistencia técnica a los productores del sistema tradicional.</t>
  </si>
  <si>
    <t xml:space="preserve">Por su parte el sistema tradicional en la actualidad ha alcanzado significativos rendimientos de 4,5 t/ha frente a 1,97 t/ha de años atrás, estos datos indican que en la producción tradicional el rendimiento aumento 2,4 veces con relación al pasado.
En la actualidad existe un millón de hectáreas de maíz, de las cuales 950.000 hectáreas se desarrollan bajo el sistema tecnificado y 50.000 hectáreas pertenecen al sistema tradicional , estas cifras demuestran que una cantidad importante de áreas del sistema tradicional se han tecnificado y consecuentemente los productores han mejorado sus capacidades para el manejo del cultivo lo que se ha reflejado en los incrementos de los niveles de productividad.  
Con los incrementos en productividad y en área también se logró enfrentar el lento crecimiento que presentaba la producción nacional logrando pasar del 19 %  al 58 % del abastecimiento en los últimos años; en la actualidad la producción total es cercana a 8.775.000 toneladas, de esta producción el 97 % (8.550.000 toneladas) es obtenido del sistema tecnificado y el 3 % (225.000 toneladas) del sistema tradicional. </t>
  </si>
  <si>
    <t xml:space="preserve">Minagricultura y SENA  (Entidades líderes), Universidades, Gremios de la cadena de maíz, Industria de alimentos balanceados, Finagro, Entidades Financieras, Entidades Territoriales, ADR, y Productores tradicionales de maíz.   </t>
  </si>
  <si>
    <t xml:space="preserve">Documentos técnicos de identificación y caracterización de productores del cultivo de maíz tradicional 
Servicio de capacitación, asistencia técnica y extensión agropecuaria para los productores del cultivo de maíz tradicional. 
Servicio de apoyo financiero  para promover las inversiones a los productores tradicionales de maíz. 
Servicio de educación financiera enfocado a los productores tradicionales de maíz
Servicio de monitoreo y seguimiento  a lo adopción de tecnología y al incremento en los rendimientos en los sistemas tradicionales de maíz.
</t>
  </si>
  <si>
    <t>2.1.1. Priorizar y seleccionar productores que requieren asistencia técnica básica de acuerdo con la caracterización a nivel subregional de la actividad 9.4.3.</t>
  </si>
  <si>
    <t>2.1.2. Realizar acompañamiento técnico y financiero a los productores seleccionados, para fomentar el uso de semillas híbridas, con alto potencial de rendimiento, calidad de grano, adaptadas a las condiciones agroecológicas de cada región, y para escalar su uso.</t>
  </si>
  <si>
    <t>2.1.3. Brindar extensión agrícola y asistencia técnica a los productores del sistema tradicional, enfocadas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t>
  </si>
  <si>
    <t xml:space="preserve">2.1.4. Definir e implementar una agenda de capacitaciones dirigidas a los productores del cultivo de maíz tradicional, en temas como  sanidad, semillas, manejo integral del cultivo, rotación del cultivo, asociatividad, costos, financiamiento, entre otros, teniendo en cuenta las diferencias regionales y experiencias exitosas replicables, locales o internacionales. </t>
  </si>
  <si>
    <t>2.1.5. Promover la educación financiera para fortalecer la planificación y administración de la unidad productiva y mejorar el acceso y uso de los servicios financieros existentes.</t>
  </si>
  <si>
    <t>2.1.6. Impulsar el uso de las TIC e instrumentos masivos de capacitación dirigidos a los productores de maíz tradicional, tales como plataformas de información, aplicaciones tecnológicas, software, sistemas expertos, emisoras comunitarias, entre otras, con el fin de ampliar la cobertura de la asistencia técnica, a un mayor número productores.</t>
  </si>
  <si>
    <t xml:space="preserve">2.1.7. Implementar un mecanismo de monitoreo del nivel de adopción de tecnologías y su impacto en el aumento de los rendimientos en el cultivo de maíz tradicional. </t>
  </si>
  <si>
    <t>2.2. Implementación efectiva de asistencia técnica profesional, en sistemas tecnificados de maíz.</t>
  </si>
  <si>
    <t>2.2.1. Clasificar y seleccionar productores u organizaciones de productores en las subregiones priorizadas, teniendo en cuenta su nivel tecnológico, de mecanización, escala de producción, prácticas agronómicas y dinámica productiva de rotación de cultivos, y considerando la caracterización de la actividad 9.4.3 y los avances de los proyectos 3.1. Promoción y fortalecimiento de organizaciones de economía solidaria en la cadena de maíz y 8.1. Fortalecimiento de los procesos de I+D+i para la cadena de maíz y sus derivados.</t>
  </si>
  <si>
    <t>2.2.2. Realizar el acompañamiento a los productores, en planeación estratégica, gestión empresarial, asociatividad, economía solidaria, desarrollo de alianzas comerciales y la adecuada gestión de proveedores de servicios e insumos, para estructurar un plan de negocios, acorde a sus expectativas y a las de la industria procesadora, que facilite el acceso a los recursos financieros para su ejecución.</t>
  </si>
  <si>
    <t>2.2.3. Brindar acompañamiento técnico a los productores tecnificados, para facilitar el acceso a semillas con alto grado de mejoramiento genético (híbridos, OGM, y aquellas desarrolladas con nuevas tecnologías), adaptadas a las condiciones agroecológicas de las diferentes regiones, tolerantes o resistentes a  plagas y enfermedades,  de mayor potencial de productividad, y con los tipos de grano demandados en el mercado.</t>
  </si>
  <si>
    <t>2.2.4. Promover la conexión entre empresas especializadas y los productores, para prestar asistencia técnica enfocada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 teniendo en cuenta los avances de los proyectos 4.2 Promoción del manejo eficiente del suelo y del agua, en la producción de maíz, y 5.1. Mejora del desempeño ambiental de la cadena de maíz.</t>
  </si>
  <si>
    <t>2.2.5. Promover inversiones en procesos de adecuación, mejoramiento y sostenimiento de la fertilidad de los suelos (compra y/o transporte de enmiendas tales como Cal Agrícola, Cal Dolomita, Yeso, Óxidos de Calcio, etc., para la corrección de acidez (pH) y neutralización de Aluminio (Al+3)), a través de instrumentos financieros e incentivos, teniendo en cuenta los avances del proyecto 4.2. Promoción del manejo eficiente del suelo y del agua, en la producción de maíz.</t>
  </si>
  <si>
    <t>2.2.6. Fomentar, a través de incentivos a la inversión privada, el acceso y uso de un mayor parque de maquinaria agrícola moderna, tales como tractores de mayor eficiencia, equipos de labranza vertical, plantadoras de precisión, fertilizadoras, pulverizadoras, y cosechadoras, incorporando altas tecnologías, incluidas las de información y comunicaciones, en las prácticas agronómicas de la producción primaria, que posibiliten el aumento de escalas de producción y el incremento de productividad del maíz.</t>
  </si>
  <si>
    <t>2.2.7. Implementar un mecanismo de monitoreo del nivel de adopción e impacto en la productividad, la escala, la competitividad y la empresarización, de las prácticas de manejo, las tecnologías y modelos de gestión empresarial aplicados por los productores, en las regiones maiceras.</t>
  </si>
  <si>
    <t xml:space="preserve">2.3. Impulso a la producción de maíz a mediana y gran escala.  </t>
  </si>
  <si>
    <r>
      <t>2.3.1. Clasificar y priorizar áreas adecuadas para inversiones en la producción de maíz a mediana y gran escala, en las regiones maiceras, de acuerdo con su aptitud, infraestructura productiva, oportunidades de mercado, entre otras.</t>
    </r>
    <r>
      <rPr>
        <strike/>
        <sz val="12"/>
        <color theme="1"/>
        <rFont val="Arial"/>
        <family val="2"/>
      </rPr>
      <t/>
    </r>
  </si>
  <si>
    <t>2.3.2. Identificar y convocar, a través de los gremios del sector, de ProColombia y de otras entidades, a inversionistas y empresarios, nacionales o extranjeros, con interés en realizar inversiones en el cultivo de maíz a mediana y gran escala.</t>
  </si>
  <si>
    <t xml:space="preserve">2.3.3. Constituir un banco de proyectos de inversión en producción de maíz a mediana y gran escala con enfoque de mercado, que permita identificar y gestionar profesionalmente iniciativas y estímulos a la inversión. </t>
  </si>
  <si>
    <t xml:space="preserve">2.3.4. Brindar acompañamiento técnico para apoyar y facilitar el ingreso de material genético al país, y su multiplicación, fortaleciendo la gestión en los procesos asociados a la adopción rápida de semillas de última tecnología y protección de cultivares, y al acceso a la producción de biológicos en las unidades productivas, promovidos a través de una red colaborativa entre actores nacionales e internacionales, que facilite y agilice los procesos de validación tecnológica.  </t>
  </si>
  <si>
    <t>2.3.5. Orientar y acompañar a los inversionistas en la producción de maíz a mediana y gran escala, en los trámites para acceder a incentivos tributarios y suscripción de contratos de estabilidad tributaria (Por ej.: Resolución 194 de 2020 de Minagricultura y Decreto 1157 de 2020 de Minhacienda) de manera que se estimulen las inversiones, con beneficios de renta preferencial y exención de otros impuestos.</t>
  </si>
  <si>
    <t>2.3.6. Orientar a las medianas y grandes empresas, en la formulación de proyectos de desarrollo e innovación para la cadena de maíz, que les permita acceder a los beneficios tributarios por Inversión: deducción y descuento y crédito fiscal, acorde con lo estipulado en el Estatuto Tributario, en esta materia (artículos 158-1, 256, 258 y 256-1).</t>
  </si>
  <si>
    <t>2.3.7. Fomentar la vinculación de los Fondos de Inversión para atraer, facilitar y retener la participación de capital foráneo en la producción nacional de maíz a mediana y gran escala, aplicando mecanismos como la figura del Defensor del Inversionista y la Ventanilla Única de Inversión - VUI.</t>
  </si>
  <si>
    <t>3.4.3. Fomentar la creación de empresas: comerciales, de insumos, de bioinsumos, de servicios, logística y de tecnología, a través de acompañamiento técnico y de la divulgación de los instrumentos financieros disponibles, a los productores y/o agroindustriales.</t>
  </si>
  <si>
    <t>La disponibilidad de tierras que brindan condiciones para la expansión de las siembras de maíz en mayor escala, generó un importante interés de empresarios nacionales y extranjeros, vinculados con la producción agropecuaria que, encontraron condiciones suficientes de seguridad jurídica y estabilidad para sus inversiones y facilidades para agilizar la validación y adopción de tecnologías que ya han sido probadas exitosamente en países líderes de la región, dentro de un marco de sostenibilidad social y ambiental. 
Las inversiones fluyeron y desde hace 20 años, se desarrollan nuevos proyectos de agricultura empresarial de gran escala, alta tecnología y productividad, para lo cual fue fundamental la promoción de alianzas estratégicas y de integración vertical con la producción pecuaria y el cultivo de soya, así como el desarrollo del mercado  de contratos de futuros, y el aprovechamiento de instrumentos de política  para impulsar la importación de maquinaría, la  inversión  en almacenamiento y en producción de insumos claves para el cultivo de maíz.</t>
  </si>
  <si>
    <t>Servicio de acompañamiento para facilitar la importación de maquinaria y equipos de alta tecnología.
Servicio de apoyo financiero para el almacenamiento de granos a escala.
Servicios de apoyo para la generación de Alianzas Estratégicas en modelos agroempresariales integrales. 
Servicio de apoyo para desarrollo de la industria de cal y otras enmiendas del suelo.
Servicio de apoyo para promover la producción de materias primas requeridas en la fabricación de fertilizantes simples.
Servicio de apoyo para la suscripción de contratos de futuros.
Servicio de acompañamiento para la constitución de Zonas francas.</t>
  </si>
  <si>
    <t>3.5.5. Promover dentro del sector minero energético, el desarrollo de proyectos que consideren la exploración, explotación y aprovechamiento de recursos como gas natural y minerales de fósforo y potasio, para la producción de materias primas requeridas en la fabricación de fertilizantes simples.</t>
  </si>
  <si>
    <t>3.5.6. Incentivar la suscripción e implementación de contratos de futuros y otros instrumentos específicos de comercialización de maíz, de acuerdo con los avances de la actividad 9.3.7.</t>
  </si>
  <si>
    <t>3.5.7. Orientar y brindar acompañamiento a los empresarios, para la constitución y uso de Zonas francas, como instrumento de promoción de grandes inversiones en la cadena de maíz.</t>
  </si>
  <si>
    <t xml:space="preserve">Servicio de capacitación y difusión de información agroclimática.
Servicio de apoyo técnico y financiero para la implementación de acciones de mitigación y adaptación a la variabilidad y el cambio climático, en la cadena de maíz.
Servicios de apoyo a la implementación de fuentes no convencionales de energía.
Servicio de seguimiento y monitoreo del desempeño ambiental de la cadena de maíz. </t>
  </si>
  <si>
    <t>5.1.7. Establecer la línea base y el sistema de monitoreo y medición del desempeño ambiental de la cadena de maíz.</t>
  </si>
  <si>
    <t xml:space="preserve">6.3.1. Analizar la normatividad laboral vigente para generar y gestionar estructuras que permitan extender los beneficios de la seguridad social, a los esquemas de trabajo particulares de la actividad maicera de los pequeños y medianos productores.  </t>
  </si>
  <si>
    <t>6.3.2. Realizar campañas de sensibilización para promover la inclusión social en los sistemas de seguridad social y la formalización laboral a lo largo de toda la cadena productiva.</t>
  </si>
  <si>
    <t>6.3.3. Realizar capacitación y brindar acompañamiento técnico dirigido a los agentes económicos de la cadena maicera, relacionado con aspectos laborales, financieros y tributarios.</t>
  </si>
  <si>
    <t>6.3.4.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t>
  </si>
  <si>
    <t>6.3. Promoción al  acceso en la seguridad social y mejora en las condiciones laborales a lo largo de la cadena</t>
  </si>
  <si>
    <t>6.4. Contribución a la mejora de condiciones de conectividad vial y de servicios públicos, en las regiones maiceras.</t>
  </si>
  <si>
    <t>6.4.1. Priorizar zonas estratégicas de intervención, para el mejoramiento de la infraestructura de conectividad vial y cobertura de servicios públicos en las regiones maiceras, acordes con proyectos de inversión privada en la producción y procesamiento de maíz.</t>
  </si>
  <si>
    <t>6.4.2. Contribuir con la gestión de acciones que permitan incorporar en los procesos de planificación nacional, departamental y local, las necesidades priorizadas por la cadena maicera, para el mejoramiento de la infraestructura de conectividad vial y cobertura de servicios públicos.</t>
  </si>
  <si>
    <t>6.4.3. Promover la estructuración e implementación de iniciativas dirigidas al aprovechamiento de beneficios tributarios, como por ejemplo Obras por Impuestos, que contribuyan a generar mejores condiciones sociales, económicas e institucionales, en zonas para el desarrollo del cultivo de maíz.</t>
  </si>
  <si>
    <t>Servicio de apoyo para la formalización empresarial y laboral de la cadena de maíz.
Servicio de promoción de afiliaciones al Sistema General de Seguridad Social de las personas vinculadas a la cadena de maíz.
Servicio de promoción para el fortalecimiento de la Red de formalización laboral en la cadena de maíz.</t>
  </si>
  <si>
    <t>Documentos de apoyo técnico para el desarrollo de intervenciones en conectividad vial y de servicios públicos.
Servicio de apoyo para la estructuración de iniciativas dirigidas al aprovechamiento de beneficios tributarios.</t>
  </si>
  <si>
    <t xml:space="preserve">7.1.3. Orientar, a través de instrumentos de financiación, incentivos, entre otros, las inversiones del sector privado en el cultivo de maíz, al interior de la frontera agrícola, aprovechando el potencial de las unidades productivas en zonas aptas para la expansión del cultivo, en articulación con otros instrumentos de planeación territorial. </t>
  </si>
  <si>
    <t xml:space="preserve">Servicio de promoción y divulgación de la normatividad relacionada con la frontera agrícola para los productores y demás actores de la cadena de maíz.
Servicio de apoyo para la gestión de procesos de participación en instancias municipales y departamentales.
Servicio de acompañamiento técnico y financiero a los productores de maíz para el uso y aprovechamiento eficiente del suelo.
Servicio de Información Observatorio de Tierras.
</t>
  </si>
  <si>
    <t>7.2.2. Generar y promover esquemas de acceso a la tierra con seguridad jurídica, que garanticen condiciones de estabilidad a la producción de maíz.</t>
  </si>
  <si>
    <t>7.2.3. Generar espacios de articulación entre los gremios de la cadena de maíz, Minagricultura, la ANT, y Entidades Territoriales, para socializar, divulgar e implementar lineamientos y  programas de regularización de la propiedad en los predios para el cultivo de maíz, así como promover los contratos agropecuarios para acceder a la tierra, teniendo en cuenta las minutas de contratos de arrendamiento recomendadas por la UPRA, entre otros instrumentos que se consideren pertinentes.</t>
  </si>
  <si>
    <t>Servicio de apoyo para la regularización de la propiedad  y seguridad jurídica en la tenencia de la tierra, para la cadena de maíz.
Servicio de promoción de esquemas de acceso a la tierra con seguridad jurídica.
Servicio de apoyo al fortalecimiento de políticas de articulación territorial.</t>
  </si>
  <si>
    <t xml:space="preserve">8.1.2. Conformar y fortalecer redes colaborativas bajo esquemas cooperativos de participación dinámica, conjunta y permanente entre los actores públicos y privados del ámbito subregional, regional, nacional e internacional, tales como los entes gubernamentales, la academia, las empresas privadas, entre otros, para la adquisición, modernización y aprovechamiento eficiente de la infraestructura, equipamientos y recursos dirigidos a I+D+i, transferencia de conocimientos y tecnologías, asistencia técnica, y extensión agrícola e industrial en la cadena de maíz, considerando las instancias, instrumentos y referentes internacionales, existentes en esta materia. </t>
  </si>
  <si>
    <t>9.1.3. Evaluar y mejorar los programas del ICA en materia de producción, comercialización y uso de semillas certificadas, monitoreo y control integrado de plagas y enfermedades, condiciones de secado y almacenamiento de granos, generando acciones oportunas para prevenir riesgos fitosanitarios y de inocuidad.</t>
  </si>
  <si>
    <t>9.1.4. Desarrollar una estrategia financiera para garantizar la disponibilidad de los recursos requeridos por el Sistema Nacional de IVC en correcta articulación interinstitucional y bajo el amparo de estándares internacionales, teniendo en cuenta los esquemas tarifarios reglamentados para servicios operados por las autoridades sanitarias y de inocuidad.</t>
  </si>
  <si>
    <t>9.1.5. Fortalecer el control de calidad e inocuidad y la identificación de riesgos sanitarios en la cadena del maíz, a través de la consolidación de una red integrada por laboratorios regionales de monitoreo y servicios básicos y por laboratorios centralizados de servicios de mayor complejidad, operados o autorizados, por el ICA para el consumo animal, y por el Invima para consumo humano, bajo el principio de la regulación sanitaria competitiva.</t>
  </si>
  <si>
    <t>9.1.6. Fortalecer la capacidad operativa del Sistema de IVC, con el fin de mejorar el estatus fitosanitario, de inocuidad y calidad del grano, a partir de las recomendaciones de la Mesa Técnica del Subsistema de la Cadena de Cereales y Alimentos Balanceados, en el marco de la implementación de la Resolución 329 de 2021 del Minagricultura, sobre el Sistema de Información Nacional de Trazabilidad Vegetal.</t>
  </si>
  <si>
    <t xml:space="preserve">9.1.7. Diseñar e implementar una estrategia de comunicación y divulgación de la normatividad del sistema IVC con acompañamiento técnico por parte de las entidades de IVC, dirigida a los diferentes actores a lo largo de la cadena. </t>
  </si>
  <si>
    <t>9.1.8. Realizar el seguimiento y monitoreo del fortalecimiento del sistema IVC.</t>
  </si>
  <si>
    <t>Documentos de planeación para el sistema de inspección, vigilancia y control de la cadena de maíz.
Documentos normativos para la cadena de maíz.
Servicio de apoyo para el fortalecimiento en la gestión de las autoridades sanitarias y de inocuidad. 
Servicio de Inspección, Vigilancia y Control para la cadena de maíz.</t>
  </si>
  <si>
    <t xml:space="preserve">9.2.4. Diseñar y/o mejorar las normas técnicas para la comercialización de maíz, acorde con los estándares internacionales, que determinan la clase, el tipo y el grado, así como promover su aplicación entre los actores de la cadena. </t>
  </si>
  <si>
    <t xml:space="preserve">9.2.6. Evaluar, adaptar, mejorar y/o profundizar los instrumentos, bien sea que ya existan en el país o no, pero que son ampliamente utilizados en otros países, para la gestión de riesgos climáticos y de mercados, fortaleciendo e incrementando el uso de seguros agrícolas, los contratos de futuro y las coberturas de precios y tasa de cambio, entre otros, relacionados con la cadena de maíz. </t>
  </si>
  <si>
    <t xml:space="preserve">
Documentos de lineamientos técnicos de los instrumentos de financiamiento, comercialización, gestión de riesgos y empresarización para la cadena maicera.
Servicio de financiamiento para los actores del sector maicero.
Instrumentos de financiamiento, comercialización, gestión de riesgos y empresarización disponibles para la cadena maicera, diseñados, evaluados, adaptados y/o mejorados.</t>
  </si>
  <si>
    <t xml:space="preserve">9.3.4. Revisar la normatividad vigente sobre el acceso a la tierra para la consolidación y seguridad jurídica de las inversiones privadas en la producción de maíz, teniendo en cuenta las diferentes escalas de inversión y los tiempos de retorno. </t>
  </si>
  <si>
    <t>9.3.6. Diseñar incentivos para inversiones de mediana y gran escala que incluyan topes acordes a la realidad del mercado y de la actividad, para el establecimiento de sistemas productivos que mantienen de forma permanente la rotación de cultivos de ciclo corto.</t>
  </si>
  <si>
    <t>9.3.7. Analizar la situación del mercado y el potencial para aprovechar instrumentos como los contratos a término y de futuros, con garantías de cumplimiento para productores y compradores, teniendo en cuenta las proyecciones de crecimiento de la cadena de maíz y las necesidades de los actores, generando las recomendaciones y planes de implementación para el uso de estos instrumentos.</t>
  </si>
  <si>
    <t>Servicio de apoyo en la conformación de una red colaborativa para los procesos de validación tecnológica.
Documentos de instrumentos técnicos de evaluación y seguimiento ambiental.
Documentos normativos sobre el acceso a la tierra para la consolidación y seguridad jurídica de las inversiones privadas en la producción de maíz.
Documentos de diagnóstico tributarios.
Documentos de lineamientos técnicos sobre incentivos para inversiones de mediana y gran escala  
Documentos de lineamientos técnicos  para el desarrollo del mercado de contratos de futuros.</t>
  </si>
  <si>
    <t>9.5.5. Consolidar la gestión de los comités regionales de la cadena de maíz, a través de la gestión gradual del POP para la cadena maicera y los Planes Maestros de Reconversión Productiva - PMRP, en concordancia con el proyecto 9.6. Adopción, promoción y monitoreo de la política pública para la cadena de maíz.</t>
  </si>
  <si>
    <t>Asistencia técnica para unidades productoras sistema tecnificado 2.1</t>
  </si>
  <si>
    <t>ICR y LEC Compra cal dolomita  has de maiz 2.2</t>
  </si>
  <si>
    <t>e. LEC Maquinaria- 2.2</t>
  </si>
  <si>
    <t>Maquinaria Proyecto 2.2</t>
  </si>
  <si>
    <t>c. ICR Compra cal dolomita  has de maiz 2.2</t>
  </si>
  <si>
    <t xml:space="preserve">e.  ICR modernización maquinaria de acuerdo al tipo de productor. </t>
  </si>
  <si>
    <t xml:space="preserve">Es el costo del incentivo a la promoción del emprendimiento para pequelas y medianas empresas, el valor del incentivo se calculó teniendo en cuenta el valor de los ingresos de micro, pequeñas y medianas empresas,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t>
  </si>
  <si>
    <t>Fuente. Elaboración propia</t>
  </si>
  <si>
    <t>f.  LEC modernización maquinaria   de acuerdo al tipo de productor.  2.2</t>
  </si>
  <si>
    <t>g.  Capital de trabajo para comercialización  o procesamiento 3.1</t>
  </si>
  <si>
    <t>h. Promoción  al emprendimiento P. 3.3 , 3.4, 3.5, 8.1</t>
  </si>
  <si>
    <t>Es el costo del incentivo asignado al valor agregado para empresas, se  calculó teniendo en cuenta el valor de los ingresos de micro y pequeñas empresas, de acuerdo a la clasificación de la Dian, a la cual se le estimó un porcentaje del 10% y 5% del valor anual de los ingresos estimados y a este resultado se le calculó el 10% y el 5%, lo cual arroja un  valor de apoyo para la generación de valor agregado para micro y pequeñas empresas de $8.954.883 y $19,476.575 respectivamente.</t>
  </si>
  <si>
    <t>Se propone un incentivo para inversiones en tecnologías y prácticas sostenibles se  calculó teniendo en cuenta el valor de los ingresos de micro y pequeñas empresas, de acuerdo a la clasificación de la Dian, a la cual se le estimó un porcentaje del 3%, 2 y 0.5 % del valor anual de los ingresos estimados y a este resultado se le calculó el 40%, 25%  y  20%, lo cual arroja un  valor de apoyo para la generación de valor agregado para micro y pequeñas empresas de $10.745.859, $ 38.953.150, $65.996.416, respectivamente.</t>
  </si>
  <si>
    <t>j. Incentivo vivienda. Proyecto 6.1</t>
  </si>
  <si>
    <t>l. Incentivo a la TICS. Proyecto 6.2</t>
  </si>
  <si>
    <t>m. Incentivo a la conectividad. Proyecto 6.2</t>
  </si>
  <si>
    <t>k. Incentivo por servicios públicos. Proyecto 6.2</t>
  </si>
  <si>
    <t xml:space="preserve">Es el costo del incentivo a la promoción de la formalización para pequelas empresas, el valor del incentivo se calculó teniendo en cuenta el valor de los ingresos de micro, pequeñas,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t>
  </si>
  <si>
    <t>Es un incentivo propuesto para apoyar para las unidades productoras de maiz tradicional,  en relación a preparación de suelo y encalado, semilas hibrida, abonos y fitosanitario, que se calucló en $1.610.000 por hectárea.</t>
  </si>
  <si>
    <t xml:space="preserve">n. Incentivo a las Unidades Productoras  6.3 </t>
  </si>
  <si>
    <t>Se estima la creación de un incentivo a la formalización de la propiedad para pequeños con el fin de apoyar en temas de registro y documentación, por un valor de $3.000.000 a 20 productores de cada subregión</t>
  </si>
  <si>
    <t>j. LEC Adecuación de tierras 4.2</t>
  </si>
  <si>
    <t>i. ICR Pequeños y asociativos/ soluciones individuales de riego 4.2</t>
  </si>
  <si>
    <t>k. Incentivo (tecnologías limpias) 5.1</t>
  </si>
  <si>
    <t xml:space="preserve">Se propone un incentivo dirigido a promover la creación de empresas especializadas de extensión agrícola e industrial, el costo del incentivo a la promoción de la formalización para pequelas empresas, el valor del incentivo se calculó teniendo en cuenta el valor de los ingresos de micro, pequeñas,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t>
  </si>
  <si>
    <t>ñ. Incentivo a la formalización 6.3</t>
  </si>
  <si>
    <t>o. Incentivos a la formalización a la propiedad 7.2</t>
  </si>
  <si>
    <t>p. Incentivo microempresas técnicas especializadas  8.1</t>
  </si>
  <si>
    <t>En esta hoja se vincula la estimación de costos realizada para cada Programa (P1 , P2….hasta P9), desde el  año 0 hasta el año 20. Posteriormente se realiza la sumatoria de resultado de la estimación para los programas y de esta manera se tiene el valor de la estimación total de costos de implementación del portafolio de programas y proyectos.
Los campos que conformar la hoja de  estimación de costos anualizada y su descripción son los siguientes:</t>
  </si>
  <si>
    <t>Se propone un ICR para incentivar la  aplicación de cal por ha sembrada,  a través de un  incentivo a la adecuación química de suelos, a través de  la aplicación de 5 t/h de Cal dolomita, con un costo de $150.000 por tonelada; se sugiere la asignación de un ICR del 20% durante los 10 primeros años. Corresponde a la asignación de recursos de Incentivo a la Capitalización Rural que consiste en un abono que realiza FINAGRO a través del intermediario financiero a favor del beneficiario, en creditos de redescuento para financiar la actividad de inversión en adecuación de tierras, 547440 Corrección Química de Suelos.</t>
  </si>
  <si>
    <t>Es el costo que se propone para incentivar la  aplicación de cal por ha sembrada,  a través de un  incentivo a la adecuación química de suelos, a través de  la aplicación de 5 t/h de Cal dolomita, con un costo de $150.000 por tonelada; ya que es una inversión de lento retorno, a partir del año 12 y hasta el 20 se propone una línea especial de crédito, que subsidie el 7.5% del interés del valor del crédito. Corresponde a la asignación de recursos en Linea Especial de Credito con tasa subsidiada , en creditos de redescuento en FINAGRO para financiar la  inversión en adecuación de tierras, 547440 Corrección Química de Suelos.</t>
  </si>
  <si>
    <t>Se estima  un ICR para modernizar la maquinaria, a través de kits de maquinaria para atender 400 has de capacidad, cuyo costo por kit es de $2.570.750 según estudio realizado en la iniciativa soya maíz  proyecto maíz del 2021, se propone asignar recursos de  de ICR de un 40% para asociaciones de productores y un ICR de 20% a otros productores.Corresponde a la asignación de recursos de Incentivo a la Capitalización Rural que consiste en un abono que realiza FINAGRO a través del intermediario financiero a favor del beneficiario, en creditos de redescuento para financiar la  inversión en maquinaria y equipos.</t>
  </si>
  <si>
    <t>Se estima  un LEC para modernizar la maquinaria, a través de kits de maquinaria para atender 400 has de capacidad, cuyo costo por kit es de $2.570.750 según estudio realizado en la iniciativa soya maíz  proyecto maíz del 2021, para subsidiar 7.5% puntos de la tasa de interés del costo de la maquinaria.Corresponde a la asignación de recursos de Incentivo a la Capitalización Rural que consiste en un abono que realiza FINAGRO a través del intermediario financiero a favor del beneficiario, en creditos de redescuento para financiar la  inversión en maquinaria y equipos.</t>
  </si>
  <si>
    <t>Se estima  una tasa especial de crédito para comercializar y procesar, se hace un supuesto para comercializar 500 toneladas de maiz, por un valor promedio de $1.000.000 .Corresponde a la asignación de recursos en Linea Especial de Credito con tasa subsidiada, en creditos de redescuento en FINAGRO para financiar capital de trabajo en actividades de comercilización y/o transformación.</t>
  </si>
  <si>
    <t>Se estima un 7,5% anual del valor del crédito como subsisido a tasa de interés (LEC) por adecuación de tierras para uso agropecuario. Las hectáreas a apoyar corresponden a un  30% de las áreas estimadas a incrementar durante la ejecución del plan (950.000), es decir 285.000 . Se estima un valor por hectárea de $1.500.000 que es un supeusto técnico para la inversión en labores mecanización y encalamiento para adecuar tierras para el cultivo.  Corresponde a la asignación de recursos en Linea Especial de Credito con tasa subsidiada, en creditos de redescuento en FINAGRO para financiar la inversión en adecuación de tierras e infraestructura.</t>
  </si>
  <si>
    <t>Se estima un ICR para  soluciones individuales de riego para el 5% de las áreas estimadas a incrementar durante la ejecución del plan (950.000), es decir 47.500  de los cuales se estimó un 50% para pequeños y asociativos y un 30% para medianos, se considero un 20% para grandes; se sugiere un ICR de 40% para pequeños y pequelos asociativos y del 20% para medianos y a los grandes no les asigna incentivos.  El  supuesto técnico estimado para el valor de las soluciones individuales de riego es de $7.994.184/ha (USD 2.150 a una tasa de cambio de $3.718); que corresponde a un sistema de riego por pivote que incluye equipos, y no incluye mano de obra, ni infraestructura para captación de aguas.Corresponde a la asignación de recursos de Incentivo a la Capitalización Rural que consiste en un abono que realiza FINAGRO a través del intermediario financiero a favor del beneficiario, en creditos de redescuento para financiar la  inversión en maquinaria y equipos, 105001 Equipos y sistemas nuevos para riego y drenaje.</t>
  </si>
  <si>
    <r>
      <t>Se relacionan en el orden del portafolio de programas y proyect</t>
    </r>
    <r>
      <rPr>
        <sz val="12"/>
        <color theme="1"/>
        <rFont val="Arial"/>
        <family val="2"/>
      </rPr>
      <t xml:space="preserve">os, los </t>
    </r>
    <r>
      <rPr>
        <b/>
        <sz val="11"/>
        <color theme="1"/>
        <rFont val="Arial"/>
        <family val="2"/>
      </rPr>
      <t>12 programas y 27 proyectos.</t>
    </r>
  </si>
  <si>
    <r>
      <t>Contiene los valores presupuestados en</t>
    </r>
    <r>
      <rPr>
        <b/>
        <sz val="11"/>
        <color theme="1"/>
        <rFont val="Arial"/>
        <family val="2"/>
      </rPr>
      <t xml:space="preserve"> pesos</t>
    </r>
    <r>
      <rPr>
        <sz val="12"/>
        <color theme="1"/>
        <rFont val="Arial"/>
        <family val="2"/>
      </rPr>
      <t xml:space="preserve"> constantes de 2022 para </t>
    </r>
    <r>
      <rPr>
        <b/>
        <sz val="11"/>
        <color theme="1"/>
        <rFont val="Arial"/>
        <family val="2"/>
      </rPr>
      <t xml:space="preserve">cada año desde el año 0 hasta el al 20, </t>
    </r>
    <r>
      <rPr>
        <sz val="12"/>
        <color theme="1"/>
        <rFont val="Arial"/>
        <family val="2"/>
      </rPr>
      <t>para los 9</t>
    </r>
    <r>
      <rPr>
        <sz val="12"/>
        <color rgb="FFFF0000"/>
        <rFont val="Arial"/>
        <family val="2"/>
      </rPr>
      <t xml:space="preserve"> </t>
    </r>
    <r>
      <rPr>
        <sz val="12"/>
        <color theme="1"/>
        <rFont val="Arial"/>
        <family val="2"/>
      </rPr>
      <t xml:space="preserve">programas y 27 proyectos . Estos valores están vinculados desde cada hoja de proyecto "P1.1, P1.2…P9."
En color  </t>
    </r>
    <r>
      <rPr>
        <sz val="11"/>
        <color theme="8" tint="0.39997558519241921"/>
        <rFont val="Arial"/>
        <family val="2"/>
      </rPr>
      <t xml:space="preserve">           </t>
    </r>
    <r>
      <rPr>
        <sz val="11"/>
        <rFont val="Arial"/>
        <family val="2"/>
      </rPr>
      <t>se resalta el resultado del presupuesto obtenido para los Programas. 
En color             se resalta el resultado del presupuesto obtenido para los proyectos.
En color             se resalta el resultado del presupuesto final.</t>
    </r>
  </si>
  <si>
    <r>
      <t>Se relacionan en el orden del portafolio de programas y proyectos, los 9</t>
    </r>
    <r>
      <rPr>
        <b/>
        <sz val="11"/>
        <color theme="1"/>
        <rFont val="Arial"/>
        <family val="2"/>
      </rPr>
      <t xml:space="preserve"> programas y 27 proyectos</t>
    </r>
  </si>
  <si>
    <t xml:space="preserve">Contiene los valores estimados en pesos constantes de 2022 para el primer período de implementación, considerado el corto plazo, correspondiente a los 10 programas y 27 proyectos.
Este valor se vincula de la sumatoria de los valores de la hoja "Estimación de Costos Anualizada "para cada programa y proyecto del año 0 al 4. 
</t>
  </si>
  <si>
    <t xml:space="preserve">Contiene los valores estimados en pesos constantes de 2022 para el segundo período de implementación, considerado el mediano plazo, correspondiente a los 9 programas y 27 proyectos.
Este valor se vincula de la sumatoria de los valores de la hoja "Estimación de Costos Anualizada "para cada programa y proyecto del año 5 al 12. 
</t>
  </si>
  <si>
    <t xml:space="preserve">Contiene los valores estimados en pesos constantes de 2022 para el segundo período de implementación, considerado el mediano plazo, correspondiente a los 9 programas y 27 proyectos.
Este valor se vincula de la sumatoria de los valores de la hoja "Estimación de Costos Anualizada "para cada programa y proyecto del año 13 al 20. 
</t>
  </si>
  <si>
    <t>P1, P2, P3…P9</t>
  </si>
  <si>
    <t>Se generó una hoja para cada uno de los 9 programas que conforman el portafolio, representados por el código asignado a cada programa en el portafolio de programas y proyectos.</t>
  </si>
  <si>
    <t>Nombre del proyecto correspondientes, se vincula de los nombres de los -27 proyectos dispuestos en la hoja "Estimación de Costos Anualizada"</t>
  </si>
  <si>
    <t xml:space="preserve">La nomenclatura empleada para los programas corresponde del Programa 1 al Programa 9 y para los proyectos se emplea el número del programa seguido del número en el orden consecutivo del proyecto dentro de cada programa (1, 2, 3…9). En este sentido se creará una hoja para cada programa, y en cada una de ellas se costearán los proyectos que lo conforman. </t>
  </si>
  <si>
    <t>GLOSARIO DE CATEGORIA DE COSTOS CADENA DE MAIZ</t>
  </si>
  <si>
    <t>5. Fortalecimiento de la gestión ambiental en la cadena maicera.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</si>
</sst>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quot;\ * #,##0.00_-;\-&quot;$&quot;\ * #,##0.00_-;_-&quot;$&quot;\ * &quot;-&quot;??_-;_-@_-"/>
    <numFmt numFmtId="43" formatCode="_-* #,##0.00_-;\-* #,##0.00_-;_-* &quot;-&quot;??_-;_-@_-"/>
    <numFmt numFmtId="164" formatCode="_-* #,##0_-;\-* #,##0_-;_-* &quot;-&quot;??_-;_-@_-"/>
    <numFmt numFmtId="165" formatCode="_-&quot;$&quot;\ * #,##0_-;\-&quot;$&quot;\ * #,##0_-;_-&quot;$&quot;\ * &quot;-&quot;??_-;_-@_-"/>
    <numFmt numFmtId="166" formatCode="0.0%"/>
    <numFmt numFmtId="167" formatCode="_-* #,##0.0_-;\-* #,##0.0_-;_-* &quot;-&quot;??_-;_-@_-"/>
    <numFmt numFmtId="168" formatCode="_-* #,##0.0_-;\-* #,##0.0_-;_-* &quot;-&quot;_-;_-@_-"/>
    <numFmt numFmtId="169" formatCode="[$USD]\ #,##0"/>
  </numFmts>
  <fonts count="4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sz val="12"/>
      <color theme="1"/>
      <name val="Arial"/>
      <family val="2"/>
    </font>
    <font>
      <sz val="11"/>
      <color theme="8" tint="0.39997558519241921"/>
      <name val="Arial"/>
      <family val="2"/>
    </font>
    <font>
      <sz val="12"/>
      <color theme="1"/>
      <name val="Calibri"/>
      <family val="2"/>
      <scheme val="minor"/>
    </font>
    <font>
      <b/>
      <sz val="11"/>
      <color indexed="8"/>
      <name val="Arial"/>
      <family val="2"/>
    </font>
    <font>
      <sz val="11"/>
      <color theme="6" tint="-0.249977111117893"/>
      <name val="Arial"/>
      <family val="2"/>
    </font>
    <font>
      <u/>
      <sz val="11"/>
      <color theme="10"/>
      <name val="Calibri"/>
      <family val="2"/>
      <scheme val="minor"/>
    </font>
    <font>
      <b/>
      <sz val="11"/>
      <name val="Arial"/>
      <family val="2"/>
    </font>
    <font>
      <sz val="11"/>
      <color rgb="FFFF0000"/>
      <name val="Arial"/>
      <family val="2"/>
    </font>
    <font>
      <sz val="10"/>
      <name val="Arial"/>
      <family val="2"/>
    </font>
    <font>
      <sz val="11"/>
      <color theme="4"/>
      <name val="Arial"/>
      <family val="2"/>
    </font>
    <font>
      <sz val="12"/>
      <color rgb="FFFF0000"/>
      <name val="Arial"/>
      <family val="2"/>
    </font>
    <font>
      <b/>
      <sz val="11"/>
      <color rgb="FF000000"/>
      <name val="Arial"/>
      <family val="2"/>
    </font>
    <font>
      <b/>
      <sz val="11"/>
      <color theme="1" tint="0.14999847407452621"/>
      <name val="Arial"/>
      <family val="2"/>
    </font>
    <font>
      <sz val="11"/>
      <color theme="5"/>
      <name val="Arial"/>
      <family val="2"/>
    </font>
    <font>
      <sz val="10"/>
      <color theme="1"/>
      <name val="Arial"/>
      <family val="2"/>
    </font>
    <font>
      <b/>
      <sz val="12"/>
      <color theme="0"/>
      <name val="Arial Black"/>
      <family val="2"/>
    </font>
    <font>
      <sz val="10"/>
      <color theme="1" tint="0.14999847407452621"/>
      <name val="Arial"/>
      <family val="2"/>
    </font>
    <font>
      <sz val="11"/>
      <color theme="1" tint="0.14999847407452621"/>
      <name val="Arial"/>
      <family val="2"/>
    </font>
    <font>
      <b/>
      <sz val="12"/>
      <color theme="1"/>
      <name val="Arial"/>
      <family val="2"/>
    </font>
    <font>
      <b/>
      <sz val="12"/>
      <name val="Arial"/>
      <family val="2"/>
    </font>
    <font>
      <b/>
      <sz val="11"/>
      <color theme="1" tint="0.249977111117893"/>
      <name val="Arial"/>
      <family val="2"/>
    </font>
    <font>
      <sz val="11"/>
      <color theme="1" tint="0.249977111117893"/>
      <name val="Arial"/>
      <family val="2"/>
    </font>
    <font>
      <sz val="8"/>
      <name val="Calibri"/>
      <family val="2"/>
      <scheme val="minor"/>
    </font>
    <font>
      <b/>
      <sz val="14"/>
      <color theme="1"/>
      <name val="Arial"/>
      <family val="2"/>
    </font>
    <font>
      <b/>
      <sz val="14"/>
      <color theme="1"/>
      <name val="Calibri"/>
      <family val="2"/>
      <scheme val="minor"/>
    </font>
    <font>
      <sz val="9"/>
      <name val="Arial"/>
      <family val="2"/>
    </font>
    <font>
      <strike/>
      <sz val="12"/>
      <color theme="1"/>
      <name val="Arial"/>
      <family val="2"/>
    </font>
    <font>
      <b/>
      <sz val="11"/>
      <color theme="1"/>
      <name val="Calibri"/>
      <family val="2"/>
      <scheme val="minor"/>
    </font>
    <font>
      <sz val="8"/>
      <name val="Arial"/>
      <family val="2"/>
    </font>
    <font>
      <b/>
      <sz val="11"/>
      <color rgb="FF333333"/>
      <name val="Arial"/>
      <family val="2"/>
    </font>
    <font>
      <sz val="11"/>
      <color rgb="FF333333"/>
      <name val="Arial"/>
      <family val="2"/>
    </font>
    <font>
      <u/>
      <sz val="11"/>
      <color theme="10"/>
      <name val="Arial"/>
      <family val="2"/>
    </font>
    <font>
      <sz val="8"/>
      <color theme="1"/>
      <name val="Arial"/>
      <family val="2"/>
    </font>
    <font>
      <sz val="11"/>
      <color rgb="FF000000"/>
      <name val="Arial"/>
      <family val="2"/>
    </font>
    <font>
      <b/>
      <sz val="11"/>
      <color rgb="FF0070C0"/>
      <name val="Arial"/>
      <family val="2"/>
    </font>
    <font>
      <sz val="11"/>
      <color rgb="FFFF0000"/>
      <name val="Calibri"/>
      <family val="2"/>
      <scheme val="minor"/>
    </font>
    <font>
      <sz val="11"/>
      <name val="Calibri"/>
      <family val="2"/>
      <scheme val="minor"/>
    </font>
    <font>
      <b/>
      <sz val="14"/>
      <name val="Arial"/>
      <family val="2"/>
    </font>
    <font>
      <sz val="14"/>
      <color theme="1"/>
      <name val="Arial"/>
      <family val="2"/>
    </font>
    <font>
      <b/>
      <sz val="11"/>
      <color theme="0"/>
      <name val="Arial"/>
      <family val="2"/>
    </font>
    <font>
      <b/>
      <sz val="11"/>
      <color theme="0"/>
      <name val="Arial Black"/>
      <family val="2"/>
    </font>
  </fonts>
  <fills count="2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7"/>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rgb="FF99CCFF"/>
        <bgColor indexed="64"/>
      </patternFill>
    </fill>
    <fill>
      <patternFill patternType="solid">
        <fgColor theme="5" tint="0.59999389629810485"/>
        <bgColor indexed="64"/>
      </patternFill>
    </fill>
    <fill>
      <patternFill patternType="solid">
        <fgColor theme="4" tint="-0.499984740745262"/>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02">
    <xf numFmtId="0" fontId="0" fillId="0" borderId="0"/>
    <xf numFmtId="44" fontId="1" fillId="0" borderId="0" applyFont="0" applyFill="0" applyBorder="0" applyAlignment="0" applyProtection="0"/>
    <xf numFmtId="0" fontId="1" fillId="0" borderId="0"/>
    <xf numFmtId="0" fontId="7" fillId="0" borderId="0"/>
    <xf numFmtId="0" fontId="1"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3" fillId="0" borderId="0"/>
    <xf numFmtId="9" fontId="7" fillId="0" borderId="0" applyFont="0" applyFill="0" applyBorder="0" applyAlignment="0" applyProtection="0"/>
    <xf numFmtId="0" fontId="1" fillId="0" borderId="0"/>
    <xf numFmtId="43" fontId="7" fillId="0" borderId="0" applyFont="0" applyFill="0" applyBorder="0" applyAlignment="0" applyProtection="0"/>
    <xf numFmtId="41"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7" fillId="0" borderId="0"/>
    <xf numFmtId="0" fontId="1" fillId="0" borderId="0"/>
    <xf numFmtId="0" fontId="7" fillId="0" borderId="0"/>
    <xf numFmtId="0" fontId="13" fillId="0" borderId="0"/>
    <xf numFmtId="9"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0"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83">
    <xf numFmtId="0" fontId="0" fillId="0" borderId="0" xfId="0"/>
    <xf numFmtId="0" fontId="2" fillId="2" borderId="0" xfId="2" applyFont="1" applyFill="1"/>
    <xf numFmtId="0" fontId="2" fillId="2" borderId="0" xfId="2" applyFont="1" applyFill="1" applyAlignment="1">
      <alignment wrapText="1"/>
    </xf>
    <xf numFmtId="0" fontId="3" fillId="2" borderId="0" xfId="2" applyFont="1" applyFill="1"/>
    <xf numFmtId="0" fontId="2" fillId="2" borderId="0" xfId="2" applyFont="1" applyFill="1" applyAlignment="1">
      <alignment horizontal="left" wrapText="1"/>
    </xf>
    <xf numFmtId="0" fontId="2" fillId="2" borderId="0" xfId="2" applyFont="1" applyFill="1" applyAlignment="1">
      <alignment horizontal="left"/>
    </xf>
    <xf numFmtId="0" fontId="2" fillId="0" borderId="0" xfId="2" applyFont="1" applyAlignment="1">
      <alignment horizontal="left" vertical="center" wrapText="1"/>
    </xf>
    <xf numFmtId="0" fontId="2" fillId="2" borderId="0" xfId="2" applyFont="1" applyFill="1" applyAlignment="1">
      <alignment horizontal="left" vertical="center" wrapText="1"/>
    </xf>
    <xf numFmtId="0" fontId="2" fillId="2" borderId="0" xfId="2" applyFont="1" applyFill="1" applyAlignment="1">
      <alignment horizontal="left" vertical="center"/>
    </xf>
    <xf numFmtId="0" fontId="2" fillId="0" borderId="0" xfId="2" applyFont="1" applyAlignment="1">
      <alignment horizontal="justify" vertical="center" wrapText="1"/>
    </xf>
    <xf numFmtId="0" fontId="3" fillId="0" borderId="8" xfId="2" applyFont="1" applyBorder="1" applyAlignment="1">
      <alignment horizontal="center" vertical="center"/>
    </xf>
    <xf numFmtId="0" fontId="3" fillId="0" borderId="11" xfId="2" applyFont="1" applyBorder="1" applyAlignment="1">
      <alignment horizontal="center" vertical="center" wrapText="1"/>
    </xf>
    <xf numFmtId="0" fontId="4" fillId="0" borderId="8" xfId="2" applyFont="1" applyBorder="1" applyAlignment="1">
      <alignment horizontal="justify" vertical="center" wrapText="1"/>
    </xf>
    <xf numFmtId="0" fontId="3" fillId="0" borderId="8" xfId="2" applyFont="1" applyBorder="1" applyAlignment="1">
      <alignment horizontal="center" vertical="center" wrapText="1"/>
    </xf>
    <xf numFmtId="0" fontId="2" fillId="0" borderId="8" xfId="2" applyFont="1" applyBorder="1" applyAlignment="1">
      <alignment horizontal="justify" vertical="center" wrapText="1"/>
    </xf>
    <xf numFmtId="0" fontId="2" fillId="2" borderId="0" xfId="2" applyFont="1" applyFill="1" applyAlignment="1">
      <alignment vertical="center"/>
    </xf>
    <xf numFmtId="0" fontId="3" fillId="0" borderId="8" xfId="2" applyFont="1" applyBorder="1" applyAlignment="1">
      <alignment horizontal="center"/>
    </xf>
    <xf numFmtId="0" fontId="3" fillId="0" borderId="8" xfId="2" applyFont="1" applyBorder="1" applyAlignment="1">
      <alignment horizontal="left" vertical="center" wrapText="1"/>
    </xf>
    <xf numFmtId="0" fontId="2" fillId="0" borderId="8" xfId="2" applyFont="1" applyBorder="1" applyAlignment="1">
      <alignment vertical="center" wrapText="1"/>
    </xf>
    <xf numFmtId="0" fontId="3" fillId="0" borderId="11" xfId="2" applyFont="1" applyBorder="1" applyAlignment="1">
      <alignment horizontal="center" vertical="center"/>
    </xf>
    <xf numFmtId="0" fontId="2" fillId="0" borderId="8" xfId="2" applyFont="1" applyBorder="1" applyAlignment="1">
      <alignment horizontal="left" vertical="center" wrapText="1"/>
    </xf>
    <xf numFmtId="0" fontId="3" fillId="2" borderId="8" xfId="2" applyFont="1" applyFill="1" applyBorder="1" applyAlignment="1">
      <alignment horizontal="center" vertical="center" wrapText="1"/>
    </xf>
    <xf numFmtId="0" fontId="2" fillId="2" borderId="8" xfId="2" applyFont="1" applyFill="1" applyBorder="1" applyAlignment="1">
      <alignment vertical="center" wrapText="1"/>
    </xf>
    <xf numFmtId="0" fontId="3" fillId="2" borderId="8" xfId="2" applyFont="1" applyFill="1" applyBorder="1" applyAlignment="1">
      <alignment horizontal="center" vertical="center"/>
    </xf>
    <xf numFmtId="0" fontId="2" fillId="2" borderId="8" xfId="2" applyFont="1" applyFill="1" applyBorder="1" applyAlignment="1">
      <alignment horizontal="justify" vertical="center" wrapText="1"/>
    </xf>
    <xf numFmtId="0" fontId="2" fillId="0" borderId="0" xfId="3" applyFont="1"/>
    <xf numFmtId="0" fontId="2" fillId="0" borderId="0" xfId="2" applyFont="1"/>
    <xf numFmtId="0" fontId="2" fillId="0" borderId="0" xfId="3" applyFont="1" applyAlignment="1">
      <alignment horizontal="center"/>
    </xf>
    <xf numFmtId="0" fontId="2" fillId="0" borderId="0" xfId="2" applyFont="1" applyAlignment="1">
      <alignment horizontal="center" vertical="center" wrapText="1"/>
    </xf>
    <xf numFmtId="0" fontId="2" fillId="2" borderId="0" xfId="3" applyFont="1" applyFill="1"/>
    <xf numFmtId="0" fontId="2" fillId="2" borderId="0" xfId="3" applyFont="1" applyFill="1" applyAlignment="1">
      <alignment horizontal="center"/>
    </xf>
    <xf numFmtId="0" fontId="3" fillId="0" borderId="0" xfId="3" applyFont="1" applyAlignment="1">
      <alignment horizontal="center" vertical="center" wrapText="1"/>
    </xf>
    <xf numFmtId="10" fontId="9" fillId="0" borderId="0" xfId="2" applyNumberFormat="1" applyFont="1" applyAlignment="1">
      <alignment horizontal="center"/>
    </xf>
    <xf numFmtId="0" fontId="2" fillId="0" borderId="17" xfId="3" applyFont="1" applyBorder="1"/>
    <xf numFmtId="0" fontId="2" fillId="0" borderId="0" xfId="3" applyFont="1" applyAlignment="1">
      <alignment vertical="top" wrapText="1"/>
    </xf>
    <xf numFmtId="0" fontId="2" fillId="0" borderId="0" xfId="2" applyFont="1" applyAlignment="1">
      <alignment wrapText="1"/>
    </xf>
    <xf numFmtId="0" fontId="2" fillId="0" borderId="0" xfId="2" applyFont="1" applyAlignment="1">
      <alignment horizontal="justify" vertical="center"/>
    </xf>
    <xf numFmtId="0" fontId="2" fillId="0" borderId="0" xfId="4" applyFont="1"/>
    <xf numFmtId="0" fontId="2" fillId="2" borderId="0" xfId="4" applyFont="1" applyFill="1"/>
    <xf numFmtId="0" fontId="2" fillId="0" borderId="8" xfId="4" applyFont="1" applyBorder="1"/>
    <xf numFmtId="0" fontId="2" fillId="0" borderId="0" xfId="4" applyFont="1" applyAlignment="1">
      <alignment horizontal="center"/>
    </xf>
    <xf numFmtId="0" fontId="4" fillId="0" borderId="8" xfId="4" applyFont="1" applyBorder="1"/>
    <xf numFmtId="0" fontId="2" fillId="0" borderId="0" xfId="4" applyFont="1" applyAlignment="1">
      <alignment wrapText="1"/>
    </xf>
    <xf numFmtId="164" fontId="4" fillId="0" borderId="8" xfId="4" applyNumberFormat="1" applyFont="1" applyBorder="1"/>
    <xf numFmtId="164" fontId="2" fillId="0" borderId="0" xfId="8" applyNumberFormat="1" applyFont="1"/>
    <xf numFmtId="164" fontId="2" fillId="0" borderId="8" xfId="8" applyNumberFormat="1" applyFont="1" applyBorder="1"/>
    <xf numFmtId="0" fontId="4" fillId="2" borderId="8" xfId="4" applyFont="1" applyFill="1" applyBorder="1"/>
    <xf numFmtId="0" fontId="2" fillId="0" borderId="8" xfId="4" applyFont="1" applyBorder="1" applyAlignment="1">
      <alignment horizontal="left"/>
    </xf>
    <xf numFmtId="0" fontId="2" fillId="2" borderId="8" xfId="4" applyFont="1" applyFill="1" applyBorder="1"/>
    <xf numFmtId="0" fontId="3" fillId="2" borderId="0" xfId="4" applyFont="1" applyFill="1"/>
    <xf numFmtId="164" fontId="2" fillId="0" borderId="8" xfId="9" applyNumberFormat="1" applyFont="1" applyBorder="1"/>
    <xf numFmtId="41" fontId="2" fillId="0" borderId="8" xfId="15" applyFont="1" applyBorder="1"/>
    <xf numFmtId="164" fontId="2" fillId="0" borderId="0" xfId="18" applyNumberFormat="1" applyFont="1"/>
    <xf numFmtId="164" fontId="2" fillId="0" borderId="8" xfId="18" applyNumberFormat="1" applyFont="1" applyBorder="1"/>
    <xf numFmtId="164" fontId="4" fillId="0" borderId="8" xfId="18" applyNumberFormat="1" applyFont="1" applyBorder="1"/>
    <xf numFmtId="0" fontId="2" fillId="0" borderId="0" xfId="3" applyFont="1" applyAlignment="1">
      <alignment wrapText="1"/>
    </xf>
    <xf numFmtId="0" fontId="2" fillId="0" borderId="8" xfId="4" applyFont="1" applyBorder="1" applyAlignment="1">
      <alignment wrapText="1"/>
    </xf>
    <xf numFmtId="0" fontId="3" fillId="0" borderId="0" xfId="4" applyFont="1"/>
    <xf numFmtId="0" fontId="16" fillId="0" borderId="0" xfId="4" applyFont="1"/>
    <xf numFmtId="0" fontId="16" fillId="6" borderId="0" xfId="4" applyFont="1" applyFill="1"/>
    <xf numFmtId="0" fontId="2" fillId="6" borderId="0" xfId="4" applyFont="1" applyFill="1"/>
    <xf numFmtId="0" fontId="2" fillId="7" borderId="0" xfId="4" applyFont="1" applyFill="1"/>
    <xf numFmtId="0" fontId="3" fillId="0" borderId="8" xfId="4" applyFont="1" applyBorder="1" applyAlignment="1">
      <alignment horizontal="center"/>
    </xf>
    <xf numFmtId="0" fontId="3" fillId="8" borderId="8" xfId="4" applyFont="1" applyFill="1" applyBorder="1" applyAlignment="1">
      <alignment horizontal="center"/>
    </xf>
    <xf numFmtId="0" fontId="17" fillId="8" borderId="8" xfId="4" applyFont="1" applyFill="1" applyBorder="1" applyAlignment="1">
      <alignment horizontal="center" vertical="center"/>
    </xf>
    <xf numFmtId="3" fontId="3" fillId="8" borderId="8" xfId="4" applyNumberFormat="1" applyFont="1" applyFill="1" applyBorder="1" applyAlignment="1">
      <alignment horizontal="center"/>
    </xf>
    <xf numFmtId="3" fontId="2" fillId="0" borderId="0" xfId="4" applyNumberFormat="1" applyFont="1" applyAlignment="1">
      <alignment horizontal="center"/>
    </xf>
    <xf numFmtId="0" fontId="4" fillId="2" borderId="0" xfId="4" applyFont="1" applyFill="1"/>
    <xf numFmtId="0" fontId="4" fillId="2" borderId="8" xfId="4" applyFont="1" applyFill="1" applyBorder="1" applyAlignment="1">
      <alignment horizontal="justify" vertical="center" wrapText="1"/>
    </xf>
    <xf numFmtId="165" fontId="4" fillId="2" borderId="8" xfId="7" applyNumberFormat="1" applyFont="1" applyFill="1" applyBorder="1" applyAlignment="1">
      <alignment horizontal="right" vertical="center"/>
    </xf>
    <xf numFmtId="0" fontId="4" fillId="2" borderId="0" xfId="4" applyFont="1" applyFill="1" applyAlignment="1">
      <alignment horizontal="center" vertical="center"/>
    </xf>
    <xf numFmtId="165" fontId="3" fillId="8" borderId="8" xfId="10" applyNumberFormat="1" applyFont="1" applyFill="1" applyBorder="1" applyAlignment="1">
      <alignment horizontal="center"/>
    </xf>
    <xf numFmtId="0" fontId="3" fillId="2" borderId="0" xfId="4" applyFont="1" applyFill="1" applyAlignment="1">
      <alignment horizontal="center"/>
    </xf>
    <xf numFmtId="165" fontId="3" fillId="2" borderId="0" xfId="10" applyNumberFormat="1" applyFont="1" applyFill="1" applyBorder="1" applyAlignment="1">
      <alignment horizontal="center"/>
    </xf>
    <xf numFmtId="165" fontId="14" fillId="2" borderId="0" xfId="10" applyNumberFormat="1" applyFont="1" applyFill="1" applyBorder="1" applyAlignment="1">
      <alignment horizontal="center"/>
    </xf>
    <xf numFmtId="0" fontId="2" fillId="2" borderId="0" xfId="4" applyFont="1" applyFill="1" applyAlignment="1">
      <alignment horizontal="center"/>
    </xf>
    <xf numFmtId="0" fontId="3" fillId="2" borderId="0" xfId="4" applyFont="1" applyFill="1" applyAlignment="1">
      <alignment horizontal="left" wrapText="1"/>
    </xf>
    <xf numFmtId="3" fontId="2" fillId="2" borderId="0" xfId="4" applyNumberFormat="1" applyFont="1" applyFill="1"/>
    <xf numFmtId="0" fontId="3" fillId="9" borderId="8" xfId="4" applyFont="1" applyFill="1" applyBorder="1" applyAlignment="1">
      <alignment horizontal="center"/>
    </xf>
    <xf numFmtId="164" fontId="3" fillId="9" borderId="8" xfId="9" applyNumberFormat="1" applyFont="1" applyFill="1" applyBorder="1" applyAlignment="1">
      <alignment horizontal="center"/>
    </xf>
    <xf numFmtId="165" fontId="2" fillId="0" borderId="0" xfId="4" applyNumberFormat="1" applyFont="1"/>
    <xf numFmtId="164" fontId="4" fillId="0" borderId="8" xfId="8" applyNumberFormat="1" applyFont="1" applyBorder="1"/>
    <xf numFmtId="3" fontId="2" fillId="0" borderId="8" xfId="4" applyNumberFormat="1" applyFont="1" applyBorder="1"/>
    <xf numFmtId="164" fontId="2" fillId="2" borderId="0" xfId="8" applyNumberFormat="1" applyFont="1" applyFill="1"/>
    <xf numFmtId="164" fontId="14" fillId="2" borderId="0" xfId="8" applyNumberFormat="1" applyFont="1" applyFill="1"/>
    <xf numFmtId="0" fontId="3" fillId="9" borderId="8" xfId="4" applyFont="1" applyFill="1" applyBorder="1" applyAlignment="1">
      <alignment horizontal="left"/>
    </xf>
    <xf numFmtId="0" fontId="2" fillId="9" borderId="8" xfId="4" applyFont="1" applyFill="1" applyBorder="1"/>
    <xf numFmtId="3" fontId="2" fillId="9" borderId="8" xfId="4" applyNumberFormat="1" applyFont="1" applyFill="1" applyBorder="1"/>
    <xf numFmtId="165" fontId="3" fillId="9" borderId="9" xfId="10" applyNumberFormat="1" applyFont="1" applyFill="1" applyBorder="1" applyAlignment="1">
      <alignment horizontal="center"/>
    </xf>
    <xf numFmtId="0" fontId="2" fillId="0" borderId="12" xfId="3" applyFont="1" applyBorder="1" applyAlignment="1">
      <alignment wrapText="1"/>
    </xf>
    <xf numFmtId="164" fontId="3" fillId="0" borderId="0" xfId="9" applyNumberFormat="1" applyFont="1" applyBorder="1"/>
    <xf numFmtId="0" fontId="18" fillId="2" borderId="0" xfId="4" applyFont="1" applyFill="1"/>
    <xf numFmtId="0" fontId="18" fillId="0" borderId="0" xfId="4" applyFont="1"/>
    <xf numFmtId="9" fontId="2" fillId="2" borderId="8" xfId="28" applyFont="1" applyFill="1" applyBorder="1"/>
    <xf numFmtId="3" fontId="4" fillId="0" borderId="8" xfId="4" applyNumberFormat="1" applyFont="1" applyBorder="1"/>
    <xf numFmtId="0" fontId="2" fillId="2" borderId="8" xfId="4" applyFont="1" applyFill="1" applyBorder="1" applyAlignment="1">
      <alignment wrapText="1"/>
    </xf>
    <xf numFmtId="9" fontId="2" fillId="2" borderId="8" xfId="4" applyNumberFormat="1" applyFont="1" applyFill="1" applyBorder="1"/>
    <xf numFmtId="9" fontId="2" fillId="0" borderId="8" xfId="4" applyNumberFormat="1" applyFont="1" applyBorder="1"/>
    <xf numFmtId="165" fontId="3" fillId="9" borderId="8" xfId="7" applyNumberFormat="1" applyFont="1" applyFill="1" applyBorder="1" applyAlignment="1">
      <alignment horizontal="center"/>
    </xf>
    <xf numFmtId="0" fontId="4" fillId="2" borderId="0" xfId="4" applyFont="1" applyFill="1" applyAlignment="1">
      <alignment horizontal="justify" wrapText="1"/>
    </xf>
    <xf numFmtId="164" fontId="19" fillId="0" borderId="0" xfId="8" applyNumberFormat="1" applyFont="1" applyAlignment="1">
      <alignment horizontal="justify" wrapText="1"/>
    </xf>
    <xf numFmtId="0" fontId="2" fillId="0" borderId="0" xfId="4" applyFont="1"/>
    <xf numFmtId="0" fontId="2" fillId="2" borderId="0" xfId="4" applyFont="1" applyFill="1"/>
    <xf numFmtId="0" fontId="2" fillId="0" borderId="8" xfId="4" applyFont="1" applyBorder="1"/>
    <xf numFmtId="0" fontId="4" fillId="0" borderId="8" xfId="4" applyFont="1" applyBorder="1"/>
    <xf numFmtId="0" fontId="2" fillId="0" borderId="0" xfId="4" applyFont="1" applyAlignment="1">
      <alignment vertical="center"/>
    </xf>
    <xf numFmtId="0" fontId="2" fillId="0" borderId="0" xfId="4" applyFont="1" applyBorder="1"/>
    <xf numFmtId="0" fontId="4" fillId="0" borderId="8" xfId="4" applyFont="1" applyBorder="1" applyAlignment="1">
      <alignment horizontal="center"/>
    </xf>
    <xf numFmtId="3" fontId="2" fillId="0" borderId="8" xfId="4" applyNumberFormat="1" applyFont="1" applyBorder="1"/>
    <xf numFmtId="0" fontId="2" fillId="0" borderId="0" xfId="3" applyFont="1" applyAlignment="1">
      <alignment wrapText="1"/>
    </xf>
    <xf numFmtId="0" fontId="3" fillId="2" borderId="0" xfId="4" applyFont="1" applyFill="1" applyAlignment="1">
      <alignment horizontal="left" wrapText="1"/>
    </xf>
    <xf numFmtId="0" fontId="2" fillId="0" borderId="0" xfId="3" applyFont="1" applyAlignment="1">
      <alignment wrapText="1"/>
    </xf>
    <xf numFmtId="0" fontId="3" fillId="2" borderId="0" xfId="4" applyFont="1" applyFill="1" applyAlignment="1">
      <alignment horizontal="left" wrapText="1"/>
    </xf>
    <xf numFmtId="165" fontId="4" fillId="2" borderId="8" xfId="7" applyNumberFormat="1" applyFont="1" applyFill="1" applyBorder="1" applyAlignment="1">
      <alignment horizontal="center" vertical="center"/>
    </xf>
    <xf numFmtId="165" fontId="3" fillId="9" borderId="8" xfId="10" applyNumberFormat="1" applyFont="1" applyFill="1" applyBorder="1" applyAlignment="1">
      <alignment horizontal="center"/>
    </xf>
    <xf numFmtId="164" fontId="2" fillId="0" borderId="0" xfId="4" applyNumberFormat="1" applyFont="1"/>
    <xf numFmtId="164" fontId="2" fillId="0" borderId="12" xfId="18" applyNumberFormat="1" applyFont="1" applyBorder="1" applyAlignment="1">
      <alignment wrapText="1"/>
    </xf>
    <xf numFmtId="1" fontId="4" fillId="0" borderId="8" xfId="4" applyNumberFormat="1" applyFont="1" applyBorder="1"/>
    <xf numFmtId="41" fontId="4" fillId="0" borderId="8" xfId="4" applyNumberFormat="1" applyFont="1" applyBorder="1"/>
    <xf numFmtId="0" fontId="4" fillId="0" borderId="8" xfId="51" applyFont="1" applyBorder="1"/>
    <xf numFmtId="0" fontId="4" fillId="0" borderId="8" xfId="52" applyFont="1" applyBorder="1"/>
    <xf numFmtId="0" fontId="2" fillId="0" borderId="12" xfId="4" applyFont="1" applyBorder="1"/>
    <xf numFmtId="0" fontId="2" fillId="2" borderId="0" xfId="4" applyFont="1" applyFill="1" applyAlignment="1">
      <alignment wrapText="1"/>
    </xf>
    <xf numFmtId="0" fontId="2" fillId="0" borderId="8" xfId="51" applyFont="1" applyBorder="1"/>
    <xf numFmtId="0" fontId="2" fillId="2" borderId="8" xfId="51" applyFont="1" applyFill="1" applyBorder="1" applyAlignment="1">
      <alignment wrapText="1"/>
    </xf>
    <xf numFmtId="0" fontId="2" fillId="2" borderId="8" xfId="51" applyFont="1" applyFill="1" applyBorder="1"/>
    <xf numFmtId="3" fontId="2" fillId="2" borderId="8" xfId="51" applyNumberFormat="1" applyFont="1" applyFill="1" applyBorder="1"/>
    <xf numFmtId="9" fontId="2" fillId="0" borderId="8" xfId="51" applyNumberFormat="1" applyFont="1" applyBorder="1"/>
    <xf numFmtId="164" fontId="2" fillId="0" borderId="8" xfId="51" applyNumberFormat="1" applyFont="1" applyBorder="1"/>
    <xf numFmtId="0" fontId="2" fillId="0" borderId="8" xfId="53" applyFont="1" applyBorder="1"/>
    <xf numFmtId="0" fontId="13" fillId="2" borderId="0" xfId="4" applyFont="1" applyFill="1" applyAlignment="1">
      <alignment horizontal="justify" vertical="top"/>
    </xf>
    <xf numFmtId="0" fontId="13" fillId="2" borderId="12" xfId="4" applyFont="1" applyFill="1" applyBorder="1" applyAlignment="1">
      <alignment horizontal="justify" vertical="top" wrapText="1"/>
    </xf>
    <xf numFmtId="44" fontId="2" fillId="0" borderId="8" xfId="1" applyFont="1" applyBorder="1"/>
    <xf numFmtId="0" fontId="21" fillId="2" borderId="26" xfId="0" applyFont="1" applyFill="1" applyBorder="1" applyAlignment="1">
      <alignment horizontal="center" vertical="center"/>
    </xf>
    <xf numFmtId="0" fontId="2" fillId="0" borderId="0" xfId="3" applyFont="1" applyBorder="1" applyAlignment="1">
      <alignment wrapText="1"/>
    </xf>
    <xf numFmtId="0" fontId="2" fillId="2" borderId="0" xfId="4" applyFont="1" applyFill="1" applyBorder="1"/>
    <xf numFmtId="164" fontId="2" fillId="2" borderId="8" xfId="18" applyNumberFormat="1" applyFont="1" applyFill="1" applyBorder="1"/>
    <xf numFmtId="164" fontId="2" fillId="2" borderId="0" xfId="18" applyNumberFormat="1" applyFont="1" applyFill="1"/>
    <xf numFmtId="3" fontId="3" fillId="9" borderId="8" xfId="4" applyNumberFormat="1" applyFont="1" applyFill="1" applyBorder="1"/>
    <xf numFmtId="164" fontId="4" fillId="0" borderId="8" xfId="8" applyNumberFormat="1" applyFont="1" applyBorder="1" applyAlignment="1">
      <alignment horizontal="right"/>
    </xf>
    <xf numFmtId="165" fontId="2" fillId="0" borderId="0" xfId="1" applyNumberFormat="1" applyFont="1" applyBorder="1" applyAlignment="1">
      <alignment wrapText="1"/>
    </xf>
    <xf numFmtId="0" fontId="3" fillId="11" borderId="8" xfId="4" applyFont="1" applyFill="1" applyBorder="1" applyAlignment="1">
      <alignment horizontal="left"/>
    </xf>
    <xf numFmtId="0" fontId="2" fillId="12" borderId="8" xfId="4" applyFont="1" applyFill="1" applyBorder="1"/>
    <xf numFmtId="0" fontId="4" fillId="2" borderId="8" xfId="4" applyFont="1" applyFill="1" applyBorder="1" applyAlignment="1">
      <alignment horizontal="center" vertical="center" wrapText="1"/>
    </xf>
    <xf numFmtId="164" fontId="4" fillId="2" borderId="8" xfId="4" applyNumberFormat="1" applyFont="1" applyFill="1" applyBorder="1" applyAlignment="1">
      <alignment horizontal="center" vertical="center"/>
    </xf>
    <xf numFmtId="165" fontId="4" fillId="2" borderId="8" xfId="7" applyNumberFormat="1" applyFont="1" applyFill="1" applyBorder="1" applyAlignment="1">
      <alignment vertical="center"/>
    </xf>
    <xf numFmtId="164" fontId="4" fillId="0" borderId="8" xfId="8" applyNumberFormat="1" applyFont="1" applyFill="1" applyBorder="1"/>
    <xf numFmtId="9" fontId="2" fillId="2" borderId="0" xfId="54" applyFont="1" applyFill="1"/>
    <xf numFmtId="3" fontId="2" fillId="2" borderId="8" xfId="4" applyNumberFormat="1" applyFont="1" applyFill="1" applyBorder="1"/>
    <xf numFmtId="164" fontId="4" fillId="2" borderId="8" xfId="8" applyNumberFormat="1" applyFont="1" applyFill="1" applyBorder="1"/>
    <xf numFmtId="0" fontId="2" fillId="11" borderId="0" xfId="3" applyFont="1" applyFill="1" applyAlignment="1">
      <alignment wrapText="1"/>
    </xf>
    <xf numFmtId="0" fontId="2" fillId="11" borderId="0" xfId="4" applyFont="1" applyFill="1"/>
    <xf numFmtId="165" fontId="3" fillId="11" borderId="8" xfId="7" applyNumberFormat="1" applyFont="1" applyFill="1" applyBorder="1" applyAlignment="1">
      <alignment horizontal="center"/>
    </xf>
    <xf numFmtId="3" fontId="2" fillId="0" borderId="0" xfId="4" applyNumberFormat="1" applyFont="1"/>
    <xf numFmtId="41" fontId="2" fillId="0" borderId="0" xfId="55" applyFont="1"/>
    <xf numFmtId="0" fontId="2" fillId="2" borderId="8" xfId="53" applyFont="1" applyFill="1" applyBorder="1" applyAlignment="1">
      <alignment horizontal="left"/>
    </xf>
    <xf numFmtId="0" fontId="22" fillId="2" borderId="8" xfId="57" applyFont="1" applyFill="1" applyBorder="1" applyAlignment="1">
      <alignment vertical="center"/>
    </xf>
    <xf numFmtId="0" fontId="4" fillId="0" borderId="0" xfId="3" applyFont="1" applyBorder="1" applyAlignment="1">
      <alignment horizontal="justify" vertical="top" wrapText="1"/>
    </xf>
    <xf numFmtId="164" fontId="3" fillId="5" borderId="8" xfId="18" applyNumberFormat="1" applyFont="1" applyFill="1" applyBorder="1" applyAlignment="1">
      <alignment vertical="center" wrapText="1"/>
    </xf>
    <xf numFmtId="164" fontId="25" fillId="9" borderId="8" xfId="18" applyNumberFormat="1" applyFont="1" applyFill="1" applyBorder="1" applyAlignment="1">
      <alignment vertical="center" wrapText="1"/>
    </xf>
    <xf numFmtId="164" fontId="2" fillId="0" borderId="0" xfId="18" applyNumberFormat="1" applyFont="1" applyBorder="1"/>
    <xf numFmtId="164" fontId="24" fillId="13" borderId="8" xfId="18" applyNumberFormat="1" applyFont="1" applyFill="1" applyBorder="1" applyAlignment="1">
      <alignment vertical="center" wrapText="1"/>
    </xf>
    <xf numFmtId="0" fontId="16" fillId="6" borderId="0" xfId="4" applyFont="1" applyFill="1" applyAlignment="1">
      <alignment vertical="center"/>
    </xf>
    <xf numFmtId="0" fontId="3" fillId="8" borderId="8" xfId="4" applyFont="1" applyFill="1" applyBorder="1" applyAlignment="1">
      <alignment horizontal="center" vertical="center"/>
    </xf>
    <xf numFmtId="165" fontId="3" fillId="8" borderId="8" xfId="1" applyNumberFormat="1" applyFont="1" applyFill="1" applyBorder="1" applyAlignment="1">
      <alignment horizontal="center" vertical="center"/>
    </xf>
    <xf numFmtId="3" fontId="2" fillId="0" borderId="0" xfId="4" applyNumberFormat="1" applyFont="1" applyAlignment="1">
      <alignment horizontal="center" vertical="center"/>
    </xf>
    <xf numFmtId="0" fontId="2" fillId="0" borderId="0" xfId="4" applyFont="1" applyAlignment="1">
      <alignment horizontal="center" vertical="center"/>
    </xf>
    <xf numFmtId="165" fontId="3" fillId="8" borderId="8" xfId="10" applyNumberFormat="1" applyFont="1" applyFill="1" applyBorder="1" applyAlignment="1">
      <alignment horizontal="center" vertical="center"/>
    </xf>
    <xf numFmtId="0" fontId="3" fillId="9" borderId="8" xfId="4" applyFont="1" applyFill="1" applyBorder="1" applyAlignment="1">
      <alignment horizontal="center" vertical="center"/>
    </xf>
    <xf numFmtId="164" fontId="3" fillId="9" borderId="8" xfId="9" applyNumberFormat="1" applyFont="1" applyFill="1" applyBorder="1" applyAlignment="1">
      <alignment horizontal="center" vertical="center"/>
    </xf>
    <xf numFmtId="165" fontId="2" fillId="0" borderId="0" xfId="4" applyNumberFormat="1" applyFont="1" applyAlignment="1">
      <alignment vertical="center"/>
    </xf>
    <xf numFmtId="0" fontId="22" fillId="0" borderId="8" xfId="13" applyFont="1" applyBorder="1" applyAlignment="1">
      <alignment vertical="center"/>
    </xf>
    <xf numFmtId="0" fontId="22" fillId="2" borderId="8" xfId="13" applyFont="1" applyFill="1" applyBorder="1" applyAlignment="1">
      <alignment vertical="center"/>
    </xf>
    <xf numFmtId="0" fontId="3" fillId="9" borderId="8" xfId="4" applyFont="1" applyFill="1" applyBorder="1" applyAlignment="1">
      <alignment horizontal="left" vertical="center"/>
    </xf>
    <xf numFmtId="0" fontId="2" fillId="9" borderId="8" xfId="4" applyFont="1" applyFill="1" applyBorder="1" applyAlignment="1">
      <alignment vertical="center"/>
    </xf>
    <xf numFmtId="3" fontId="2" fillId="9" borderId="8" xfId="4" applyNumberFormat="1" applyFont="1" applyFill="1" applyBorder="1" applyAlignment="1">
      <alignment vertical="center"/>
    </xf>
    <xf numFmtId="165" fontId="3" fillId="9" borderId="8" xfId="10" applyNumberFormat="1" applyFont="1" applyFill="1" applyBorder="1" applyAlignment="1">
      <alignment horizontal="center" vertical="center"/>
    </xf>
    <xf numFmtId="0" fontId="2" fillId="2" borderId="0" xfId="4" applyFont="1" applyFill="1" applyAlignment="1">
      <alignment vertical="center"/>
    </xf>
    <xf numFmtId="0" fontId="4" fillId="2" borderId="0" xfId="4" applyFont="1" applyFill="1" applyAlignment="1">
      <alignment horizontal="justify" vertical="center" wrapText="1"/>
    </xf>
    <xf numFmtId="164" fontId="2" fillId="0" borderId="8" xfId="18" applyNumberFormat="1" applyFont="1" applyBorder="1" applyAlignment="1">
      <alignment horizontal="right" vertical="center"/>
    </xf>
    <xf numFmtId="3" fontId="4" fillId="2" borderId="8" xfId="4" applyNumberFormat="1" applyFont="1" applyFill="1" applyBorder="1"/>
    <xf numFmtId="164" fontId="4" fillId="0" borderId="8" xfId="4" applyNumberFormat="1" applyFont="1" applyBorder="1" applyAlignment="1">
      <alignment vertical="center"/>
    </xf>
    <xf numFmtId="165" fontId="3" fillId="9" borderId="8" xfId="7" applyNumberFormat="1" applyFont="1" applyFill="1" applyBorder="1" applyAlignment="1">
      <alignment horizontal="center" vertical="center"/>
    </xf>
    <xf numFmtId="164" fontId="2" fillId="0" borderId="0" xfId="8" applyNumberFormat="1" applyFont="1" applyAlignment="1">
      <alignment vertical="center"/>
    </xf>
    <xf numFmtId="9" fontId="2" fillId="0" borderId="0" xfId="4" applyNumberFormat="1" applyFont="1"/>
    <xf numFmtId="164" fontId="2" fillId="0" borderId="0" xfId="18" applyNumberFormat="1" applyFont="1" applyAlignment="1">
      <alignment vertical="center"/>
    </xf>
    <xf numFmtId="9" fontId="2" fillId="0" borderId="0" xfId="54" applyFont="1" applyAlignment="1">
      <alignment vertical="center"/>
    </xf>
    <xf numFmtId="164" fontId="2" fillId="2" borderId="8" xfId="8" applyNumberFormat="1" applyFont="1" applyFill="1" applyBorder="1"/>
    <xf numFmtId="0" fontId="4" fillId="2" borderId="12" xfId="4" applyFont="1" applyFill="1" applyBorder="1" applyAlignment="1">
      <alignment horizontal="justify" vertical="center" wrapText="1"/>
    </xf>
    <xf numFmtId="165" fontId="4" fillId="2" borderId="8" xfId="1" applyNumberFormat="1" applyFont="1" applyFill="1" applyBorder="1" applyAlignment="1">
      <alignment horizontal="center" vertical="center"/>
    </xf>
    <xf numFmtId="0" fontId="22" fillId="2" borderId="8" xfId="57" applyFont="1" applyFill="1" applyBorder="1" applyAlignment="1">
      <alignment vertical="center" wrapText="1"/>
    </xf>
    <xf numFmtId="3" fontId="4" fillId="2" borderId="8" xfId="3" applyNumberFormat="1" applyFont="1" applyFill="1" applyBorder="1"/>
    <xf numFmtId="0" fontId="4" fillId="2" borderId="0" xfId="4" applyFont="1" applyFill="1" applyAlignment="1">
      <alignment horizontal="justify" vertical="center"/>
    </xf>
    <xf numFmtId="0" fontId="25" fillId="9" borderId="8" xfId="18" applyNumberFormat="1" applyFont="1" applyFill="1" applyBorder="1" applyAlignment="1">
      <alignment vertical="center" wrapText="1"/>
    </xf>
    <xf numFmtId="0" fontId="2" fillId="0" borderId="0" xfId="18" applyNumberFormat="1" applyFont="1"/>
    <xf numFmtId="0" fontId="26" fillId="2" borderId="8" xfId="18" applyNumberFormat="1" applyFont="1" applyFill="1" applyBorder="1" applyAlignment="1">
      <alignment vertical="center" wrapText="1"/>
    </xf>
    <xf numFmtId="0" fontId="26" fillId="2" borderId="8" xfId="18" applyNumberFormat="1" applyFont="1" applyFill="1" applyBorder="1" applyAlignment="1">
      <alignment vertical="justify" wrapText="1"/>
    </xf>
    <xf numFmtId="0" fontId="26" fillId="2" borderId="11" xfId="18" applyNumberFormat="1" applyFont="1" applyFill="1" applyBorder="1" applyAlignment="1">
      <alignment vertical="center" wrapText="1"/>
    </xf>
    <xf numFmtId="0" fontId="24" fillId="13" borderId="8" xfId="18" applyNumberFormat="1" applyFont="1" applyFill="1" applyBorder="1" applyAlignment="1">
      <alignment vertical="center" wrapText="1"/>
    </xf>
    <xf numFmtId="0" fontId="5" fillId="2" borderId="0" xfId="18" applyNumberFormat="1" applyFont="1" applyFill="1" applyBorder="1"/>
    <xf numFmtId="9" fontId="4" fillId="0" borderId="8" xfId="4" applyNumberFormat="1" applyFont="1" applyBorder="1"/>
    <xf numFmtId="0" fontId="13" fillId="2" borderId="0" xfId="4" applyFont="1" applyFill="1" applyBorder="1" applyAlignment="1">
      <alignment horizontal="justify" vertical="top" wrapText="1"/>
    </xf>
    <xf numFmtId="3" fontId="3" fillId="13" borderId="8" xfId="4" applyNumberFormat="1" applyFont="1" applyFill="1" applyBorder="1"/>
    <xf numFmtId="3" fontId="3" fillId="9" borderId="24" xfId="4" applyNumberFormat="1" applyFont="1" applyFill="1" applyBorder="1"/>
    <xf numFmtId="0" fontId="3" fillId="9" borderId="8" xfId="3" applyFont="1" applyFill="1" applyBorder="1" applyAlignment="1">
      <alignment horizontal="center" wrapText="1"/>
    </xf>
    <xf numFmtId="10" fontId="2" fillId="0" borderId="8" xfId="54" applyNumberFormat="1" applyFont="1" applyBorder="1"/>
    <xf numFmtId="0" fontId="4" fillId="0" borderId="0" xfId="3" applyFont="1" applyAlignment="1">
      <alignment horizontal="justify" vertical="top" wrapText="1"/>
    </xf>
    <xf numFmtId="0" fontId="4" fillId="2" borderId="0" xfId="4" applyFont="1" applyFill="1" applyAlignment="1">
      <alignment horizontal="justify" vertical="top" wrapText="1"/>
    </xf>
    <xf numFmtId="0" fontId="2" fillId="0" borderId="0" xfId="3" applyFont="1" applyAlignment="1">
      <alignment wrapText="1"/>
    </xf>
    <xf numFmtId="0" fontId="28" fillId="0" borderId="0" xfId="18" applyNumberFormat="1" applyFont="1" applyAlignment="1">
      <alignment horizontal="center" wrapText="1"/>
    </xf>
    <xf numFmtId="0" fontId="29" fillId="0" borderId="0" xfId="0" applyNumberFormat="1" applyFont="1" applyAlignment="1">
      <alignment horizontal="center" wrapText="1"/>
    </xf>
    <xf numFmtId="0" fontId="20" fillId="10" borderId="26" xfId="50" applyFont="1" applyFill="1" applyBorder="1" applyAlignment="1">
      <alignment horizontal="center" vertical="center" wrapText="1"/>
    </xf>
    <xf numFmtId="0" fontId="20" fillId="10" borderId="26" xfId="50" applyFont="1" applyFill="1" applyBorder="1" applyAlignment="1">
      <alignment horizontal="center" vertical="center"/>
    </xf>
    <xf numFmtId="0" fontId="5" fillId="2" borderId="0" xfId="50" applyFont="1" applyFill="1"/>
    <xf numFmtId="0" fontId="5" fillId="2" borderId="0" xfId="50" applyFont="1" applyFill="1" applyAlignment="1">
      <alignment horizontal="left"/>
    </xf>
    <xf numFmtId="0" fontId="11" fillId="0" borderId="0" xfId="4" applyFont="1"/>
    <xf numFmtId="0" fontId="4" fillId="0" borderId="0" xfId="4" applyFont="1"/>
    <xf numFmtId="0" fontId="11" fillId="2" borderId="0" xfId="4" applyFont="1" applyFill="1"/>
    <xf numFmtId="0" fontId="11" fillId="6" borderId="0" xfId="4" applyFont="1" applyFill="1"/>
    <xf numFmtId="0" fontId="4" fillId="6" borderId="0" xfId="4" applyFont="1" applyFill="1"/>
    <xf numFmtId="0" fontId="4" fillId="7" borderId="0" xfId="4" applyFont="1" applyFill="1"/>
    <xf numFmtId="0" fontId="11" fillId="0" borderId="8" xfId="4" applyFont="1" applyBorder="1" applyAlignment="1">
      <alignment horizontal="center"/>
    </xf>
    <xf numFmtId="0" fontId="11" fillId="8" borderId="8" xfId="4" applyFont="1" applyFill="1" applyBorder="1" applyAlignment="1">
      <alignment horizontal="center"/>
    </xf>
    <xf numFmtId="0" fontId="11" fillId="8" borderId="8" xfId="4" applyFont="1" applyFill="1" applyBorder="1" applyAlignment="1">
      <alignment horizontal="center" vertical="center"/>
    </xf>
    <xf numFmtId="3" fontId="11" fillId="8" borderId="8" xfId="4" applyNumberFormat="1" applyFont="1" applyFill="1" applyBorder="1" applyAlignment="1">
      <alignment horizontal="center"/>
    </xf>
    <xf numFmtId="3" fontId="4" fillId="0" borderId="0" xfId="4" applyNumberFormat="1" applyFont="1" applyAlignment="1">
      <alignment horizontal="center"/>
    </xf>
    <xf numFmtId="0" fontId="4" fillId="0" borderId="0" xfId="4" applyFont="1" applyAlignment="1">
      <alignment horizontal="center"/>
    </xf>
    <xf numFmtId="165" fontId="11" fillId="8" borderId="8" xfId="10" applyNumberFormat="1" applyFont="1" applyFill="1" applyBorder="1" applyAlignment="1">
      <alignment horizontal="center"/>
    </xf>
    <xf numFmtId="0" fontId="11" fillId="2" borderId="0" xfId="4" applyFont="1" applyFill="1" applyAlignment="1">
      <alignment horizontal="center"/>
    </xf>
    <xf numFmtId="165" fontId="11" fillId="2" borderId="0" xfId="10" applyNumberFormat="1" applyFont="1" applyFill="1" applyBorder="1" applyAlignment="1">
      <alignment horizontal="center"/>
    </xf>
    <xf numFmtId="165" fontId="4" fillId="2" borderId="0" xfId="10" applyNumberFormat="1" applyFont="1" applyFill="1" applyBorder="1" applyAlignment="1">
      <alignment horizontal="center"/>
    </xf>
    <xf numFmtId="0" fontId="4" fillId="2" borderId="0" xfId="4" applyFont="1" applyFill="1" applyAlignment="1">
      <alignment horizontal="center"/>
    </xf>
    <xf numFmtId="0" fontId="11" fillId="2" borderId="0" xfId="4" applyFont="1" applyFill="1" applyAlignment="1">
      <alignment horizontal="left" wrapText="1"/>
    </xf>
    <xf numFmtId="3" fontId="4" fillId="2" borderId="0" xfId="4" applyNumberFormat="1" applyFont="1" applyFill="1"/>
    <xf numFmtId="0" fontId="11" fillId="9" borderId="8" xfId="4" applyFont="1" applyFill="1" applyBorder="1" applyAlignment="1">
      <alignment horizontal="center"/>
    </xf>
    <xf numFmtId="164" fontId="11" fillId="9" borderId="8" xfId="9" applyNumberFormat="1" applyFont="1" applyFill="1" applyBorder="1" applyAlignment="1">
      <alignment horizontal="center"/>
    </xf>
    <xf numFmtId="165" fontId="4" fillId="0" borderId="0" xfId="4" applyNumberFormat="1" applyFont="1"/>
    <xf numFmtId="0" fontId="4" fillId="0" borderId="8" xfId="4" applyFont="1" applyBorder="1" applyAlignment="1">
      <alignment horizontal="center" vertical="center"/>
    </xf>
    <xf numFmtId="0" fontId="4" fillId="0" borderId="8" xfId="4" applyFont="1" applyBorder="1" applyAlignment="1">
      <alignment horizontal="left" vertical="center"/>
    </xf>
    <xf numFmtId="164" fontId="4" fillId="0" borderId="8" xfId="8" applyNumberFormat="1" applyFont="1" applyBorder="1" applyAlignment="1">
      <alignment horizontal="right" vertical="center"/>
    </xf>
    <xf numFmtId="3" fontId="4" fillId="0" borderId="8" xfId="4" applyNumberFormat="1" applyFont="1" applyBorder="1" applyAlignment="1">
      <alignment horizontal="right" vertical="center"/>
    </xf>
    <xf numFmtId="0" fontId="4" fillId="0" borderId="8" xfId="0" applyFont="1" applyBorder="1" applyAlignment="1">
      <alignment horizontal="center"/>
    </xf>
    <xf numFmtId="0" fontId="4" fillId="0" borderId="8" xfId="0" applyFont="1" applyBorder="1" applyAlignment="1">
      <alignment horizontal="left"/>
    </xf>
    <xf numFmtId="3" fontId="4" fillId="0" borderId="8" xfId="0" applyNumberFormat="1" applyFont="1" applyBorder="1"/>
    <xf numFmtId="9" fontId="4" fillId="2" borderId="8" xfId="54" applyFont="1" applyFill="1" applyBorder="1"/>
    <xf numFmtId="3" fontId="4" fillId="0" borderId="8" xfId="0" applyNumberFormat="1" applyFont="1" applyBorder="1" applyAlignment="1">
      <alignment horizontal="right"/>
    </xf>
    <xf numFmtId="164" fontId="4" fillId="0" borderId="0" xfId="8" applyNumberFormat="1" applyFont="1" applyAlignment="1">
      <alignment horizontal="justify" wrapText="1"/>
    </xf>
    <xf numFmtId="9" fontId="4" fillId="2" borderId="8" xfId="0" applyNumberFormat="1" applyFont="1" applyFill="1" applyBorder="1"/>
    <xf numFmtId="164" fontId="4" fillId="0" borderId="0" xfId="8" applyNumberFormat="1" applyFont="1"/>
    <xf numFmtId="0" fontId="11" fillId="9" borderId="8" xfId="4" applyFont="1" applyFill="1" applyBorder="1" applyAlignment="1">
      <alignment horizontal="left"/>
    </xf>
    <xf numFmtId="0" fontId="4" fillId="9" borderId="8" xfId="4" applyFont="1" applyFill="1" applyBorder="1"/>
    <xf numFmtId="3" fontId="4" fillId="9" borderId="8" xfId="4" applyNumberFormat="1" applyFont="1" applyFill="1" applyBorder="1"/>
    <xf numFmtId="165" fontId="11" fillId="9" borderId="9" xfId="10" applyNumberFormat="1" applyFont="1" applyFill="1" applyBorder="1" applyAlignment="1">
      <alignment horizontal="center"/>
    </xf>
    <xf numFmtId="164" fontId="4" fillId="2" borderId="0" xfId="8" applyNumberFormat="1" applyFont="1" applyFill="1"/>
    <xf numFmtId="0" fontId="4" fillId="2" borderId="27" xfId="56" applyFont="1" applyFill="1" applyBorder="1" applyAlignment="1">
      <alignment horizontal="justify" vertical="center" wrapText="1"/>
    </xf>
    <xf numFmtId="0" fontId="4" fillId="0" borderId="12" xfId="3" applyFont="1" applyBorder="1" applyAlignment="1">
      <alignment wrapText="1"/>
    </xf>
    <xf numFmtId="0" fontId="4" fillId="0" borderId="0" xfId="3" applyFont="1" applyAlignment="1">
      <alignment wrapText="1"/>
    </xf>
    <xf numFmtId="164" fontId="11" fillId="0" borderId="0" xfId="9" applyNumberFormat="1" applyFont="1" applyBorder="1"/>
    <xf numFmtId="0" fontId="4" fillId="0" borderId="8" xfId="57" applyFont="1" applyBorder="1" applyAlignment="1">
      <alignment horizontal="left" vertical="center"/>
    </xf>
    <xf numFmtId="165" fontId="11" fillId="9" borderId="8" xfId="7" applyNumberFormat="1" applyFont="1" applyFill="1" applyBorder="1" applyAlignment="1">
      <alignment horizontal="center"/>
    </xf>
    <xf numFmtId="0" fontId="11" fillId="8" borderId="28" xfId="57" applyFont="1" applyFill="1" applyBorder="1" applyAlignment="1">
      <alignment horizontal="center" vertical="center"/>
    </xf>
    <xf numFmtId="0" fontId="4" fillId="0" borderId="8" xfId="0" applyFont="1" applyBorder="1" applyAlignment="1">
      <alignment horizontal="justify" vertical="center"/>
    </xf>
    <xf numFmtId="0" fontId="4" fillId="0" borderId="8" xfId="57" applyFont="1" applyBorder="1"/>
    <xf numFmtId="164" fontId="4" fillId="0" borderId="8" xfId="9" applyNumberFormat="1" applyFont="1" applyBorder="1"/>
    <xf numFmtId="0" fontId="4" fillId="0" borderId="8" xfId="0" applyFont="1" applyBorder="1"/>
    <xf numFmtId="0" fontId="4" fillId="0" borderId="8" xfId="57" applyFont="1" applyBorder="1" applyAlignment="1">
      <alignment horizontal="center"/>
    </xf>
    <xf numFmtId="9" fontId="4" fillId="0" borderId="8" xfId="57" applyNumberFormat="1" applyFont="1" applyBorder="1"/>
    <xf numFmtId="0" fontId="4" fillId="8" borderId="28" xfId="57" applyFont="1" applyFill="1" applyBorder="1" applyAlignment="1">
      <alignment horizontal="center" vertical="center"/>
    </xf>
    <xf numFmtId="3" fontId="4" fillId="8" borderId="28" xfId="57" applyNumberFormat="1" applyFont="1" applyFill="1" applyBorder="1" applyAlignment="1">
      <alignment horizontal="center" vertical="center"/>
    </xf>
    <xf numFmtId="165" fontId="11" fillId="8" borderId="28" xfId="58" applyNumberFormat="1" applyFont="1" applyFill="1" applyBorder="1" applyAlignment="1">
      <alignment horizontal="right" vertical="center"/>
    </xf>
    <xf numFmtId="0" fontId="4" fillId="2" borderId="27" xfId="57" applyFont="1" applyFill="1" applyBorder="1" applyAlignment="1">
      <alignment horizontal="justify" vertical="center" wrapText="1"/>
    </xf>
    <xf numFmtId="0" fontId="4" fillId="0" borderId="0" xfId="57" applyFont="1" applyAlignment="1">
      <alignment vertical="center" wrapText="1"/>
    </xf>
    <xf numFmtId="0" fontId="11" fillId="8" borderId="8" xfId="57" applyFont="1" applyFill="1" applyBorder="1" applyAlignment="1">
      <alignment horizontal="center" vertical="center"/>
    </xf>
    <xf numFmtId="164" fontId="11" fillId="8" borderId="8" xfId="41" applyNumberFormat="1" applyFont="1" applyFill="1" applyBorder="1" applyAlignment="1">
      <alignment horizontal="center" vertical="center"/>
    </xf>
    <xf numFmtId="0" fontId="4" fillId="0" borderId="8" xfId="53" applyFont="1" applyBorder="1" applyAlignment="1">
      <alignment horizontal="center"/>
    </xf>
    <xf numFmtId="0" fontId="4" fillId="0" borderId="8" xfId="53" applyFont="1" applyBorder="1" applyAlignment="1">
      <alignment horizontal="left"/>
    </xf>
    <xf numFmtId="9" fontId="4" fillId="2" borderId="8" xfId="53" applyNumberFormat="1" applyFont="1" applyFill="1" applyBorder="1"/>
    <xf numFmtId="0" fontId="4" fillId="0" borderId="8" xfId="53" applyFont="1" applyBorder="1"/>
    <xf numFmtId="0" fontId="4" fillId="2" borderId="8" xfId="53" applyFont="1" applyFill="1" applyBorder="1" applyAlignment="1">
      <alignment horizontal="left"/>
    </xf>
    <xf numFmtId="0" fontId="4" fillId="0" borderId="8" xfId="57" applyFont="1" applyBorder="1" applyAlignment="1">
      <alignment vertical="center"/>
    </xf>
    <xf numFmtId="0" fontId="4" fillId="0" borderId="8" xfId="57" applyFont="1" applyBorder="1" applyAlignment="1">
      <alignment horizontal="center" vertical="center"/>
    </xf>
    <xf numFmtId="164" fontId="4" fillId="0" borderId="8" xfId="14" applyNumberFormat="1" applyFont="1" applyBorder="1" applyAlignment="1">
      <alignment vertical="center"/>
    </xf>
    <xf numFmtId="9" fontId="4" fillId="0" borderId="8" xfId="57" applyNumberFormat="1" applyFont="1" applyBorder="1" applyAlignment="1">
      <alignment vertical="center"/>
    </xf>
    <xf numFmtId="164" fontId="4" fillId="0" borderId="8" xfId="14" applyNumberFormat="1" applyFont="1" applyBorder="1" applyAlignment="1">
      <alignment horizontal="center" vertical="center"/>
    </xf>
    <xf numFmtId="0" fontId="11" fillId="8" borderId="8" xfId="57" applyFont="1" applyFill="1" applyBorder="1" applyAlignment="1">
      <alignment horizontal="left" vertical="center"/>
    </xf>
    <xf numFmtId="0" fontId="4" fillId="8" borderId="8" xfId="57" applyFont="1" applyFill="1" applyBorder="1" applyAlignment="1">
      <alignment vertical="center"/>
    </xf>
    <xf numFmtId="3" fontId="4" fillId="8" borderId="8" xfId="57" applyNumberFormat="1" applyFont="1" applyFill="1" applyBorder="1" applyAlignment="1">
      <alignment vertical="center"/>
    </xf>
    <xf numFmtId="165" fontId="11" fillId="8" borderId="8" xfId="58" applyNumberFormat="1" applyFont="1" applyFill="1" applyBorder="1" applyAlignment="1">
      <alignment horizontal="right" vertical="center"/>
    </xf>
    <xf numFmtId="0" fontId="4" fillId="2" borderId="0" xfId="57" applyFont="1" applyFill="1" applyAlignment="1">
      <alignment horizontal="justify" vertical="center" wrapText="1"/>
    </xf>
    <xf numFmtId="0" fontId="4" fillId="2" borderId="0" xfId="57" applyFont="1" applyFill="1" applyAlignment="1">
      <alignment vertical="center" wrapText="1"/>
    </xf>
    <xf numFmtId="0" fontId="11" fillId="8" borderId="29" xfId="57" applyFont="1" applyFill="1" applyBorder="1" applyAlignment="1">
      <alignment horizontal="center" vertical="center"/>
    </xf>
    <xf numFmtId="0" fontId="11" fillId="8" borderId="30" xfId="57" applyFont="1" applyFill="1" applyBorder="1" applyAlignment="1">
      <alignment horizontal="center" vertical="center"/>
    </xf>
    <xf numFmtId="0" fontId="4" fillId="8" borderId="30" xfId="57" applyFont="1" applyFill="1" applyBorder="1" applyAlignment="1">
      <alignment vertical="center"/>
    </xf>
    <xf numFmtId="3" fontId="4" fillId="8" borderId="30" xfId="57" applyNumberFormat="1" applyFont="1" applyFill="1" applyBorder="1" applyAlignment="1">
      <alignment vertical="center"/>
    </xf>
    <xf numFmtId="165" fontId="11" fillId="8" borderId="30" xfId="58" applyNumberFormat="1" applyFont="1" applyFill="1" applyBorder="1" applyAlignment="1">
      <alignment horizontal="center" vertical="center"/>
    </xf>
    <xf numFmtId="0" fontId="4" fillId="2" borderId="27" xfId="57" applyFont="1" applyFill="1" applyBorder="1" applyAlignment="1">
      <alignment vertical="center" wrapText="1"/>
    </xf>
    <xf numFmtId="10" fontId="29" fillId="0" borderId="0" xfId="0" applyNumberFormat="1" applyFont="1" applyAlignment="1">
      <alignment horizontal="center" wrapText="1"/>
    </xf>
    <xf numFmtId="10" fontId="3" fillId="5" borderId="8" xfId="18" applyNumberFormat="1" applyFont="1" applyFill="1" applyBorder="1" applyAlignment="1">
      <alignment horizontal="center" vertical="center" wrapText="1"/>
    </xf>
    <xf numFmtId="10" fontId="25" fillId="9" borderId="8" xfId="54" applyNumberFormat="1" applyFont="1" applyFill="1" applyBorder="1" applyAlignment="1">
      <alignment vertical="center" wrapText="1"/>
    </xf>
    <xf numFmtId="10" fontId="24" fillId="13" borderId="8" xfId="54" applyNumberFormat="1" applyFont="1" applyFill="1" applyBorder="1" applyAlignment="1">
      <alignment vertical="center" wrapText="1"/>
    </xf>
    <xf numFmtId="10" fontId="2" fillId="0" borderId="0" xfId="18" applyNumberFormat="1" applyFont="1" applyBorder="1"/>
    <xf numFmtId="10" fontId="2" fillId="0" borderId="0" xfId="18" applyNumberFormat="1" applyFont="1"/>
    <xf numFmtId="0" fontId="2" fillId="0" borderId="0" xfId="3" applyFont="1" applyAlignment="1">
      <alignment wrapText="1"/>
    </xf>
    <xf numFmtId="0" fontId="2" fillId="0" borderId="8" xfId="4" applyFont="1" applyBorder="1" applyAlignment="1">
      <alignment wrapText="1"/>
    </xf>
    <xf numFmtId="0" fontId="3" fillId="2" borderId="0" xfId="4" applyFont="1" applyFill="1" applyAlignment="1">
      <alignment horizontal="left" wrapText="1"/>
    </xf>
    <xf numFmtId="0" fontId="11" fillId="2" borderId="0" xfId="4" applyFont="1" applyFill="1" applyBorder="1" applyAlignment="1">
      <alignment horizontal="left"/>
    </xf>
    <xf numFmtId="0" fontId="4" fillId="2" borderId="0" xfId="4" applyFont="1" applyFill="1" applyBorder="1"/>
    <xf numFmtId="3" fontId="4" fillId="2" borderId="0" xfId="4" applyNumberFormat="1" applyFont="1" applyFill="1" applyBorder="1"/>
    <xf numFmtId="165" fontId="11" fillId="2" borderId="0" xfId="7" applyNumberFormat="1" applyFont="1" applyFill="1" applyBorder="1" applyAlignment="1">
      <alignment horizontal="center"/>
    </xf>
    <xf numFmtId="0" fontId="11" fillId="0" borderId="0" xfId="3" applyFont="1" applyAlignment="1">
      <alignment horizontal="justify" vertical="top" wrapText="1"/>
    </xf>
    <xf numFmtId="164" fontId="3" fillId="9" borderId="8" xfId="18" applyNumberFormat="1" applyFont="1" applyFill="1" applyBorder="1" applyAlignment="1">
      <alignment horizontal="left"/>
    </xf>
    <xf numFmtId="164" fontId="3" fillId="9" borderId="8" xfId="18" applyNumberFormat="1" applyFont="1" applyFill="1" applyBorder="1" applyAlignment="1">
      <alignment horizontal="center"/>
    </xf>
    <xf numFmtId="0" fontId="3" fillId="8" borderId="8" xfId="4" applyFont="1" applyFill="1" applyBorder="1"/>
    <xf numFmtId="164" fontId="11" fillId="8" borderId="8" xfId="8" applyNumberFormat="1" applyFont="1" applyFill="1" applyBorder="1"/>
    <xf numFmtId="0" fontId="3" fillId="12" borderId="8" xfId="4" applyFont="1" applyFill="1" applyBorder="1"/>
    <xf numFmtId="164" fontId="11" fillId="12" borderId="8" xfId="8" applyNumberFormat="1" applyFont="1" applyFill="1" applyBorder="1"/>
    <xf numFmtId="164" fontId="4" fillId="0" borderId="0" xfId="8" applyNumberFormat="1" applyFont="1" applyFill="1" applyBorder="1"/>
    <xf numFmtId="14" fontId="22" fillId="2" borderId="8" xfId="0" applyNumberFormat="1" applyFont="1" applyFill="1" applyBorder="1" applyAlignment="1">
      <alignment horizontal="center" vertical="center"/>
    </xf>
    <xf numFmtId="165" fontId="22" fillId="2" borderId="8" xfId="0" applyNumberFormat="1" applyFont="1" applyFill="1" applyBorder="1" applyAlignment="1">
      <alignment horizontal="center" vertical="center"/>
    </xf>
    <xf numFmtId="0" fontId="2" fillId="0" borderId="0" xfId="3" applyFont="1" applyBorder="1" applyAlignment="1">
      <alignment horizontal="justify" vertical="top" wrapText="1"/>
    </xf>
    <xf numFmtId="0" fontId="3" fillId="14" borderId="8" xfId="4" applyFont="1" applyFill="1" applyBorder="1" applyAlignment="1">
      <alignment horizontal="left"/>
    </xf>
    <xf numFmtId="165" fontId="3" fillId="12" borderId="8" xfId="3" applyNumberFormat="1" applyFont="1" applyFill="1" applyBorder="1" applyAlignment="1">
      <alignment wrapText="1"/>
    </xf>
    <xf numFmtId="0" fontId="12" fillId="0" borderId="0" xfId="3" applyFont="1" applyAlignment="1">
      <alignment horizontal="justify" vertical="top" wrapText="1"/>
    </xf>
    <xf numFmtId="0" fontId="30" fillId="2" borderId="12" xfId="4" applyFont="1" applyFill="1" applyBorder="1" applyAlignment="1">
      <alignment horizontal="justify" vertical="top" wrapText="1"/>
    </xf>
    <xf numFmtId="0" fontId="30" fillId="2" borderId="0" xfId="4" applyFont="1" applyFill="1" applyBorder="1" applyAlignment="1">
      <alignment horizontal="justify" vertical="top" wrapText="1"/>
    </xf>
    <xf numFmtId="0" fontId="2" fillId="0" borderId="0" xfId="3" applyFont="1" applyAlignment="1">
      <alignment wrapText="1"/>
    </xf>
    <xf numFmtId="0" fontId="3" fillId="2" borderId="0" xfId="4" applyFont="1" applyFill="1" applyAlignment="1">
      <alignment horizontal="left" wrapText="1"/>
    </xf>
    <xf numFmtId="0" fontId="4" fillId="2" borderId="8" xfId="4" applyFont="1" applyFill="1" applyBorder="1" applyAlignment="1">
      <alignment horizontal="center" vertical="center"/>
    </xf>
    <xf numFmtId="164" fontId="3" fillId="2" borderId="8" xfId="8" applyNumberFormat="1" applyFont="1" applyFill="1" applyBorder="1" applyAlignment="1">
      <alignment horizontal="center" vertical="center" wrapText="1"/>
    </xf>
    <xf numFmtId="0" fontId="2" fillId="2" borderId="0" xfId="18" applyNumberFormat="1" applyFont="1" applyFill="1"/>
    <xf numFmtId="0" fontId="3" fillId="2" borderId="0" xfId="18" applyNumberFormat="1" applyFont="1" applyFill="1"/>
    <xf numFmtId="0" fontId="23" fillId="2" borderId="0" xfId="18" applyNumberFormat="1" applyFont="1" applyFill="1" applyBorder="1"/>
    <xf numFmtId="164" fontId="2" fillId="2" borderId="8" xfId="18" applyNumberFormat="1" applyFont="1" applyFill="1" applyBorder="1" applyAlignment="1">
      <alignment horizontal="center" vertical="center"/>
    </xf>
    <xf numFmtId="9" fontId="2" fillId="2" borderId="8" xfId="54" applyFont="1" applyFill="1" applyBorder="1" applyAlignment="1">
      <alignment horizontal="center" vertical="center"/>
    </xf>
    <xf numFmtId="9" fontId="2" fillId="2" borderId="8" xfId="18" applyNumberFormat="1" applyFont="1" applyFill="1" applyBorder="1" applyAlignment="1">
      <alignment horizontal="center" vertical="center"/>
    </xf>
    <xf numFmtId="0" fontId="2" fillId="2" borderId="8" xfId="18" applyNumberFormat="1" applyFont="1" applyFill="1" applyBorder="1" applyAlignment="1">
      <alignment horizontal="center" vertical="center"/>
    </xf>
    <xf numFmtId="0" fontId="28" fillId="0" borderId="0" xfId="18" applyNumberFormat="1" applyFont="1" applyAlignment="1">
      <alignment horizontal="left" wrapText="1"/>
    </xf>
    <xf numFmtId="164" fontId="3" fillId="2" borderId="8" xfId="8" applyNumberFormat="1" applyFont="1" applyFill="1" applyBorder="1" applyAlignment="1">
      <alignment horizontal="left" vertical="center" wrapText="1"/>
    </xf>
    <xf numFmtId="164" fontId="2" fillId="0" borderId="0" xfId="18" applyNumberFormat="1" applyFont="1" applyAlignment="1">
      <alignment horizontal="left"/>
    </xf>
    <xf numFmtId="164" fontId="3" fillId="4" borderId="8" xfId="8" applyNumberFormat="1" applyFont="1" applyFill="1" applyBorder="1" applyAlignment="1">
      <alignment horizontal="center" vertical="center" wrapText="1"/>
    </xf>
    <xf numFmtId="164" fontId="3" fillId="2" borderId="0" xfId="18" applyNumberFormat="1" applyFont="1" applyFill="1"/>
    <xf numFmtId="164" fontId="3" fillId="12" borderId="8" xfId="8" applyNumberFormat="1" applyFont="1" applyFill="1" applyBorder="1" applyAlignment="1">
      <alignment horizontal="center" vertical="center" wrapText="1"/>
    </xf>
    <xf numFmtId="164" fontId="23" fillId="4" borderId="8" xfId="18" applyNumberFormat="1" applyFont="1" applyFill="1" applyBorder="1" applyAlignment="1">
      <alignment horizontal="center" vertical="center" wrapText="1"/>
    </xf>
    <xf numFmtId="164" fontId="23" fillId="12" borderId="8" xfId="18" applyNumberFormat="1" applyFont="1" applyFill="1" applyBorder="1" applyAlignment="1">
      <alignment horizontal="center" vertical="center" wrapText="1"/>
    </xf>
    <xf numFmtId="164" fontId="23" fillId="2" borderId="8" xfId="18" applyNumberFormat="1" applyFont="1" applyFill="1" applyBorder="1" applyAlignment="1">
      <alignment horizontal="center" vertical="center" wrapText="1"/>
    </xf>
    <xf numFmtId="164" fontId="23" fillId="4" borderId="8" xfId="8" applyNumberFormat="1" applyFont="1" applyFill="1" applyBorder="1" applyAlignment="1">
      <alignment horizontal="center" vertical="center" wrapText="1"/>
    </xf>
    <xf numFmtId="164" fontId="3" fillId="12" borderId="8" xfId="8" applyNumberFormat="1" applyFont="1" applyFill="1" applyBorder="1" applyAlignment="1">
      <alignment horizontal="right"/>
    </xf>
    <xf numFmtId="164" fontId="3" fillId="5" borderId="8" xfId="8" applyNumberFormat="1" applyFont="1" applyFill="1" applyBorder="1" applyAlignment="1">
      <alignment horizontal="center" vertical="center" wrapText="1"/>
    </xf>
    <xf numFmtId="10" fontId="23" fillId="4" borderId="8" xfId="54" applyNumberFormat="1" applyFont="1" applyFill="1" applyBorder="1" applyAlignment="1">
      <alignment horizontal="center" vertical="center" wrapText="1"/>
    </xf>
    <xf numFmtId="10" fontId="23" fillId="12" borderId="8" xfId="54" applyNumberFormat="1" applyFont="1" applyFill="1" applyBorder="1" applyAlignment="1">
      <alignment horizontal="center" vertical="center" wrapText="1"/>
    </xf>
    <xf numFmtId="10" fontId="23" fillId="2" borderId="8" xfId="54" applyNumberFormat="1" applyFont="1" applyFill="1" applyBorder="1" applyAlignment="1">
      <alignment horizontal="center" vertical="center" wrapText="1"/>
    </xf>
    <xf numFmtId="164" fontId="19" fillId="0" borderId="0" xfId="18" applyNumberFormat="1" applyFont="1" applyAlignment="1">
      <alignment horizontal="justify" wrapText="1"/>
    </xf>
    <xf numFmtId="164" fontId="3" fillId="9" borderId="9" xfId="18" applyNumberFormat="1" applyFont="1" applyFill="1" applyBorder="1" applyAlignment="1">
      <alignment horizontal="center"/>
    </xf>
    <xf numFmtId="164" fontId="3" fillId="9" borderId="22" xfId="18" applyNumberFormat="1" applyFont="1" applyFill="1" applyBorder="1" applyAlignment="1">
      <alignment horizontal="center"/>
    </xf>
    <xf numFmtId="164" fontId="2" fillId="2" borderId="0" xfId="18" applyNumberFormat="1" applyFont="1" applyFill="1" applyBorder="1"/>
    <xf numFmtId="164" fontId="2" fillId="0" borderId="8" xfId="18" applyNumberFormat="1" applyFont="1" applyFill="1" applyBorder="1"/>
    <xf numFmtId="0" fontId="2" fillId="0" borderId="0" xfId="3" applyFont="1" applyAlignment="1">
      <alignment wrapText="1"/>
    </xf>
    <xf numFmtId="43" fontId="2" fillId="0" borderId="0" xfId="18" applyFont="1"/>
    <xf numFmtId="164" fontId="22" fillId="0" borderId="0" xfId="18" applyNumberFormat="1" applyFont="1" applyAlignment="1">
      <alignment vertical="center"/>
    </xf>
    <xf numFmtId="164" fontId="22" fillId="0" borderId="0" xfId="18" applyNumberFormat="1" applyFont="1" applyAlignment="1">
      <alignment vertical="center" wrapText="1"/>
    </xf>
    <xf numFmtId="43" fontId="2" fillId="2" borderId="0" xfId="18" applyFont="1" applyFill="1"/>
    <xf numFmtId="164" fontId="4" fillId="0" borderId="0" xfId="18" applyNumberFormat="1" applyFont="1"/>
    <xf numFmtId="164" fontId="4" fillId="2" borderId="0" xfId="18" applyNumberFormat="1" applyFont="1" applyFill="1"/>
    <xf numFmtId="9" fontId="4" fillId="2" borderId="8" xfId="4" applyNumberFormat="1" applyFont="1" applyFill="1" applyBorder="1"/>
    <xf numFmtId="0" fontId="5" fillId="2" borderId="26" xfId="50" applyFont="1" applyFill="1" applyBorder="1" applyAlignment="1">
      <alignment horizontal="left" vertical="center" wrapText="1"/>
    </xf>
    <xf numFmtId="0" fontId="5" fillId="2" borderId="26" xfId="49" applyFont="1" applyFill="1" applyBorder="1" applyAlignment="1">
      <alignment horizontal="left" vertical="center" wrapText="1"/>
    </xf>
    <xf numFmtId="9" fontId="4" fillId="0" borderId="8" xfId="54" applyFont="1" applyBorder="1" applyAlignment="1">
      <alignment horizontal="center" vertical="center"/>
    </xf>
    <xf numFmtId="0" fontId="4" fillId="0" borderId="8" xfId="4" applyFont="1" applyBorder="1" applyAlignment="1">
      <alignment wrapText="1"/>
    </xf>
    <xf numFmtId="0" fontId="4" fillId="0" borderId="8" xfId="13" applyFont="1" applyBorder="1" applyAlignment="1">
      <alignment vertical="center"/>
    </xf>
    <xf numFmtId="164" fontId="4" fillId="0" borderId="8" xfId="18" applyNumberFormat="1" applyFont="1" applyBorder="1" applyAlignment="1">
      <alignment horizontal="right" vertical="center"/>
    </xf>
    <xf numFmtId="0" fontId="4" fillId="2" borderId="8" xfId="13" applyFont="1" applyFill="1" applyBorder="1" applyAlignment="1">
      <alignment vertical="center"/>
    </xf>
    <xf numFmtId="164" fontId="4" fillId="2" borderId="8" xfId="18" applyNumberFormat="1" applyFont="1" applyFill="1" applyBorder="1" applyAlignment="1">
      <alignment horizontal="right" vertical="center"/>
    </xf>
    <xf numFmtId="0" fontId="4" fillId="2" borderId="8" xfId="57" applyFont="1" applyFill="1" applyBorder="1" applyAlignment="1">
      <alignment vertical="center"/>
    </xf>
    <xf numFmtId="0" fontId="4" fillId="2" borderId="8" xfId="59" applyFont="1" applyFill="1" applyBorder="1" applyAlignment="1">
      <alignment vertical="center"/>
    </xf>
    <xf numFmtId="9" fontId="4" fillId="2" borderId="8" xfId="28" applyFont="1" applyFill="1" applyBorder="1"/>
    <xf numFmtId="0" fontId="4" fillId="2" borderId="8" xfId="3" applyFont="1" applyFill="1" applyBorder="1"/>
    <xf numFmtId="9" fontId="4" fillId="2" borderId="8" xfId="3" applyNumberFormat="1" applyFont="1" applyFill="1" applyBorder="1"/>
    <xf numFmtId="0" fontId="3" fillId="2" borderId="0" xfId="4" applyFont="1" applyFill="1" applyAlignment="1">
      <alignment horizontal="left" wrapText="1"/>
    </xf>
    <xf numFmtId="0" fontId="5" fillId="2" borderId="0" xfId="50" applyFont="1" applyFill="1" applyAlignment="1">
      <alignment horizontal="justify"/>
    </xf>
    <xf numFmtId="164" fontId="3" fillId="2" borderId="8" xfId="18" applyNumberFormat="1" applyFont="1" applyFill="1" applyBorder="1" applyAlignment="1"/>
    <xf numFmtId="164" fontId="3" fillId="14" borderId="8" xfId="18" applyNumberFormat="1" applyFont="1" applyFill="1" applyBorder="1" applyAlignment="1">
      <alignment horizontal="left"/>
    </xf>
    <xf numFmtId="0" fontId="3" fillId="5" borderId="8" xfId="4" applyFont="1" applyFill="1" applyBorder="1" applyAlignment="1">
      <alignment horizontal="left"/>
    </xf>
    <xf numFmtId="0" fontId="3" fillId="15" borderId="8" xfId="4" applyFont="1" applyFill="1" applyBorder="1" applyAlignment="1">
      <alignment horizontal="left"/>
    </xf>
    <xf numFmtId="0" fontId="3" fillId="16" borderId="8" xfId="4" applyFont="1" applyFill="1" applyBorder="1" applyAlignment="1">
      <alignment horizontal="left"/>
    </xf>
    <xf numFmtId="164" fontId="3" fillId="5" borderId="8" xfId="18" applyNumberFormat="1" applyFont="1" applyFill="1" applyBorder="1" applyAlignment="1">
      <alignment horizontal="left"/>
    </xf>
    <xf numFmtId="164" fontId="3" fillId="15" borderId="8" xfId="18" applyNumberFormat="1" applyFont="1" applyFill="1" applyBorder="1" applyAlignment="1">
      <alignment horizontal="left"/>
    </xf>
    <xf numFmtId="164" fontId="3" fillId="16" borderId="8" xfId="18" applyNumberFormat="1" applyFont="1" applyFill="1" applyBorder="1" applyAlignment="1">
      <alignment horizontal="left"/>
    </xf>
    <xf numFmtId="0" fontId="4" fillId="0" borderId="10" xfId="4" applyFont="1" applyBorder="1"/>
    <xf numFmtId="0" fontId="2" fillId="12" borderId="10" xfId="4" applyFont="1" applyFill="1" applyBorder="1"/>
    <xf numFmtId="0" fontId="4" fillId="0" borderId="9" xfId="4" applyFont="1" applyBorder="1"/>
    <xf numFmtId="0" fontId="2" fillId="12" borderId="9" xfId="4" applyFont="1" applyFill="1" applyBorder="1"/>
    <xf numFmtId="164" fontId="4" fillId="0" borderId="10" xfId="8" applyNumberFormat="1" applyFont="1" applyBorder="1"/>
    <xf numFmtId="0" fontId="13" fillId="0" borderId="0" xfId="3" applyFont="1" applyAlignment="1">
      <alignment horizontal="justify" vertical="top" wrapText="1"/>
    </xf>
    <xf numFmtId="0" fontId="3" fillId="2" borderId="0" xfId="4" applyFont="1" applyFill="1" applyAlignment="1">
      <alignment horizontal="left" wrapText="1"/>
    </xf>
    <xf numFmtId="166" fontId="2" fillId="2" borderId="8" xfId="4" applyNumberFormat="1" applyFont="1" applyFill="1" applyBorder="1"/>
    <xf numFmtId="10" fontId="2" fillId="2" borderId="8" xfId="4" applyNumberFormat="1" applyFont="1" applyFill="1" applyBorder="1"/>
    <xf numFmtId="0" fontId="2" fillId="0" borderId="0" xfId="3" applyFont="1" applyBorder="1" applyAlignment="1">
      <alignment horizontal="justify" wrapText="1"/>
    </xf>
    <xf numFmtId="0" fontId="0" fillId="0" borderId="0" xfId="0" applyBorder="1" applyAlignment="1">
      <alignment horizontal="justify" wrapText="1"/>
    </xf>
    <xf numFmtId="0" fontId="3" fillId="2" borderId="0" xfId="4" applyFont="1" applyFill="1" applyBorder="1" applyAlignment="1">
      <alignment horizontal="left" wrapText="1"/>
    </xf>
    <xf numFmtId="3" fontId="2" fillId="2" borderId="0" xfId="4" applyNumberFormat="1" applyFont="1" applyFill="1" applyBorder="1"/>
    <xf numFmtId="0" fontId="3" fillId="9" borderId="7" xfId="4" applyFont="1" applyFill="1" applyBorder="1" applyAlignment="1">
      <alignment horizontal="center"/>
    </xf>
    <xf numFmtId="164" fontId="3" fillId="9" borderId="7" xfId="9" applyNumberFormat="1" applyFont="1" applyFill="1" applyBorder="1" applyAlignment="1">
      <alignment horizontal="center"/>
    </xf>
    <xf numFmtId="0" fontId="3" fillId="5" borderId="11" xfId="4" applyFont="1" applyFill="1" applyBorder="1" applyAlignment="1">
      <alignment horizontal="right"/>
    </xf>
    <xf numFmtId="0" fontId="3" fillId="5" borderId="11" xfId="4" applyFont="1" applyFill="1" applyBorder="1" applyAlignment="1">
      <alignment horizontal="left"/>
    </xf>
    <xf numFmtId="0" fontId="3" fillId="17" borderId="8" xfId="4" applyFont="1" applyFill="1" applyBorder="1" applyAlignment="1">
      <alignment horizontal="left"/>
    </xf>
    <xf numFmtId="164" fontId="3" fillId="5" borderId="8" xfId="18" applyNumberFormat="1" applyFont="1" applyFill="1" applyBorder="1" applyAlignment="1">
      <alignment horizontal="right"/>
    </xf>
    <xf numFmtId="164" fontId="3" fillId="17" borderId="8" xfId="18" applyNumberFormat="1" applyFont="1" applyFill="1" applyBorder="1" applyAlignment="1">
      <alignment horizontal="left"/>
    </xf>
    <xf numFmtId="0" fontId="3" fillId="5" borderId="11" xfId="4" applyFont="1" applyFill="1" applyBorder="1" applyAlignment="1"/>
    <xf numFmtId="165" fontId="3" fillId="9" borderId="11" xfId="7" applyNumberFormat="1" applyFont="1" applyFill="1" applyBorder="1" applyAlignment="1">
      <alignment horizontal="center" vertical="center"/>
    </xf>
    <xf numFmtId="164" fontId="3" fillId="0" borderId="8" xfId="18" applyNumberFormat="1" applyFont="1" applyBorder="1"/>
    <xf numFmtId="164" fontId="3" fillId="4" borderId="8" xfId="18" applyNumberFormat="1" applyFont="1" applyFill="1" applyBorder="1" applyAlignment="1">
      <alignment horizontal="left" wrapText="1"/>
    </xf>
    <xf numFmtId="164" fontId="3" fillId="14" borderId="8" xfId="18" applyNumberFormat="1" applyFont="1" applyFill="1" applyBorder="1" applyAlignment="1">
      <alignment horizontal="left" wrapText="1"/>
    </xf>
    <xf numFmtId="0" fontId="30" fillId="2" borderId="0" xfId="4" applyFont="1" applyFill="1" applyAlignment="1">
      <alignment horizontal="justify" vertical="top" wrapText="1"/>
    </xf>
    <xf numFmtId="0" fontId="2" fillId="0" borderId="0" xfId="3" applyFont="1" applyAlignment="1">
      <alignment wrapText="1"/>
    </xf>
    <xf numFmtId="0" fontId="3" fillId="2" borderId="0" xfId="4" applyFont="1" applyFill="1" applyAlignment="1">
      <alignment horizontal="left" wrapText="1"/>
    </xf>
    <xf numFmtId="0" fontId="0" fillId="0" borderId="0" xfId="0" applyBorder="1" applyAlignment="1">
      <alignment horizontal="justify" wrapText="1"/>
    </xf>
    <xf numFmtId="0" fontId="33" fillId="2" borderId="0" xfId="4" applyFont="1" applyFill="1" applyAlignment="1">
      <alignment horizontal="justify" vertical="center" wrapText="1"/>
    </xf>
    <xf numFmtId="164" fontId="2" fillId="0" borderId="0" xfId="4" applyNumberFormat="1" applyFont="1" applyBorder="1"/>
    <xf numFmtId="0" fontId="2" fillId="0" borderId="0" xfId="3" applyFont="1" applyAlignment="1">
      <alignment horizontal="left" wrapText="1"/>
    </xf>
    <xf numFmtId="0" fontId="11" fillId="0" borderId="0" xfId="3" applyFont="1" applyBorder="1" applyAlignment="1">
      <alignment horizontal="justify" vertical="top" wrapText="1"/>
    </xf>
    <xf numFmtId="164" fontId="5" fillId="2" borderId="0" xfId="18" applyNumberFormat="1" applyFont="1" applyFill="1"/>
    <xf numFmtId="165" fontId="4" fillId="2" borderId="8" xfId="1" applyNumberFormat="1" applyFont="1" applyFill="1" applyBorder="1" applyAlignment="1">
      <alignment horizontal="right" vertical="center"/>
    </xf>
    <xf numFmtId="165" fontId="4" fillId="2" borderId="8" xfId="1" applyNumberFormat="1" applyFont="1" applyFill="1" applyBorder="1" applyAlignment="1">
      <alignment vertical="center"/>
    </xf>
    <xf numFmtId="0" fontId="3" fillId="2" borderId="0" xfId="4" applyFont="1" applyFill="1" applyAlignment="1">
      <alignment horizontal="center" wrapText="1"/>
    </xf>
    <xf numFmtId="0" fontId="3" fillId="4" borderId="8" xfId="4" applyFont="1" applyFill="1" applyBorder="1"/>
    <xf numFmtId="164" fontId="2" fillId="0" borderId="0" xfId="5" applyNumberFormat="1" applyFont="1" applyBorder="1" applyAlignment="1">
      <alignment horizontal="center"/>
    </xf>
    <xf numFmtId="0" fontId="3" fillId="18" borderId="8" xfId="4" applyFont="1" applyFill="1" applyBorder="1"/>
    <xf numFmtId="0" fontId="2" fillId="0" borderId="0" xfId="4" applyFont="1" applyAlignment="1">
      <alignment horizontal="center" vertical="center" wrapText="1"/>
    </xf>
    <xf numFmtId="0" fontId="3" fillId="0" borderId="8" xfId="4" applyFont="1" applyBorder="1"/>
    <xf numFmtId="164" fontId="3" fillId="0" borderId="8" xfId="5" applyNumberFormat="1" applyFont="1" applyBorder="1" applyAlignment="1">
      <alignment horizontal="center"/>
    </xf>
    <xf numFmtId="165" fontId="2" fillId="0" borderId="8" xfId="1" applyNumberFormat="1" applyFont="1" applyBorder="1"/>
    <xf numFmtId="0" fontId="2" fillId="0" borderId="8" xfId="4" applyFont="1" applyBorder="1" applyAlignment="1">
      <alignment horizontal="center"/>
    </xf>
    <xf numFmtId="164" fontId="2" fillId="0" borderId="0" xfId="5" applyNumberFormat="1" applyFont="1" applyBorder="1"/>
    <xf numFmtId="164" fontId="2" fillId="0" borderId="31" xfId="5" applyNumberFormat="1" applyFont="1" applyBorder="1"/>
    <xf numFmtId="0" fontId="2" fillId="0" borderId="32" xfId="4" applyFont="1" applyBorder="1"/>
    <xf numFmtId="0" fontId="2" fillId="0" borderId="33" xfId="4" applyFont="1" applyBorder="1"/>
    <xf numFmtId="164" fontId="2" fillId="0" borderId="34" xfId="5" applyNumberFormat="1" applyFont="1" applyBorder="1"/>
    <xf numFmtId="0" fontId="2" fillId="0" borderId="35" xfId="4" applyFont="1" applyBorder="1"/>
    <xf numFmtId="0" fontId="2" fillId="0" borderId="34" xfId="4" applyFont="1" applyBorder="1"/>
    <xf numFmtId="0" fontId="2" fillId="0" borderId="36" xfId="4" applyFont="1" applyBorder="1"/>
    <xf numFmtId="0" fontId="2" fillId="0" borderId="37" xfId="4" applyFont="1" applyBorder="1"/>
    <xf numFmtId="0" fontId="2" fillId="0" borderId="38" xfId="4" applyFont="1" applyBorder="1"/>
    <xf numFmtId="0" fontId="10" fillId="0" borderId="0" xfId="60" applyBorder="1"/>
    <xf numFmtId="0" fontId="3" fillId="18" borderId="8" xfId="4" applyFont="1" applyFill="1" applyBorder="1" applyAlignment="1">
      <alignment horizontal="center" wrapText="1"/>
    </xf>
    <xf numFmtId="0" fontId="3" fillId="0" borderId="11" xfId="4" applyFont="1" applyBorder="1"/>
    <xf numFmtId="0" fontId="3" fillId="0" borderId="0" xfId="4" applyFont="1" applyAlignment="1">
      <alignment horizontal="center"/>
    </xf>
    <xf numFmtId="164" fontId="3" fillId="0" borderId="8" xfId="5" applyNumberFormat="1" applyFont="1" applyBorder="1" applyAlignment="1"/>
    <xf numFmtId="164" fontId="2" fillId="0" borderId="8" xfId="4" applyNumberFormat="1" applyFont="1" applyBorder="1" applyAlignment="1">
      <alignment horizontal="center"/>
    </xf>
    <xf numFmtId="164" fontId="2" fillId="0" borderId="8" xfId="5" applyNumberFormat="1" applyFont="1" applyBorder="1" applyAlignment="1"/>
    <xf numFmtId="164" fontId="2" fillId="0" borderId="0" xfId="4" applyNumberFormat="1" applyFont="1" applyAlignment="1">
      <alignment horizontal="center"/>
    </xf>
    <xf numFmtId="164" fontId="2" fillId="0" borderId="0" xfId="5" applyNumberFormat="1" applyFont="1" applyBorder="1" applyAlignment="1"/>
    <xf numFmtId="0" fontId="34" fillId="19" borderId="24" xfId="4" applyFont="1" applyFill="1" applyBorder="1" applyAlignment="1">
      <alignment horizontal="center" vertical="center"/>
    </xf>
    <xf numFmtId="0" fontId="34" fillId="19" borderId="39" xfId="4" applyFont="1" applyFill="1" applyBorder="1" applyAlignment="1">
      <alignment horizontal="center" vertical="center" wrapText="1"/>
    </xf>
    <xf numFmtId="0" fontId="34" fillId="19" borderId="40" xfId="4" applyFont="1" applyFill="1" applyBorder="1" applyAlignment="1">
      <alignment horizontal="center" vertical="center" wrapText="1"/>
    </xf>
    <xf numFmtId="0" fontId="35" fillId="19" borderId="8" xfId="4" applyFont="1" applyFill="1" applyBorder="1" applyAlignment="1">
      <alignment horizontal="center" vertical="center" wrapText="1"/>
    </xf>
    <xf numFmtId="164" fontId="3" fillId="18" borderId="8" xfId="18" applyNumberFormat="1" applyFont="1" applyFill="1" applyBorder="1"/>
    <xf numFmtId="0" fontId="36" fillId="0" borderId="0" xfId="6" applyFont="1" applyBorder="1"/>
    <xf numFmtId="165" fontId="3" fillId="18" borderId="8" xfId="7" applyNumberFormat="1" applyFont="1" applyFill="1" applyBorder="1" applyAlignment="1">
      <alignment horizontal="center"/>
    </xf>
    <xf numFmtId="0" fontId="3" fillId="18" borderId="8" xfId="4" applyFont="1" applyFill="1" applyBorder="1" applyAlignment="1">
      <alignment horizontal="center"/>
    </xf>
    <xf numFmtId="0" fontId="4" fillId="3" borderId="8" xfId="4" applyFont="1" applyFill="1" applyBorder="1"/>
    <xf numFmtId="164" fontId="4" fillId="0" borderId="8" xfId="5" applyNumberFormat="1" applyFont="1" applyBorder="1" applyAlignment="1">
      <alignment horizontal="center"/>
    </xf>
    <xf numFmtId="164" fontId="11" fillId="0" borderId="8" xfId="5" applyNumberFormat="1" applyFont="1" applyBorder="1" applyAlignment="1">
      <alignment horizontal="center"/>
    </xf>
    <xf numFmtId="0" fontId="11" fillId="18" borderId="8" xfId="4" applyFont="1" applyFill="1" applyBorder="1"/>
    <xf numFmtId="164" fontId="11" fillId="18" borderId="8" xfId="5" applyNumberFormat="1" applyFont="1" applyFill="1" applyBorder="1"/>
    <xf numFmtId="0" fontId="3" fillId="0" borderId="8" xfId="4" applyFont="1" applyBorder="1" applyAlignment="1">
      <alignment wrapText="1"/>
    </xf>
    <xf numFmtId="164" fontId="2" fillId="0" borderId="0" xfId="5" applyNumberFormat="1" applyFont="1" applyBorder="1" applyAlignment="1">
      <alignment wrapText="1"/>
    </xf>
    <xf numFmtId="0" fontId="3" fillId="3" borderId="8" xfId="4" applyFont="1" applyFill="1" applyBorder="1"/>
    <xf numFmtId="0" fontId="35" fillId="19" borderId="8" xfId="4" applyFont="1" applyFill="1" applyBorder="1" applyAlignment="1">
      <alignment horizontal="left" vertical="center" wrapText="1"/>
    </xf>
    <xf numFmtId="9" fontId="2" fillId="12" borderId="8" xfId="4" applyNumberFormat="1" applyFont="1" applyFill="1" applyBorder="1" applyAlignment="1">
      <alignment horizontal="left"/>
    </xf>
    <xf numFmtId="0" fontId="2" fillId="0" borderId="10" xfId="4" applyFont="1" applyBorder="1"/>
    <xf numFmtId="9" fontId="2" fillId="0" borderId="8" xfId="4" applyNumberFormat="1" applyFont="1" applyBorder="1" applyAlignment="1">
      <alignment horizontal="left"/>
    </xf>
    <xf numFmtId="0" fontId="2" fillId="2" borderId="10" xfId="4" applyFont="1" applyFill="1" applyBorder="1"/>
    <xf numFmtId="41" fontId="4" fillId="2" borderId="8" xfId="55" applyFont="1" applyFill="1" applyBorder="1"/>
    <xf numFmtId="0" fontId="2" fillId="4" borderId="8" xfId="4" applyFont="1" applyFill="1" applyBorder="1"/>
    <xf numFmtId="9" fontId="2" fillId="4" borderId="8" xfId="4" applyNumberFormat="1" applyFont="1" applyFill="1" applyBorder="1" applyAlignment="1">
      <alignment horizontal="left"/>
    </xf>
    <xf numFmtId="9" fontId="2" fillId="2" borderId="8" xfId="4" applyNumberFormat="1" applyFont="1" applyFill="1" applyBorder="1" applyAlignment="1">
      <alignment horizontal="left"/>
    </xf>
    <xf numFmtId="0" fontId="3" fillId="5" borderId="11" xfId="4" applyFont="1" applyFill="1" applyBorder="1"/>
    <xf numFmtId="164" fontId="4" fillId="0" borderId="8" xfId="5" applyNumberFormat="1" applyFont="1" applyBorder="1"/>
    <xf numFmtId="164" fontId="2" fillId="0" borderId="8" xfId="5" applyNumberFormat="1" applyFont="1" applyBorder="1"/>
    <xf numFmtId="164" fontId="3" fillId="18" borderId="8" xfId="5" applyNumberFormat="1" applyFont="1" applyFill="1" applyBorder="1" applyAlignment="1">
      <alignment wrapText="1"/>
    </xf>
    <xf numFmtId="164" fontId="3" fillId="3" borderId="8" xfId="5" applyNumberFormat="1" applyFont="1" applyFill="1" applyBorder="1"/>
    <xf numFmtId="0" fontId="3" fillId="3" borderId="8" xfId="4" applyFont="1" applyFill="1" applyBorder="1" applyAlignment="1">
      <alignment wrapText="1"/>
    </xf>
    <xf numFmtId="0" fontId="4" fillId="2" borderId="8" xfId="4" applyFont="1" applyFill="1" applyBorder="1" applyAlignment="1">
      <alignment wrapText="1"/>
    </xf>
    <xf numFmtId="164" fontId="4" fillId="2" borderId="8" xfId="5" applyNumberFormat="1" applyFont="1" applyFill="1" applyBorder="1"/>
    <xf numFmtId="164" fontId="3" fillId="3" borderId="8" xfId="5" applyNumberFormat="1" applyFont="1" applyFill="1" applyBorder="1" applyAlignment="1">
      <alignment wrapText="1"/>
    </xf>
    <xf numFmtId="0" fontId="3" fillId="4" borderId="11" xfId="4" applyFont="1" applyFill="1" applyBorder="1" applyAlignment="1">
      <alignment horizontal="left"/>
    </xf>
    <xf numFmtId="165" fontId="3" fillId="18" borderId="8" xfId="4" applyNumberFormat="1" applyFont="1" applyFill="1" applyBorder="1"/>
    <xf numFmtId="0" fontId="3" fillId="4" borderId="8" xfId="4" applyFont="1" applyFill="1" applyBorder="1" applyAlignment="1">
      <alignment horizontal="center"/>
    </xf>
    <xf numFmtId="0" fontId="3" fillId="4" borderId="8" xfId="4" applyFont="1" applyFill="1" applyBorder="1" applyAlignment="1">
      <alignment wrapText="1"/>
    </xf>
    <xf numFmtId="165" fontId="3" fillId="4" borderId="8" xfId="7" applyNumberFormat="1" applyFont="1" applyFill="1" applyBorder="1" applyAlignment="1">
      <alignment wrapText="1"/>
    </xf>
    <xf numFmtId="164" fontId="2" fillId="0" borderId="0" xfId="5" applyNumberFormat="1" applyFont="1" applyAlignment="1">
      <alignment horizontal="center"/>
    </xf>
    <xf numFmtId="0" fontId="3" fillId="4" borderId="8" xfId="4" applyFont="1" applyFill="1" applyBorder="1" applyAlignment="1">
      <alignment horizontal="left" vertical="center"/>
    </xf>
    <xf numFmtId="0" fontId="3" fillId="4" borderId="8" xfId="4" applyFont="1" applyFill="1" applyBorder="1" applyAlignment="1">
      <alignment horizontal="center" vertical="center"/>
    </xf>
    <xf numFmtId="165" fontId="2" fillId="0" borderId="8" xfId="7" applyNumberFormat="1" applyFont="1" applyBorder="1"/>
    <xf numFmtId="165" fontId="2" fillId="2" borderId="8" xfId="1" applyNumberFormat="1" applyFont="1" applyFill="1" applyBorder="1"/>
    <xf numFmtId="165" fontId="2" fillId="0" borderId="8" xfId="1" applyNumberFormat="1" applyFont="1" applyBorder="1" applyAlignment="1"/>
    <xf numFmtId="165" fontId="2" fillId="2" borderId="8" xfId="7" applyNumberFormat="1" applyFont="1" applyFill="1" applyBorder="1"/>
    <xf numFmtId="0" fontId="3" fillId="3" borderId="8" xfId="4" applyFont="1" applyFill="1" applyBorder="1" applyAlignment="1">
      <alignment horizontal="left" wrapText="1"/>
    </xf>
    <xf numFmtId="0" fontId="2" fillId="3" borderId="8" xfId="4" applyFont="1" applyFill="1" applyBorder="1" applyAlignment="1">
      <alignment horizontal="left" wrapText="1"/>
    </xf>
    <xf numFmtId="0" fontId="3" fillId="4" borderId="24" xfId="4" applyFont="1" applyFill="1" applyBorder="1"/>
    <xf numFmtId="164" fontId="3" fillId="4" borderId="8" xfId="4" applyNumberFormat="1" applyFont="1" applyFill="1" applyBorder="1"/>
    <xf numFmtId="0" fontId="3" fillId="4" borderId="11" xfId="4" applyFont="1" applyFill="1" applyBorder="1"/>
    <xf numFmtId="164" fontId="3" fillId="4" borderId="8" xfId="5" applyNumberFormat="1" applyFont="1" applyFill="1" applyBorder="1"/>
    <xf numFmtId="0" fontId="3" fillId="3" borderId="11" xfId="4" applyFont="1" applyFill="1" applyBorder="1"/>
    <xf numFmtId="164" fontId="2" fillId="0" borderId="8" xfId="5" applyNumberFormat="1" applyFont="1" applyBorder="1" applyAlignment="1">
      <alignment wrapText="1"/>
    </xf>
    <xf numFmtId="0" fontId="2" fillId="0" borderId="0" xfId="4" applyFont="1" applyAlignment="1">
      <alignment horizontal="justify" wrapText="1"/>
    </xf>
    <xf numFmtId="164" fontId="2" fillId="2" borderId="8" xfId="5" applyNumberFormat="1" applyFont="1" applyFill="1" applyBorder="1"/>
    <xf numFmtId="0" fontId="2" fillId="0" borderId="0" xfId="4" applyFont="1" applyAlignment="1">
      <alignment horizontal="justify" vertical="justify" wrapText="1"/>
    </xf>
    <xf numFmtId="0" fontId="3" fillId="3" borderId="8" xfId="4" applyFont="1" applyFill="1" applyBorder="1" applyAlignment="1">
      <alignment horizontal="center"/>
    </xf>
    <xf numFmtId="0" fontId="3" fillId="5" borderId="8" xfId="4" applyFont="1" applyFill="1" applyBorder="1"/>
    <xf numFmtId="164" fontId="3" fillId="5" borderId="8" xfId="5" applyNumberFormat="1" applyFont="1" applyFill="1" applyBorder="1"/>
    <xf numFmtId="164" fontId="3" fillId="2" borderId="0" xfId="5" applyNumberFormat="1" applyFont="1" applyFill="1" applyBorder="1"/>
    <xf numFmtId="164" fontId="2" fillId="0" borderId="8" xfId="4" applyNumberFormat="1" applyFont="1" applyBorder="1"/>
    <xf numFmtId="0" fontId="3" fillId="5" borderId="8" xfId="4" applyFont="1" applyFill="1" applyBorder="1" applyAlignment="1">
      <alignment horizontal="center"/>
    </xf>
    <xf numFmtId="164" fontId="12" fillId="0" borderId="0" xfId="5" applyNumberFormat="1" applyFont="1" applyBorder="1" applyAlignment="1">
      <alignment vertical="center" wrapText="1"/>
    </xf>
    <xf numFmtId="165" fontId="12" fillId="0" borderId="0" xfId="7" applyNumberFormat="1" applyFont="1" applyBorder="1" applyAlignment="1">
      <alignment vertical="center"/>
    </xf>
    <xf numFmtId="0" fontId="12" fillId="0" borderId="0" xfId="4" applyFont="1" applyAlignment="1">
      <alignment horizontal="justify" wrapText="1"/>
    </xf>
    <xf numFmtId="0" fontId="12" fillId="0" borderId="0" xfId="4" applyFont="1" applyAlignment="1">
      <alignment wrapText="1"/>
    </xf>
    <xf numFmtId="0" fontId="3" fillId="2" borderId="9" xfId="4" applyFont="1" applyFill="1" applyBorder="1"/>
    <xf numFmtId="164" fontId="3" fillId="5" borderId="8" xfId="4" applyNumberFormat="1" applyFont="1" applyFill="1" applyBorder="1"/>
    <xf numFmtId="0" fontId="3" fillId="5" borderId="41" xfId="4" applyFont="1" applyFill="1" applyBorder="1"/>
    <xf numFmtId="0" fontId="11" fillId="3" borderId="8" xfId="4" applyFont="1" applyFill="1" applyBorder="1"/>
    <xf numFmtId="164" fontId="11" fillId="3" borderId="8" xfId="5" applyNumberFormat="1" applyFont="1" applyFill="1" applyBorder="1"/>
    <xf numFmtId="0" fontId="3" fillId="5" borderId="8" xfId="3" applyFont="1" applyFill="1" applyBorder="1" applyAlignment="1">
      <alignment horizontal="left"/>
    </xf>
    <xf numFmtId="0" fontId="3" fillId="5" borderId="8" xfId="3" applyFont="1" applyFill="1" applyBorder="1" applyAlignment="1">
      <alignment horizontal="center"/>
    </xf>
    <xf numFmtId="164" fontId="2" fillId="0" borderId="0" xfId="9" applyNumberFormat="1" applyFont="1" applyBorder="1"/>
    <xf numFmtId="164" fontId="4" fillId="0" borderId="8" xfId="5" applyNumberFormat="1" applyFont="1" applyBorder="1" applyAlignment="1">
      <alignment wrapText="1"/>
    </xf>
    <xf numFmtId="164" fontId="4" fillId="0" borderId="0" xfId="5" applyNumberFormat="1" applyFont="1" applyBorder="1" applyAlignment="1">
      <alignment wrapText="1"/>
    </xf>
    <xf numFmtId="164" fontId="4" fillId="0" borderId="0" xfId="5" applyNumberFormat="1" applyFont="1" applyBorder="1"/>
    <xf numFmtId="0" fontId="2" fillId="2" borderId="0" xfId="13" applyFont="1" applyFill="1"/>
    <xf numFmtId="0" fontId="3" fillId="3" borderId="8" xfId="3" applyFont="1" applyFill="1" applyBorder="1"/>
    <xf numFmtId="164" fontId="2" fillId="0" borderId="8" xfId="48" applyNumberFormat="1" applyFont="1" applyBorder="1"/>
    <xf numFmtId="0" fontId="37" fillId="0" borderId="0" xfId="4" applyFont="1" applyAlignment="1">
      <alignment wrapText="1"/>
    </xf>
    <xf numFmtId="164" fontId="2" fillId="0" borderId="0" xfId="48" applyNumberFormat="1" applyFont="1" applyBorder="1"/>
    <xf numFmtId="165" fontId="2" fillId="0" borderId="8" xfId="4" applyNumberFormat="1" applyFont="1" applyBorder="1"/>
    <xf numFmtId="41" fontId="2" fillId="0" borderId="8" xfId="47" applyFont="1" applyBorder="1"/>
    <xf numFmtId="0" fontId="12" fillId="0" borderId="0" xfId="4" applyFont="1"/>
    <xf numFmtId="41" fontId="2" fillId="0" borderId="0" xfId="47" applyFont="1" applyBorder="1"/>
    <xf numFmtId="0" fontId="2" fillId="0" borderId="0" xfId="13" applyFont="1"/>
    <xf numFmtId="0" fontId="12" fillId="0" borderId="8" xfId="4" applyFont="1" applyBorder="1"/>
    <xf numFmtId="0" fontId="38" fillId="0" borderId="0" xfId="0" applyFont="1"/>
    <xf numFmtId="0" fontId="38" fillId="0" borderId="0" xfId="0" applyFont="1" applyAlignment="1">
      <alignment horizontal="center"/>
    </xf>
    <xf numFmtId="165" fontId="3" fillId="5" borderId="8" xfId="1" applyNumberFormat="1" applyFont="1" applyFill="1" applyBorder="1" applyAlignment="1">
      <alignment horizontal="left"/>
    </xf>
    <xf numFmtId="167" fontId="2" fillId="0" borderId="8" xfId="5" applyNumberFormat="1" applyFont="1" applyBorder="1"/>
    <xf numFmtId="9" fontId="3" fillId="5" borderId="8" xfId="54" applyFont="1" applyFill="1" applyBorder="1" applyAlignment="1">
      <alignment horizontal="left"/>
    </xf>
    <xf numFmtId="164" fontId="3" fillId="5" borderId="8" xfId="4" applyNumberFormat="1" applyFont="1" applyFill="1" applyBorder="1" applyAlignment="1">
      <alignment horizontal="left"/>
    </xf>
    <xf numFmtId="41" fontId="2" fillId="0" borderId="8" xfId="55" applyFont="1" applyBorder="1"/>
    <xf numFmtId="0" fontId="3" fillId="5" borderId="8" xfId="4" applyFont="1" applyFill="1" applyBorder="1" applyAlignment="1">
      <alignment horizontal="left" wrapText="1"/>
    </xf>
    <xf numFmtId="0" fontId="2" fillId="0" borderId="8" xfId="3" applyFont="1" applyBorder="1" applyAlignment="1">
      <alignment wrapText="1"/>
    </xf>
    <xf numFmtId="0" fontId="2" fillId="0" borderId="8" xfId="3" applyFont="1" applyBorder="1"/>
    <xf numFmtId="0" fontId="3" fillId="5" borderId="8" xfId="3" applyFont="1" applyFill="1" applyBorder="1" applyAlignment="1">
      <alignment horizontal="center" vertical="center" wrapText="1"/>
    </xf>
    <xf numFmtId="0" fontId="2" fillId="0" borderId="8" xfId="3" applyFont="1" applyBorder="1" applyAlignment="1">
      <alignment horizontal="left" wrapText="1"/>
    </xf>
    <xf numFmtId="164" fontId="2" fillId="0" borderId="8" xfId="9" applyNumberFormat="1" applyFont="1" applyBorder="1" applyAlignment="1">
      <alignment horizontal="center"/>
    </xf>
    <xf numFmtId="164" fontId="2" fillId="0" borderId="8" xfId="3" applyNumberFormat="1" applyFont="1" applyBorder="1" applyAlignment="1">
      <alignment horizontal="center"/>
    </xf>
    <xf numFmtId="9" fontId="2" fillId="0" borderId="8" xfId="3" applyNumberFormat="1" applyFont="1" applyBorder="1"/>
    <xf numFmtId="164" fontId="3" fillId="4" borderId="8" xfId="18" applyNumberFormat="1" applyFont="1" applyFill="1" applyBorder="1" applyAlignment="1">
      <alignment horizontal="center" vertical="center" wrapText="1"/>
    </xf>
    <xf numFmtId="0" fontId="2" fillId="0" borderId="8" xfId="3" applyFont="1" applyBorder="1" applyAlignment="1">
      <alignment horizontal="left"/>
    </xf>
    <xf numFmtId="164" fontId="2" fillId="0" borderId="8" xfId="3" applyNumberFormat="1" applyFont="1" applyBorder="1"/>
    <xf numFmtId="164" fontId="2" fillId="0" borderId="0" xfId="9" applyNumberFormat="1" applyFont="1" applyBorder="1" applyAlignment="1">
      <alignment horizontal="center"/>
    </xf>
    <xf numFmtId="164" fontId="2" fillId="0" borderId="0" xfId="3" applyNumberFormat="1" applyFont="1" applyAlignment="1">
      <alignment horizontal="center"/>
    </xf>
    <xf numFmtId="9" fontId="2" fillId="0" borderId="0" xfId="3" applyNumberFormat="1" applyFont="1"/>
    <xf numFmtId="164" fontId="2" fillId="0" borderId="0" xfId="3" applyNumberFormat="1" applyFont="1"/>
    <xf numFmtId="0" fontId="2" fillId="3" borderId="7" xfId="3" applyFont="1" applyFill="1" applyBorder="1" applyAlignment="1">
      <alignment horizontal="left" wrapText="1"/>
    </xf>
    <xf numFmtId="164" fontId="2" fillId="3" borderId="7" xfId="18" applyNumberFormat="1" applyFont="1" applyFill="1" applyBorder="1" applyAlignment="1">
      <alignment horizontal="center" wrapText="1"/>
    </xf>
    <xf numFmtId="164" fontId="2" fillId="3" borderId="7" xfId="9" applyNumberFormat="1" applyFont="1" applyFill="1" applyBorder="1" applyAlignment="1">
      <alignment horizontal="center"/>
    </xf>
    <xf numFmtId="0" fontId="2" fillId="20" borderId="8" xfId="3" applyFont="1" applyFill="1" applyBorder="1" applyAlignment="1">
      <alignment horizontal="left" wrapText="1"/>
    </xf>
    <xf numFmtId="164" fontId="2" fillId="20" borderId="8" xfId="18" applyNumberFormat="1" applyFont="1" applyFill="1" applyBorder="1" applyAlignment="1">
      <alignment horizontal="center" wrapText="1"/>
    </xf>
    <xf numFmtId="164" fontId="2" fillId="20" borderId="8" xfId="9" applyNumberFormat="1" applyFont="1" applyFill="1" applyBorder="1" applyAlignment="1">
      <alignment horizontal="center"/>
    </xf>
    <xf numFmtId="0" fontId="2" fillId="4" borderId="8" xfId="3" applyFont="1" applyFill="1" applyBorder="1" applyAlignment="1">
      <alignment horizontal="left" wrapText="1"/>
    </xf>
    <xf numFmtId="9" fontId="2" fillId="4" borderId="8" xfId="54" applyFont="1" applyFill="1" applyBorder="1" applyAlignment="1">
      <alignment horizontal="center" wrapText="1"/>
    </xf>
    <xf numFmtId="166" fontId="2" fillId="4" borderId="8" xfId="54" applyNumberFormat="1" applyFont="1" applyFill="1" applyBorder="1" applyAlignment="1">
      <alignment horizontal="center" wrapText="1"/>
    </xf>
    <xf numFmtId="164" fontId="2" fillId="0" borderId="8" xfId="18" applyNumberFormat="1" applyFont="1" applyBorder="1" applyAlignment="1">
      <alignment horizontal="center" wrapText="1"/>
    </xf>
    <xf numFmtId="9" fontId="2" fillId="0" borderId="8" xfId="54" applyFont="1" applyBorder="1" applyAlignment="1">
      <alignment horizontal="center" wrapText="1"/>
    </xf>
    <xf numFmtId="9" fontId="2" fillId="0" borderId="8" xfId="54" applyFont="1" applyBorder="1" applyAlignment="1">
      <alignment horizontal="center"/>
    </xf>
    <xf numFmtId="166" fontId="2" fillId="0" borderId="8" xfId="54" applyNumberFormat="1" applyFont="1" applyBorder="1" applyAlignment="1">
      <alignment horizontal="center" wrapText="1"/>
    </xf>
    <xf numFmtId="164" fontId="3" fillId="5" borderId="10" xfId="18" applyNumberFormat="1" applyFont="1" applyFill="1" applyBorder="1" applyAlignment="1">
      <alignment horizontal="right"/>
    </xf>
    <xf numFmtId="9" fontId="2" fillId="0" borderId="10" xfId="54" applyFont="1" applyBorder="1" applyAlignment="1">
      <alignment horizontal="center"/>
    </xf>
    <xf numFmtId="164" fontId="3" fillId="5" borderId="11" xfId="18" applyNumberFormat="1" applyFont="1" applyFill="1" applyBorder="1" applyAlignment="1">
      <alignment horizontal="right"/>
    </xf>
    <xf numFmtId="164" fontId="3" fillId="15" borderId="8" xfId="18" applyNumberFormat="1" applyFont="1" applyFill="1" applyBorder="1" applyAlignment="1">
      <alignment horizontal="left" indent="3"/>
    </xf>
    <xf numFmtId="164" fontId="2" fillId="0" borderId="10" xfId="9" applyNumberFormat="1" applyFont="1" applyBorder="1" applyAlignment="1">
      <alignment horizontal="center"/>
    </xf>
    <xf numFmtId="164" fontId="3" fillId="14" borderId="8" xfId="18" applyNumberFormat="1" applyFont="1" applyFill="1" applyBorder="1" applyAlignment="1">
      <alignment horizontal="left" indent="3"/>
    </xf>
    <xf numFmtId="0" fontId="2" fillId="0" borderId="7" xfId="3" applyFont="1" applyBorder="1" applyAlignment="1">
      <alignment horizontal="left" wrapText="1"/>
    </xf>
    <xf numFmtId="164" fontId="2" fillId="0" borderId="0" xfId="18" applyNumberFormat="1" applyFont="1" applyBorder="1" applyAlignment="1">
      <alignment horizontal="center" wrapText="1"/>
    </xf>
    <xf numFmtId="9" fontId="2" fillId="0" borderId="10" xfId="54" applyFont="1" applyBorder="1" applyAlignment="1">
      <alignment horizontal="center" wrapText="1"/>
    </xf>
    <xf numFmtId="164" fontId="2" fillId="0" borderId="7" xfId="5" applyNumberFormat="1" applyFont="1" applyBorder="1"/>
    <xf numFmtId="164" fontId="3" fillId="3" borderId="8" xfId="48" applyNumberFormat="1" applyFont="1" applyFill="1" applyBorder="1"/>
    <xf numFmtId="0" fontId="12" fillId="2" borderId="0" xfId="4" applyFont="1" applyFill="1"/>
    <xf numFmtId="164" fontId="2" fillId="0" borderId="0" xfId="18" applyNumberFormat="1" applyFont="1" applyBorder="1" applyAlignment="1">
      <alignment horizontal="left" wrapText="1"/>
    </xf>
    <xf numFmtId="164" fontId="2" fillId="0" borderId="8" xfId="18" applyNumberFormat="1" applyFont="1" applyBorder="1" applyAlignment="1">
      <alignment horizontal="center"/>
    </xf>
    <xf numFmtId="164" fontId="2" fillId="0" borderId="8" xfId="3" applyNumberFormat="1" applyFont="1" applyBorder="1" applyAlignment="1">
      <alignment horizontal="right"/>
    </xf>
    <xf numFmtId="41" fontId="2" fillId="0" borderId="0" xfId="55" applyFont="1" applyBorder="1"/>
    <xf numFmtId="0" fontId="3" fillId="3" borderId="11" xfId="4" applyFont="1" applyFill="1" applyBorder="1" applyAlignment="1">
      <alignment horizontal="left" wrapText="1"/>
    </xf>
    <xf numFmtId="164" fontId="2" fillId="0" borderId="8" xfId="9" applyNumberFormat="1" applyFont="1" applyBorder="1" applyAlignment="1">
      <alignment horizontal="left"/>
    </xf>
    <xf numFmtId="9" fontId="2" fillId="0" borderId="8" xfId="54" applyFont="1" applyBorder="1"/>
    <xf numFmtId="165" fontId="2" fillId="0" borderId="0" xfId="3" applyNumberFormat="1" applyFont="1"/>
    <xf numFmtId="10" fontId="2" fillId="0" borderId="0" xfId="54" applyNumberFormat="1" applyFont="1" applyAlignment="1">
      <alignment horizontal="center"/>
    </xf>
    <xf numFmtId="9" fontId="2" fillId="0" borderId="0" xfId="54" applyFont="1"/>
    <xf numFmtId="164" fontId="3" fillId="17" borderId="8" xfId="18" applyNumberFormat="1" applyFont="1" applyFill="1" applyBorder="1" applyAlignment="1">
      <alignment horizontal="left" indent="3"/>
    </xf>
    <xf numFmtId="0" fontId="3" fillId="21" borderId="8" xfId="4" applyFont="1" applyFill="1" applyBorder="1" applyAlignment="1">
      <alignment horizontal="left"/>
    </xf>
    <xf numFmtId="164" fontId="3" fillId="21" borderId="8" xfId="18" applyNumberFormat="1" applyFont="1" applyFill="1" applyBorder="1" applyAlignment="1">
      <alignment horizontal="left" indent="3"/>
    </xf>
    <xf numFmtId="0" fontId="3" fillId="4" borderId="8" xfId="3" applyFont="1" applyFill="1" applyBorder="1" applyAlignment="1">
      <alignment horizontal="left" vertical="center" wrapText="1"/>
    </xf>
    <xf numFmtId="0" fontId="3" fillId="4" borderId="8" xfId="3" applyFont="1" applyFill="1" applyBorder="1" applyAlignment="1">
      <alignment horizontal="center" vertical="center" wrapText="1"/>
    </xf>
    <xf numFmtId="0" fontId="0" fillId="0" borderId="0" xfId="0" applyAlignment="1">
      <alignment vertical="center"/>
    </xf>
    <xf numFmtId="164" fontId="2" fillId="0" borderId="8" xfId="9" applyNumberFormat="1" applyFont="1" applyBorder="1" applyAlignment="1">
      <alignment horizontal="left" wrapText="1"/>
    </xf>
    <xf numFmtId="9" fontId="2" fillId="0" borderId="8" xfId="54" applyFont="1" applyBorder="1" applyAlignment="1">
      <alignment horizontal="center" vertical="center"/>
    </xf>
    <xf numFmtId="168" fontId="2" fillId="0" borderId="8" xfId="55" applyNumberFormat="1" applyFont="1" applyBorder="1" applyAlignment="1">
      <alignment horizontal="center" vertical="center"/>
    </xf>
    <xf numFmtId="41" fontId="2" fillId="0" borderId="8" xfId="55" applyFont="1" applyBorder="1" applyAlignment="1">
      <alignment horizontal="center" vertical="center"/>
    </xf>
    <xf numFmtId="164" fontId="3" fillId="15" borderId="8" xfId="18" applyNumberFormat="1" applyFont="1" applyFill="1" applyBorder="1" applyAlignment="1">
      <alignment horizontal="center" vertical="center"/>
    </xf>
    <xf numFmtId="169" fontId="2" fillId="5" borderId="8" xfId="0" applyNumberFormat="1" applyFont="1" applyFill="1" applyBorder="1" applyAlignment="1">
      <alignment horizontal="center" vertical="center"/>
    </xf>
    <xf numFmtId="9" fontId="0" fillId="0" borderId="0" xfId="0" applyNumberFormat="1" applyAlignment="1">
      <alignment vertical="center"/>
    </xf>
    <xf numFmtId="164" fontId="2" fillId="0" borderId="0" xfId="9" applyNumberFormat="1" applyFont="1" applyBorder="1" applyAlignment="1">
      <alignment horizontal="left"/>
    </xf>
    <xf numFmtId="9" fontId="2" fillId="0" borderId="0" xfId="54" applyFont="1" applyBorder="1" applyAlignment="1">
      <alignment horizontal="center" vertical="center"/>
    </xf>
    <xf numFmtId="168" fontId="2" fillId="0" borderId="0" xfId="55" applyNumberFormat="1" applyFont="1" applyBorder="1" applyAlignment="1">
      <alignment horizontal="center" vertical="center"/>
    </xf>
    <xf numFmtId="41" fontId="2" fillId="0" borderId="0" xfId="55" applyFont="1" applyBorder="1" applyAlignment="1">
      <alignment horizontal="center" vertical="center"/>
    </xf>
    <xf numFmtId="0" fontId="2" fillId="0" borderId="0" xfId="0" applyFont="1"/>
    <xf numFmtId="0" fontId="2" fillId="2" borderId="8" xfId="0" applyFont="1" applyFill="1" applyBorder="1"/>
    <xf numFmtId="41" fontId="0" fillId="0" borderId="0" xfId="0" applyNumberFormat="1"/>
    <xf numFmtId="3" fontId="0" fillId="0" borderId="0" xfId="0" applyNumberFormat="1"/>
    <xf numFmtId="41" fontId="0" fillId="0" borderId="0" xfId="55" applyFont="1"/>
    <xf numFmtId="0" fontId="2" fillId="2" borderId="11" xfId="0" applyFont="1" applyFill="1" applyBorder="1"/>
    <xf numFmtId="164" fontId="14" fillId="0" borderId="8" xfId="3" applyNumberFormat="1" applyFont="1" applyBorder="1"/>
    <xf numFmtId="164" fontId="3" fillId="3" borderId="8" xfId="18" applyNumberFormat="1" applyFont="1" applyFill="1" applyBorder="1" applyAlignment="1">
      <alignment horizontal="left" vertical="center" wrapText="1"/>
    </xf>
    <xf numFmtId="164" fontId="3" fillId="3" borderId="8" xfId="18" applyNumberFormat="1" applyFont="1" applyFill="1" applyBorder="1" applyAlignment="1">
      <alignment horizontal="center" vertical="center" wrapText="1"/>
    </xf>
    <xf numFmtId="166" fontId="3" fillId="3" borderId="8" xfId="54" applyNumberFormat="1" applyFont="1" applyFill="1" applyBorder="1" applyAlignment="1">
      <alignment horizontal="center" vertical="center" wrapText="1"/>
    </xf>
    <xf numFmtId="0" fontId="3" fillId="2" borderId="8" xfId="4" applyFont="1" applyFill="1" applyBorder="1"/>
    <xf numFmtId="164" fontId="3" fillId="2" borderId="0" xfId="4" applyNumberFormat="1" applyFont="1" applyFill="1"/>
    <xf numFmtId="164" fontId="3" fillId="3" borderId="8" xfId="18" applyNumberFormat="1" applyFont="1" applyFill="1" applyBorder="1" applyAlignment="1">
      <alignment horizontal="left" wrapText="1"/>
    </xf>
    <xf numFmtId="164" fontId="2" fillId="0" borderId="8" xfId="18" applyNumberFormat="1" applyFont="1" applyBorder="1" applyAlignment="1">
      <alignment horizontal="left" wrapText="1"/>
    </xf>
    <xf numFmtId="164" fontId="2" fillId="0" borderId="10" xfId="18" applyNumberFormat="1" applyFont="1" applyBorder="1" applyAlignment="1">
      <alignment horizontal="center"/>
    </xf>
    <xf numFmtId="164" fontId="0" fillId="0" borderId="0" xfId="18" applyNumberFormat="1" applyFont="1"/>
    <xf numFmtId="9" fontId="2" fillId="0" borderId="0" xfId="54" applyFont="1" applyBorder="1" applyAlignment="1">
      <alignment horizontal="center"/>
    </xf>
    <xf numFmtId="9" fontId="2" fillId="0" borderId="0" xfId="54" applyFont="1" applyBorder="1" applyAlignment="1">
      <alignment horizontal="center" wrapText="1"/>
    </xf>
    <xf numFmtId="164" fontId="4" fillId="0" borderId="0" xfId="18" applyNumberFormat="1" applyFont="1" applyBorder="1"/>
    <xf numFmtId="166" fontId="3" fillId="4" borderId="8" xfId="54" applyNumberFormat="1" applyFont="1" applyFill="1" applyBorder="1" applyAlignment="1">
      <alignment horizontal="right" vertical="center" wrapText="1"/>
    </xf>
    <xf numFmtId="166" fontId="3" fillId="14" borderId="11" xfId="54" applyNumberFormat="1" applyFont="1" applyFill="1" applyBorder="1" applyAlignment="1">
      <alignment horizontal="right" vertical="center" wrapText="1"/>
    </xf>
    <xf numFmtId="166" fontId="3" fillId="2" borderId="11" xfId="54" applyNumberFormat="1" applyFont="1" applyFill="1" applyBorder="1" applyAlignment="1">
      <alignment horizontal="center" vertical="center" wrapText="1"/>
    </xf>
    <xf numFmtId="9" fontId="2" fillId="0" borderId="8" xfId="54" applyFont="1" applyBorder="1" applyAlignment="1">
      <alignment horizontal="right" wrapText="1"/>
    </xf>
    <xf numFmtId="0" fontId="2" fillId="0" borderId="8" xfId="3" applyFont="1" applyBorder="1" applyAlignment="1">
      <alignment vertical="center"/>
    </xf>
    <xf numFmtId="0" fontId="3" fillId="3" borderId="8" xfId="3" applyFont="1" applyFill="1" applyBorder="1" applyAlignment="1">
      <alignment horizontal="center" vertical="center" wrapText="1"/>
    </xf>
    <xf numFmtId="166" fontId="2" fillId="0" borderId="8" xfId="3" applyNumberFormat="1" applyFont="1" applyBorder="1"/>
    <xf numFmtId="0" fontId="3" fillId="3" borderId="11" xfId="3" applyFont="1" applyFill="1" applyBorder="1"/>
    <xf numFmtId="0" fontId="2" fillId="0" borderId="8" xfId="13" applyFont="1" applyBorder="1"/>
    <xf numFmtId="3" fontId="2" fillId="0" borderId="8" xfId="13" applyNumberFormat="1" applyFont="1" applyBorder="1"/>
    <xf numFmtId="164" fontId="2" fillId="2" borderId="0" xfId="4" applyNumberFormat="1" applyFont="1" applyFill="1"/>
    <xf numFmtId="0" fontId="2" fillId="0" borderId="11" xfId="13" applyFont="1" applyBorder="1"/>
    <xf numFmtId="3" fontId="4" fillId="0" borderId="8" xfId="13" applyNumberFormat="1" applyFont="1" applyBorder="1"/>
    <xf numFmtId="0" fontId="2" fillId="2" borderId="8" xfId="13" applyFont="1" applyFill="1" applyBorder="1"/>
    <xf numFmtId="3" fontId="2" fillId="2" borderId="8" xfId="13" applyNumberFormat="1" applyFont="1" applyFill="1" applyBorder="1"/>
    <xf numFmtId="9" fontId="3" fillId="3" borderId="8" xfId="4" applyNumberFormat="1" applyFont="1" applyFill="1" applyBorder="1"/>
    <xf numFmtId="3" fontId="14" fillId="2" borderId="0" xfId="13" applyNumberFormat="1" applyFont="1" applyFill="1"/>
    <xf numFmtId="165" fontId="2" fillId="0" borderId="8" xfId="13" applyNumberFormat="1" applyFont="1" applyBorder="1"/>
    <xf numFmtId="164" fontId="4" fillId="2" borderId="8" xfId="18" applyNumberFormat="1" applyFont="1" applyFill="1" applyBorder="1"/>
    <xf numFmtId="164" fontId="4" fillId="0" borderId="8" xfId="13" applyNumberFormat="1" applyFont="1" applyBorder="1"/>
    <xf numFmtId="0" fontId="3" fillId="2" borderId="8" xfId="4" applyFont="1" applyFill="1" applyBorder="1" applyAlignment="1">
      <alignment horizontal="left" wrapText="1"/>
    </xf>
    <xf numFmtId="0" fontId="3" fillId="3" borderId="8" xfId="3" applyFont="1" applyFill="1" applyBorder="1" applyAlignment="1">
      <alignment horizontal="left" vertical="center" wrapText="1"/>
    </xf>
    <xf numFmtId="0" fontId="3" fillId="3" borderId="8" xfId="4" applyFont="1" applyFill="1" applyBorder="1" applyAlignment="1">
      <alignment wrapText="1"/>
    </xf>
    <xf numFmtId="0" fontId="2" fillId="0" borderId="8" xfId="4" applyFont="1" applyBorder="1" applyAlignment="1">
      <alignment wrapText="1"/>
    </xf>
    <xf numFmtId="0" fontId="2" fillId="0" borderId="0" xfId="3" applyFont="1" applyAlignment="1">
      <alignment wrapText="1"/>
    </xf>
    <xf numFmtId="0" fontId="3" fillId="2" borderId="0" xfId="4" applyFont="1" applyFill="1" applyAlignment="1">
      <alignment horizontal="left" wrapText="1"/>
    </xf>
    <xf numFmtId="0" fontId="2" fillId="0" borderId="0" xfId="3" applyFont="1" applyBorder="1" applyAlignment="1">
      <alignment horizontal="justify" wrapText="1"/>
    </xf>
    <xf numFmtId="0" fontId="0" fillId="0" borderId="0" xfId="0" applyBorder="1" applyAlignment="1">
      <alignment horizontal="justify" wrapText="1"/>
    </xf>
    <xf numFmtId="0" fontId="5" fillId="2" borderId="26" xfId="50" applyFont="1" applyFill="1" applyBorder="1" applyAlignment="1">
      <alignment horizontal="justify" vertical="center" wrapText="1"/>
    </xf>
    <xf numFmtId="0" fontId="5" fillId="2" borderId="26" xfId="49" applyFont="1" applyFill="1" applyBorder="1" applyAlignment="1">
      <alignment horizontal="justify" vertical="center" wrapText="1"/>
    </xf>
    <xf numFmtId="0" fontId="5" fillId="2" borderId="26" xfId="49" applyFont="1" applyFill="1" applyBorder="1" applyAlignment="1">
      <alignment horizontal="left" vertical="center" wrapText="1"/>
    </xf>
    <xf numFmtId="0" fontId="5" fillId="2" borderId="26" xfId="0" applyFont="1" applyFill="1" applyBorder="1" applyAlignment="1">
      <alignment horizontal="justify" vertical="center" wrapText="1"/>
    </xf>
    <xf numFmtId="0" fontId="5" fillId="2" borderId="0" xfId="0" applyFont="1" applyFill="1"/>
    <xf numFmtId="0" fontId="12" fillId="0" borderId="0" xfId="3" applyFont="1" applyBorder="1" applyAlignment="1">
      <alignment horizontal="justify" wrapText="1"/>
    </xf>
    <xf numFmtId="0" fontId="40" fillId="0" borderId="0" xfId="0" applyFont="1" applyBorder="1" applyAlignment="1">
      <alignment horizontal="justify" wrapText="1"/>
    </xf>
    <xf numFmtId="0" fontId="5" fillId="2" borderId="42" xfId="49" applyFont="1" applyFill="1" applyBorder="1" applyAlignment="1">
      <alignment horizontal="justify" vertical="center" wrapText="1"/>
    </xf>
    <xf numFmtId="0" fontId="5" fillId="2" borderId="0" xfId="50" applyFont="1" applyFill="1" applyBorder="1" applyAlignment="1">
      <alignment horizontal="left"/>
    </xf>
    <xf numFmtId="0" fontId="5" fillId="2" borderId="0" xfId="50" applyFont="1" applyFill="1" applyBorder="1"/>
    <xf numFmtId="0" fontId="5" fillId="2" borderId="0" xfId="50" applyFont="1" applyFill="1" applyBorder="1" applyAlignment="1">
      <alignment horizontal="justify"/>
    </xf>
    <xf numFmtId="0" fontId="5" fillId="2" borderId="8" xfId="49" applyFont="1" applyFill="1" applyBorder="1" applyAlignment="1">
      <alignment horizontal="justify" vertical="center" wrapText="1"/>
    </xf>
    <xf numFmtId="165" fontId="20" fillId="10" borderId="26" xfId="1" applyNumberFormat="1" applyFont="1" applyFill="1" applyBorder="1" applyAlignment="1">
      <alignment horizontal="center" vertical="center" wrapText="1"/>
    </xf>
    <xf numFmtId="165" fontId="20" fillId="10"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xf>
    <xf numFmtId="165" fontId="5" fillId="2" borderId="0" xfId="1" applyNumberFormat="1" applyFont="1" applyFill="1" applyAlignment="1">
      <alignment horizontal="center" vertical="center"/>
    </xf>
    <xf numFmtId="0" fontId="20" fillId="10" borderId="26" xfId="50" applyFont="1" applyFill="1" applyBorder="1" applyAlignment="1">
      <alignment horizontal="justify" vertical="center" wrapText="1"/>
    </xf>
    <xf numFmtId="164" fontId="20" fillId="10" borderId="0" xfId="18" applyNumberFormat="1" applyFont="1" applyFill="1" applyBorder="1" applyAlignment="1">
      <alignment horizontal="justify" vertical="center" wrapText="1"/>
    </xf>
    <xf numFmtId="0" fontId="5" fillId="2" borderId="0" xfId="50" applyFont="1" applyFill="1" applyBorder="1" applyAlignment="1">
      <alignment horizontal="justify" vertical="center" wrapText="1"/>
    </xf>
    <xf numFmtId="0" fontId="5" fillId="2" borderId="0" xfId="50" applyFont="1" applyFill="1" applyAlignment="1">
      <alignment horizontal="justify" vertical="center" wrapText="1"/>
    </xf>
    <xf numFmtId="164" fontId="26" fillId="2" borderId="8" xfId="18" applyNumberFormat="1" applyFont="1" applyFill="1" applyBorder="1" applyAlignment="1">
      <alignment vertical="center" wrapText="1"/>
    </xf>
    <xf numFmtId="164" fontId="26" fillId="2" borderId="8" xfId="18" applyNumberFormat="1" applyFont="1" applyFill="1" applyBorder="1" applyAlignment="1">
      <alignment vertical="justify" wrapText="1"/>
    </xf>
    <xf numFmtId="164" fontId="26" fillId="2" borderId="11" xfId="18" applyNumberFormat="1" applyFont="1" applyFill="1" applyBorder="1" applyAlignment="1">
      <alignment vertical="center" wrapText="1"/>
    </xf>
    <xf numFmtId="164" fontId="29" fillId="0" borderId="0" xfId="18" applyNumberFormat="1" applyFont="1" applyAlignment="1">
      <alignment horizontal="center" wrapText="1"/>
    </xf>
    <xf numFmtId="164" fontId="3" fillId="2" borderId="8" xfId="18" applyNumberFormat="1" applyFont="1" applyFill="1" applyBorder="1" applyAlignment="1">
      <alignment horizontal="center" vertical="center" wrapText="1"/>
    </xf>
    <xf numFmtId="167" fontId="2" fillId="2" borderId="0" xfId="18" applyNumberFormat="1" applyFont="1" applyFill="1"/>
    <xf numFmtId="0" fontId="3" fillId="3" borderId="8" xfId="4" applyFont="1" applyFill="1" applyBorder="1" applyAlignment="1">
      <alignment horizontal="left" wrapText="1"/>
    </xf>
    <xf numFmtId="0" fontId="2" fillId="0" borderId="0" xfId="3" applyFont="1" applyAlignment="1">
      <alignment horizontal="left" wrapText="1"/>
    </xf>
    <xf numFmtId="0" fontId="4" fillId="0" borderId="8" xfId="2" applyFont="1" applyBorder="1" applyAlignment="1">
      <alignment horizontal="left" vertical="center" wrapText="1"/>
    </xf>
    <xf numFmtId="164" fontId="3" fillId="5" borderId="8" xfId="18" applyNumberFormat="1" applyFont="1" applyFill="1" applyBorder="1" applyAlignment="1">
      <alignment horizontal="center" vertical="center" wrapText="1"/>
    </xf>
    <xf numFmtId="164" fontId="25" fillId="3" borderId="8" xfId="18" applyNumberFormat="1" applyFont="1" applyFill="1" applyBorder="1" applyAlignment="1">
      <alignment vertical="center" wrapText="1"/>
    </xf>
    <xf numFmtId="9" fontId="25" fillId="3" borderId="8" xfId="54" applyFont="1" applyFill="1" applyBorder="1" applyAlignment="1">
      <alignment horizontal="center" vertical="center" wrapText="1"/>
    </xf>
    <xf numFmtId="164" fontId="25" fillId="3" borderId="8" xfId="18" applyNumberFormat="1" applyFont="1" applyFill="1" applyBorder="1" applyAlignment="1">
      <alignment horizontal="center" vertical="center" wrapText="1"/>
    </xf>
    <xf numFmtId="164" fontId="3" fillId="3" borderId="8" xfId="18" applyNumberFormat="1" applyFont="1" applyFill="1" applyBorder="1" applyAlignment="1">
      <alignment horizontal="center" vertical="center"/>
    </xf>
    <xf numFmtId="164" fontId="2" fillId="3" borderId="8" xfId="18" applyNumberFormat="1" applyFont="1" applyFill="1" applyBorder="1" applyAlignment="1">
      <alignment horizontal="center" vertical="center"/>
    </xf>
    <xf numFmtId="0" fontId="25" fillId="3" borderId="8" xfId="18" applyNumberFormat="1" applyFont="1" applyFill="1" applyBorder="1" applyAlignment="1">
      <alignment vertical="center" wrapText="1"/>
    </xf>
    <xf numFmtId="9" fontId="3" fillId="3" borderId="8" xfId="54" applyFont="1" applyFill="1" applyBorder="1" applyAlignment="1">
      <alignment horizontal="center" vertical="center"/>
    </xf>
    <xf numFmtId="0" fontId="3" fillId="3" borderId="8" xfId="18" applyNumberFormat="1" applyFont="1" applyFill="1" applyBorder="1" applyAlignment="1">
      <alignment horizontal="center" vertical="center"/>
    </xf>
    <xf numFmtId="0" fontId="43" fillId="0" borderId="0" xfId="17" applyFont="1" applyAlignment="1">
      <alignment horizontal="center" vertical="center"/>
    </xf>
    <xf numFmtId="0" fontId="43" fillId="0" borderId="0" xfId="17" applyFont="1" applyAlignment="1">
      <alignment horizontal="center" vertical="center" wrapText="1"/>
    </xf>
    <xf numFmtId="0" fontId="11" fillId="0" borderId="8" xfId="3" applyFont="1" applyBorder="1" applyAlignment="1">
      <alignment horizontal="left" vertical="center"/>
    </xf>
    <xf numFmtId="0" fontId="4" fillId="0" borderId="8" xfId="3" applyFont="1" applyBorder="1" applyAlignment="1">
      <alignment horizontal="left" vertical="center"/>
    </xf>
    <xf numFmtId="0" fontId="4" fillId="2" borderId="8" xfId="3" applyFont="1" applyFill="1" applyBorder="1" applyAlignment="1">
      <alignment horizontal="left" vertical="center"/>
    </xf>
    <xf numFmtId="0" fontId="2" fillId="0" borderId="8" xfId="17" applyFont="1" applyBorder="1" applyAlignment="1">
      <alignment horizontal="left" vertical="center"/>
    </xf>
    <xf numFmtId="0" fontId="2" fillId="0" borderId="8" xfId="17" applyFont="1" applyBorder="1" applyAlignment="1">
      <alignment horizontal="left" vertical="center" wrapText="1"/>
    </xf>
    <xf numFmtId="0" fontId="2" fillId="0" borderId="8" xfId="17" applyFont="1" applyBorder="1" applyAlignment="1">
      <alignment horizontal="justify" vertical="center"/>
    </xf>
    <xf numFmtId="0" fontId="2" fillId="0" borderId="0" xfId="17" applyFont="1" applyAlignment="1">
      <alignment horizontal="left" vertical="center"/>
    </xf>
    <xf numFmtId="0" fontId="2" fillId="0" borderId="0" xfId="17" applyFont="1" applyAlignment="1">
      <alignment horizontal="left" vertical="center" wrapText="1"/>
    </xf>
    <xf numFmtId="0" fontId="2" fillId="0" borderId="10" xfId="17" applyFont="1" applyBorder="1" applyAlignment="1">
      <alignment horizontal="left" vertical="center" wrapText="1"/>
    </xf>
    <xf numFmtId="0" fontId="2" fillId="0" borderId="0" xfId="17" applyFont="1" applyAlignment="1">
      <alignment vertical="center"/>
    </xf>
    <xf numFmtId="0" fontId="4" fillId="0" borderId="0" xfId="17" applyFont="1" applyAlignment="1">
      <alignment vertical="center"/>
    </xf>
    <xf numFmtId="0" fontId="4" fillId="0" borderId="0" xfId="17" applyFont="1" applyAlignment="1">
      <alignment horizontal="justify" vertical="center"/>
    </xf>
    <xf numFmtId="0" fontId="4" fillId="0" borderId="0" xfId="17" applyFont="1" applyAlignment="1">
      <alignment vertical="center" wrapText="1"/>
    </xf>
    <xf numFmtId="0" fontId="2" fillId="2" borderId="0" xfId="17" applyFont="1" applyFill="1" applyAlignment="1">
      <alignment vertical="center"/>
    </xf>
    <xf numFmtId="0" fontId="4" fillId="0" borderId="0" xfId="3" applyFont="1" applyAlignment="1">
      <alignment horizontal="left" vertical="center" wrapText="1"/>
    </xf>
    <xf numFmtId="0" fontId="2" fillId="0" borderId="0" xfId="17" applyFont="1" applyAlignment="1">
      <alignment horizontal="justify" vertical="center"/>
    </xf>
    <xf numFmtId="0" fontId="2" fillId="0" borderId="0" xfId="17" applyFont="1" applyAlignment="1">
      <alignment vertical="center" wrapText="1"/>
    </xf>
    <xf numFmtId="0" fontId="3" fillId="4" borderId="8" xfId="17" applyFont="1" applyFill="1" applyBorder="1" applyAlignment="1">
      <alignment horizontal="center" vertical="center"/>
    </xf>
    <xf numFmtId="0" fontId="2" fillId="0" borderId="0" xfId="17" applyFont="1" applyAlignment="1">
      <alignment horizontal="center" vertical="center" wrapText="1"/>
    </xf>
    <xf numFmtId="0" fontId="3" fillId="4" borderId="11" xfId="17" applyFont="1" applyFill="1" applyBorder="1" applyAlignment="1">
      <alignment horizontal="center" vertical="center"/>
    </xf>
    <xf numFmtId="0" fontId="3" fillId="4" borderId="8" xfId="17" applyFont="1" applyFill="1" applyBorder="1" applyAlignment="1">
      <alignment horizontal="left" vertical="center"/>
    </xf>
    <xf numFmtId="0" fontId="3" fillId="4" borderId="11" xfId="17" applyFont="1" applyFill="1" applyBorder="1" applyAlignment="1">
      <alignment horizontal="left" vertical="center"/>
    </xf>
    <xf numFmtId="0" fontId="4" fillId="0" borderId="0" xfId="3" applyFont="1" applyAlignment="1">
      <alignment horizontal="justify" vertical="center" wrapText="1"/>
    </xf>
    <xf numFmtId="0" fontId="2" fillId="0" borderId="0" xfId="17" applyFont="1" applyAlignment="1">
      <alignment horizontal="justify" vertical="center" wrapText="1"/>
    </xf>
    <xf numFmtId="164" fontId="2" fillId="0" borderId="0" xfId="8" applyNumberFormat="1" applyFont="1" applyAlignment="1">
      <alignment horizontal="justify" vertical="center"/>
    </xf>
    <xf numFmtId="164" fontId="44" fillId="22" borderId="8" xfId="18" applyNumberFormat="1" applyFont="1" applyFill="1" applyBorder="1" applyAlignment="1">
      <alignment horizontal="center" vertical="center" wrapText="1"/>
    </xf>
    <xf numFmtId="164" fontId="45" fillId="22" borderId="8" xfId="18" applyNumberFormat="1" applyFont="1" applyFill="1" applyBorder="1" applyAlignment="1">
      <alignment horizontal="center" vertical="center" wrapText="1"/>
    </xf>
    <xf numFmtId="164" fontId="44" fillId="22" borderId="8" xfId="18" applyNumberFormat="1" applyFont="1" applyFill="1" applyBorder="1" applyAlignment="1">
      <alignment vertical="center" wrapText="1"/>
    </xf>
    <xf numFmtId="10" fontId="44" fillId="22" borderId="8" xfId="54" applyNumberFormat="1" applyFont="1" applyFill="1" applyBorder="1" applyAlignment="1">
      <alignment vertical="center" wrapText="1"/>
    </xf>
    <xf numFmtId="0" fontId="3" fillId="9" borderId="8" xfId="18" applyNumberFormat="1" applyFont="1" applyFill="1" applyBorder="1" applyAlignment="1">
      <alignment vertical="center" wrapText="1"/>
    </xf>
    <xf numFmtId="164" fontId="3" fillId="9" borderId="8" xfId="18" applyNumberFormat="1" applyFont="1" applyFill="1" applyBorder="1" applyAlignment="1">
      <alignment vertical="center" wrapText="1"/>
    </xf>
    <xf numFmtId="0" fontId="2" fillId="2" borderId="8" xfId="18" applyNumberFormat="1" applyFont="1" applyFill="1" applyBorder="1" applyAlignment="1">
      <alignment vertical="center" wrapText="1"/>
    </xf>
    <xf numFmtId="164" fontId="2" fillId="2" borderId="8" xfId="18" applyNumberFormat="1" applyFont="1" applyFill="1" applyBorder="1" applyAlignment="1">
      <alignment vertical="center" wrapText="1"/>
    </xf>
    <xf numFmtId="0" fontId="2" fillId="2" borderId="11" xfId="18" applyNumberFormat="1" applyFont="1" applyFill="1" applyBorder="1" applyAlignment="1">
      <alignment vertical="center" wrapText="1"/>
    </xf>
    <xf numFmtId="164" fontId="2" fillId="2" borderId="11" xfId="18" applyNumberFormat="1" applyFont="1" applyFill="1" applyBorder="1" applyAlignment="1">
      <alignment vertical="center" wrapText="1"/>
    </xf>
    <xf numFmtId="0" fontId="28" fillId="0" borderId="0" xfId="18" applyNumberFormat="1" applyFont="1" applyAlignment="1">
      <alignment horizontal="center" vertical="center" wrapText="1"/>
    </xf>
    <xf numFmtId="0" fontId="29" fillId="0" borderId="0" xfId="0" applyNumberFormat="1" applyFont="1" applyAlignment="1">
      <alignment horizontal="center" vertical="center" wrapText="1"/>
    </xf>
    <xf numFmtId="0" fontId="2" fillId="0" borderId="0" xfId="18" applyNumberFormat="1" applyFont="1" applyAlignment="1">
      <alignment vertical="center"/>
    </xf>
    <xf numFmtId="0" fontId="5" fillId="2" borderId="0" xfId="18" applyNumberFormat="1" applyFont="1" applyFill="1" applyBorder="1" applyAlignment="1">
      <alignment vertical="center"/>
    </xf>
    <xf numFmtId="164" fontId="2" fillId="0" borderId="0" xfId="18" applyNumberFormat="1" applyFont="1" applyBorder="1" applyAlignment="1">
      <alignment vertical="center"/>
    </xf>
    <xf numFmtId="0" fontId="2" fillId="0" borderId="9" xfId="2" applyFont="1" applyBorder="1" applyAlignment="1">
      <alignment horizontal="left" vertical="center" wrapText="1"/>
    </xf>
    <xf numFmtId="0" fontId="2" fillId="0" borderId="10" xfId="2" applyFont="1" applyBorder="1" applyAlignment="1">
      <alignment horizontal="left" vertical="center" wrapText="1"/>
    </xf>
    <xf numFmtId="0" fontId="2" fillId="0" borderId="8" xfId="2" applyFont="1" applyBorder="1" applyAlignment="1">
      <alignment horizontal="justify" vertical="center" wrapText="1"/>
    </xf>
    <xf numFmtId="0" fontId="3" fillId="0" borderId="8" xfId="2" applyFont="1" applyBorder="1" applyAlignment="1">
      <alignment horizontal="center" vertical="center"/>
    </xf>
    <xf numFmtId="0" fontId="2" fillId="0" borderId="9" xfId="2" applyFont="1" applyBorder="1" applyAlignment="1">
      <alignment horizontal="justify" vertical="center" wrapText="1"/>
    </xf>
    <xf numFmtId="0" fontId="2" fillId="0" borderId="10" xfId="2" applyFont="1" applyBorder="1" applyAlignment="1">
      <alignment horizontal="justify" vertical="center" wrapText="1"/>
    </xf>
    <xf numFmtId="0" fontId="4" fillId="0" borderId="8" xfId="2" applyFont="1" applyBorder="1" applyAlignment="1">
      <alignment horizontal="justify" vertical="center" wrapText="1"/>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2" fillId="0" borderId="12" xfId="2" applyFont="1" applyBorder="1" applyAlignment="1">
      <alignment horizontal="left" vertical="center" wrapText="1"/>
    </xf>
    <xf numFmtId="0" fontId="2" fillId="2" borderId="0" xfId="2" applyFont="1" applyFill="1" applyAlignment="1">
      <alignment horizontal="center"/>
    </xf>
    <xf numFmtId="0" fontId="3" fillId="2" borderId="0" xfId="2" applyFont="1" applyFill="1" applyAlignment="1">
      <alignment horizontal="center" vertical="center"/>
    </xf>
    <xf numFmtId="0" fontId="4" fillId="0" borderId="1" xfId="2" applyFont="1" applyBorder="1" applyAlignment="1">
      <alignment horizontal="justify" vertical="top" wrapText="1"/>
    </xf>
    <xf numFmtId="0" fontId="4" fillId="0" borderId="2" xfId="2" applyFont="1" applyBorder="1" applyAlignment="1">
      <alignment horizontal="justify" vertical="top" wrapText="1"/>
    </xf>
    <xf numFmtId="0" fontId="4" fillId="0" borderId="3" xfId="2" applyFont="1" applyBorder="1" applyAlignment="1">
      <alignment horizontal="justify" vertical="top" wrapText="1"/>
    </xf>
    <xf numFmtId="0" fontId="4" fillId="0" borderId="4" xfId="2" applyFont="1" applyBorder="1" applyAlignment="1">
      <alignment horizontal="justify" vertical="top"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2" fillId="0" borderId="7" xfId="2" applyFont="1" applyBorder="1" applyAlignment="1">
      <alignment horizontal="justify" vertical="center" wrapText="1"/>
    </xf>
    <xf numFmtId="0" fontId="8" fillId="0" borderId="20" xfId="3" applyFont="1" applyBorder="1" applyAlignment="1">
      <alignment horizontal="left" vertical="center" wrapText="1"/>
    </xf>
    <xf numFmtId="0" fontId="8" fillId="0" borderId="21" xfId="3" applyFont="1" applyBorder="1" applyAlignment="1">
      <alignment horizontal="left" vertical="center" wrapText="1"/>
    </xf>
    <xf numFmtId="0" fontId="2" fillId="0" borderId="9" xfId="3" applyFont="1" applyBorder="1" applyAlignment="1">
      <alignment horizontal="justify" wrapText="1"/>
    </xf>
    <xf numFmtId="0" fontId="2" fillId="0" borderId="22" xfId="2" applyFont="1" applyBorder="1" applyAlignment="1">
      <alignment horizontal="justify" wrapText="1"/>
    </xf>
    <xf numFmtId="0" fontId="2" fillId="0" borderId="10" xfId="2" applyFont="1" applyBorder="1" applyAlignment="1">
      <alignment horizontal="justify" wrapText="1"/>
    </xf>
    <xf numFmtId="0" fontId="4" fillId="2" borderId="0" xfId="2" applyFont="1" applyFill="1" applyAlignment="1">
      <alignment horizontal="justify" vertical="center" wrapText="1"/>
    </xf>
    <xf numFmtId="0" fontId="2" fillId="2" borderId="0" xfId="2" applyFont="1" applyFill="1" applyAlignment="1">
      <alignment wrapText="1"/>
    </xf>
    <xf numFmtId="0" fontId="2" fillId="2" borderId="23" xfId="2" applyFont="1" applyFill="1" applyBorder="1" applyAlignment="1">
      <alignment wrapText="1"/>
    </xf>
    <xf numFmtId="0" fontId="2" fillId="0" borderId="0" xfId="3" applyFont="1" applyAlignment="1">
      <alignment wrapText="1"/>
    </xf>
    <xf numFmtId="0" fontId="2" fillId="0" borderId="0" xfId="2" applyFont="1" applyAlignment="1">
      <alignment wrapText="1"/>
    </xf>
    <xf numFmtId="0" fontId="3" fillId="2" borderId="8" xfId="2" applyFont="1" applyFill="1" applyBorder="1" applyAlignment="1">
      <alignment vertical="center" wrapText="1"/>
    </xf>
    <xf numFmtId="0" fontId="2" fillId="2" borderId="8" xfId="2" applyFont="1" applyFill="1" applyBorder="1" applyAlignment="1">
      <alignment wrapText="1"/>
    </xf>
    <xf numFmtId="0" fontId="2" fillId="2" borderId="8" xfId="3" applyFont="1" applyFill="1" applyBorder="1" applyAlignment="1">
      <alignment horizontal="justify" vertical="top" wrapText="1"/>
    </xf>
    <xf numFmtId="0" fontId="2" fillId="2" borderId="8" xfId="2" applyFont="1" applyFill="1" applyBorder="1" applyAlignment="1">
      <alignment horizontal="justify" vertical="top" wrapText="1"/>
    </xf>
    <xf numFmtId="0" fontId="3" fillId="3" borderId="0" xfId="3" applyFont="1" applyFill="1" applyAlignment="1">
      <alignment horizontal="left" wrapText="1"/>
    </xf>
    <xf numFmtId="0" fontId="3" fillId="3" borderId="0" xfId="2" applyFont="1" applyFill="1" applyAlignment="1">
      <alignment horizontal="left" wrapText="1"/>
    </xf>
    <xf numFmtId="0" fontId="3" fillId="0" borderId="20" xfId="3" applyFont="1" applyBorder="1" applyAlignment="1">
      <alignment horizontal="justify" vertical="center" wrapText="1"/>
    </xf>
    <xf numFmtId="0" fontId="3" fillId="0" borderId="21" xfId="3" applyFont="1" applyBorder="1" applyAlignment="1">
      <alignment horizontal="justify" vertical="center" wrapText="1"/>
    </xf>
    <xf numFmtId="0" fontId="2" fillId="0" borderId="9" xfId="3" applyFont="1" applyBorder="1" applyAlignment="1">
      <alignment horizontal="left" wrapText="1"/>
    </xf>
    <xf numFmtId="0" fontId="2" fillId="0" borderId="22" xfId="2" applyFont="1" applyBorder="1" applyAlignment="1">
      <alignment horizontal="left" wrapText="1"/>
    </xf>
    <xf numFmtId="0" fontId="2" fillId="0" borderId="10" xfId="2" applyFont="1" applyBorder="1" applyAlignment="1">
      <alignment horizontal="left" wrapText="1"/>
    </xf>
    <xf numFmtId="0" fontId="2" fillId="0" borderId="9" xfId="3" applyFont="1" applyBorder="1" applyAlignment="1">
      <alignment horizontal="left" vertical="center" wrapText="1"/>
    </xf>
    <xf numFmtId="0" fontId="2" fillId="0" borderId="22" xfId="2" applyFont="1" applyBorder="1" applyAlignment="1">
      <alignment horizontal="left" vertical="center" wrapText="1"/>
    </xf>
    <xf numFmtId="0" fontId="2" fillId="2" borderId="8" xfId="3" applyFont="1" applyFill="1" applyBorder="1" applyAlignment="1">
      <alignment horizontal="justify" vertical="center" wrapText="1"/>
    </xf>
    <xf numFmtId="0" fontId="2" fillId="2" borderId="8" xfId="2" applyFont="1" applyFill="1" applyBorder="1" applyAlignment="1">
      <alignment horizontal="justify" vertical="center" wrapText="1"/>
    </xf>
    <xf numFmtId="0" fontId="2" fillId="0" borderId="13" xfId="3" applyFont="1" applyBorder="1" applyAlignment="1">
      <alignment horizontal="center"/>
    </xf>
    <xf numFmtId="0" fontId="2" fillId="0" borderId="14" xfId="3" applyFont="1" applyBorder="1" applyAlignment="1">
      <alignment horizontal="center"/>
    </xf>
    <xf numFmtId="0" fontId="2" fillId="0" borderId="17" xfId="3" applyFont="1" applyBorder="1" applyAlignment="1">
      <alignment horizontal="center"/>
    </xf>
    <xf numFmtId="0" fontId="2" fillId="0" borderId="0" xfId="3" applyFont="1" applyAlignment="1">
      <alignment horizontal="center"/>
    </xf>
    <xf numFmtId="0" fontId="2" fillId="0" borderId="18" xfId="3" applyFont="1" applyBorder="1" applyAlignment="1">
      <alignment horizontal="center"/>
    </xf>
    <xf numFmtId="0" fontId="2" fillId="0" borderId="19" xfId="3" applyFont="1" applyBorder="1" applyAlignment="1">
      <alignment horizontal="center"/>
    </xf>
    <xf numFmtId="0" fontId="3" fillId="0" borderId="8" xfId="3" applyFont="1" applyBorder="1" applyAlignment="1">
      <alignment horizontal="center" vertical="center" wrapText="1"/>
    </xf>
    <xf numFmtId="0" fontId="2" fillId="0" borderId="8" xfId="2" applyFont="1" applyBorder="1" applyAlignment="1">
      <alignment horizontal="center" vertical="center" wrapText="1"/>
    </xf>
    <xf numFmtId="0" fontId="2" fillId="0" borderId="15" xfId="3" applyFont="1" applyBorder="1" applyAlignment="1">
      <alignment horizontal="center"/>
    </xf>
    <xf numFmtId="0" fontId="2" fillId="0" borderId="16" xfId="3" applyFont="1" applyBorder="1" applyAlignment="1">
      <alignment horizontal="center"/>
    </xf>
    <xf numFmtId="0" fontId="4" fillId="0" borderId="8" xfId="3" applyFont="1" applyBorder="1" applyAlignment="1">
      <alignment horizontal="left" vertical="center" wrapText="1"/>
    </xf>
    <xf numFmtId="0" fontId="2" fillId="0" borderId="8" xfId="17" applyFont="1" applyBorder="1" applyAlignment="1">
      <alignment horizontal="left" vertical="center" wrapText="1"/>
    </xf>
    <xf numFmtId="0" fontId="4" fillId="0" borderId="0" xfId="3" applyFont="1" applyAlignment="1">
      <alignment horizontal="justify" vertical="center" wrapText="1"/>
    </xf>
    <xf numFmtId="0" fontId="2" fillId="0" borderId="0" xfId="17" applyFont="1" applyAlignment="1">
      <alignment horizontal="justify" vertical="center" wrapText="1"/>
    </xf>
    <xf numFmtId="0" fontId="4" fillId="0" borderId="8" xfId="3" applyFont="1" applyBorder="1" applyAlignment="1">
      <alignment horizontal="justify" vertical="center" wrapText="1"/>
    </xf>
    <xf numFmtId="0" fontId="2" fillId="0" borderId="8" xfId="17" applyFont="1" applyBorder="1" applyAlignment="1">
      <alignment horizontal="justify" vertical="center" wrapText="1"/>
    </xf>
    <xf numFmtId="0" fontId="2" fillId="0" borderId="9" xfId="17" applyFont="1" applyBorder="1" applyAlignment="1">
      <alignment horizontal="left" vertical="center" wrapText="1"/>
    </xf>
    <xf numFmtId="0" fontId="2" fillId="0" borderId="22" xfId="17" applyFont="1" applyBorder="1" applyAlignment="1">
      <alignment horizontal="left" vertical="center" wrapText="1"/>
    </xf>
    <xf numFmtId="0" fontId="2" fillId="0" borderId="10" xfId="17" applyFont="1" applyBorder="1" applyAlignment="1">
      <alignment horizontal="left" vertical="center" wrapText="1"/>
    </xf>
    <xf numFmtId="0" fontId="42" fillId="0" borderId="0" xfId="3" applyFont="1" applyAlignment="1">
      <alignment horizontal="center" vertical="center"/>
    </xf>
    <xf numFmtId="0" fontId="2" fillId="0" borderId="0" xfId="17" applyFont="1" applyAlignment="1">
      <alignment horizontal="center" vertical="center"/>
    </xf>
    <xf numFmtId="0" fontId="4" fillId="0" borderId="9" xfId="3" applyFont="1" applyBorder="1" applyAlignment="1">
      <alignment horizontal="justify" vertical="center" wrapText="1"/>
    </xf>
    <xf numFmtId="0" fontId="4" fillId="0" borderId="22" xfId="3" applyFont="1" applyBorder="1" applyAlignment="1">
      <alignment horizontal="justify" vertical="center" wrapText="1"/>
    </xf>
    <xf numFmtId="0" fontId="4" fillId="0" borderId="10" xfId="3" applyFont="1" applyBorder="1" applyAlignment="1">
      <alignment horizontal="justify" vertical="center" wrapText="1"/>
    </xf>
    <xf numFmtId="0" fontId="2" fillId="0" borderId="9" xfId="17" applyFont="1" applyBorder="1" applyAlignment="1">
      <alignment horizontal="justify" vertical="center" wrapText="1"/>
    </xf>
    <xf numFmtId="0" fontId="2" fillId="0" borderId="22" xfId="17" applyFont="1" applyBorder="1" applyAlignment="1">
      <alignment horizontal="justify" vertical="center" wrapText="1"/>
    </xf>
    <xf numFmtId="0" fontId="2" fillId="0" borderId="10" xfId="17" applyFont="1" applyBorder="1" applyAlignment="1">
      <alignment horizontal="justify" vertical="center" wrapText="1"/>
    </xf>
    <xf numFmtId="0" fontId="4" fillId="2" borderId="8" xfId="3" applyFont="1" applyFill="1" applyBorder="1" applyAlignment="1">
      <alignment horizontal="left" vertical="center" wrapText="1"/>
    </xf>
    <xf numFmtId="0" fontId="2" fillId="2" borderId="8" xfId="17" applyFont="1" applyFill="1" applyBorder="1" applyAlignment="1">
      <alignment horizontal="left" vertical="center" wrapText="1"/>
    </xf>
    <xf numFmtId="0" fontId="4" fillId="0" borderId="0" xfId="4" applyFont="1" applyBorder="1" applyAlignment="1">
      <alignment wrapText="1"/>
    </xf>
    <xf numFmtId="0" fontId="2" fillId="0" borderId="0" xfId="4" applyFont="1" applyBorder="1" applyAlignment="1">
      <alignment wrapText="1"/>
    </xf>
    <xf numFmtId="0" fontId="3" fillId="4" borderId="8" xfId="4" applyFont="1" applyFill="1" applyBorder="1" applyAlignment="1">
      <alignment horizontal="center" wrapText="1"/>
    </xf>
    <xf numFmtId="0" fontId="3" fillId="18" borderId="8" xfId="4" applyFont="1" applyFill="1" applyBorder="1" applyAlignment="1">
      <alignment horizontal="center" wrapText="1"/>
    </xf>
    <xf numFmtId="0" fontId="34" fillId="19" borderId="9" xfId="4" applyFont="1" applyFill="1" applyBorder="1" applyAlignment="1">
      <alignment horizontal="center" vertical="center" wrapText="1"/>
    </xf>
    <xf numFmtId="0" fontId="34" fillId="19" borderId="22" xfId="4" applyFont="1" applyFill="1" applyBorder="1" applyAlignment="1">
      <alignment horizontal="center" vertical="center" wrapText="1"/>
    </xf>
    <xf numFmtId="0" fontId="34" fillId="19" borderId="10" xfId="4" applyFont="1" applyFill="1" applyBorder="1" applyAlignment="1">
      <alignment horizontal="center" vertical="center" wrapText="1"/>
    </xf>
    <xf numFmtId="0" fontId="35" fillId="19" borderId="11" xfId="4" applyFont="1" applyFill="1" applyBorder="1" applyAlignment="1">
      <alignment horizontal="center" vertical="center" wrapText="1"/>
    </xf>
    <xf numFmtId="0" fontId="35" fillId="19" borderId="24" xfId="4" applyFont="1" applyFill="1" applyBorder="1" applyAlignment="1">
      <alignment horizontal="center" vertical="center" wrapText="1"/>
    </xf>
    <xf numFmtId="0" fontId="35" fillId="19" borderId="7" xfId="4" applyFont="1" applyFill="1" applyBorder="1" applyAlignment="1">
      <alignment horizontal="center" vertical="center" wrapText="1"/>
    </xf>
    <xf numFmtId="0" fontId="3" fillId="18" borderId="8" xfId="4" applyFont="1" applyFill="1" applyBorder="1" applyAlignment="1">
      <alignment wrapText="1"/>
    </xf>
    <xf numFmtId="0" fontId="2" fillId="0" borderId="8" xfId="4" applyFont="1" applyBorder="1" applyAlignment="1">
      <alignment wrapText="1"/>
    </xf>
    <xf numFmtId="0" fontId="2" fillId="0" borderId="0" xfId="4" applyFont="1" applyAlignment="1">
      <alignment horizontal="justify" vertical="justify" wrapText="1"/>
    </xf>
    <xf numFmtId="0" fontId="4" fillId="0" borderId="12" xfId="4" applyFont="1" applyBorder="1" applyAlignment="1">
      <alignment wrapText="1"/>
    </xf>
    <xf numFmtId="0" fontId="2" fillId="0" borderId="12" xfId="4" applyFont="1" applyBorder="1" applyAlignment="1">
      <alignment wrapText="1"/>
    </xf>
    <xf numFmtId="0" fontId="11" fillId="2" borderId="11" xfId="4" applyFont="1" applyFill="1" applyBorder="1" applyAlignment="1">
      <alignment horizontal="left" vertical="center" wrapText="1"/>
    </xf>
    <xf numFmtId="0" fontId="11" fillId="2" borderId="24" xfId="4" applyFont="1" applyFill="1" applyBorder="1" applyAlignment="1">
      <alignment horizontal="left" vertical="center" wrapText="1"/>
    </xf>
    <xf numFmtId="0" fontId="0" fillId="2" borderId="7" xfId="0" applyFill="1" applyBorder="1" applyAlignment="1">
      <alignment wrapText="1"/>
    </xf>
    <xf numFmtId="0" fontId="11" fillId="2" borderId="11" xfId="4" applyFont="1" applyFill="1" applyBorder="1" applyAlignment="1">
      <alignment horizontal="left" vertical="center"/>
    </xf>
    <xf numFmtId="0" fontId="0" fillId="2" borderId="24" xfId="0" applyFill="1" applyBorder="1"/>
    <xf numFmtId="0" fontId="0" fillId="2" borderId="7" xfId="0" applyFill="1" applyBorder="1"/>
    <xf numFmtId="0" fontId="11" fillId="2" borderId="8" xfId="4" applyFont="1" applyFill="1" applyBorder="1" applyAlignment="1">
      <alignment wrapText="1"/>
    </xf>
    <xf numFmtId="0" fontId="0" fillId="2" borderId="8" xfId="0" applyFill="1" applyBorder="1" applyAlignment="1">
      <alignment wrapText="1"/>
    </xf>
    <xf numFmtId="0" fontId="11" fillId="2" borderId="8" xfId="4" applyFont="1" applyFill="1" applyBorder="1" applyAlignment="1">
      <alignment horizontal="left" vertical="center"/>
    </xf>
    <xf numFmtId="0" fontId="3" fillId="3" borderId="9" xfId="4" applyFont="1" applyFill="1" applyBorder="1" applyAlignment="1">
      <alignment wrapText="1"/>
    </xf>
    <xf numFmtId="0" fontId="3" fillId="3" borderId="10" xfId="4" applyFont="1" applyFill="1" applyBorder="1" applyAlignment="1">
      <alignment wrapText="1"/>
    </xf>
    <xf numFmtId="0" fontId="3" fillId="2" borderId="12" xfId="4" applyFont="1" applyFill="1" applyBorder="1" applyAlignment="1">
      <alignment wrapText="1"/>
    </xf>
    <xf numFmtId="0" fontId="2" fillId="2" borderId="12" xfId="4" applyFont="1" applyFill="1" applyBorder="1" applyAlignment="1">
      <alignment wrapText="1"/>
    </xf>
    <xf numFmtId="0" fontId="3" fillId="3" borderId="8" xfId="4" applyFont="1" applyFill="1" applyBorder="1" applyAlignment="1">
      <alignment horizontal="left" wrapText="1"/>
    </xf>
    <xf numFmtId="0" fontId="2" fillId="0" borderId="12" xfId="4" applyFont="1" applyBorder="1" applyAlignment="1">
      <alignment horizontal="justify" wrapText="1"/>
    </xf>
    <xf numFmtId="0" fontId="2" fillId="0" borderId="12" xfId="4" applyFont="1" applyBorder="1" applyAlignment="1">
      <alignment horizontal="left" wrapText="1"/>
    </xf>
    <xf numFmtId="0" fontId="3" fillId="3" borderId="8" xfId="4" applyFont="1" applyFill="1" applyBorder="1" applyAlignment="1">
      <alignment wrapText="1"/>
    </xf>
    <xf numFmtId="0" fontId="2" fillId="3" borderId="8" xfId="4" applyFont="1" applyFill="1" applyBorder="1" applyAlignment="1">
      <alignment wrapText="1"/>
    </xf>
    <xf numFmtId="0" fontId="28" fillId="0" borderId="0" xfId="18" applyNumberFormat="1" applyFont="1" applyAlignment="1">
      <alignment horizontal="center" wrapText="1"/>
    </xf>
    <xf numFmtId="0" fontId="0" fillId="0" borderId="0" xfId="0" applyAlignment="1">
      <alignment horizontal="center" wrapText="1"/>
    </xf>
    <xf numFmtId="0" fontId="28" fillId="0" borderId="0" xfId="18" applyNumberFormat="1" applyFont="1" applyAlignment="1">
      <alignment horizontal="center" vertical="center" wrapText="1"/>
    </xf>
    <xf numFmtId="0" fontId="3" fillId="2" borderId="0" xfId="4" applyFont="1" applyFill="1" applyAlignment="1">
      <alignment horizontal="left" wrapText="1"/>
    </xf>
    <xf numFmtId="0" fontId="2" fillId="0" borderId="0" xfId="3" applyFont="1" applyAlignment="1">
      <alignment horizontal="left" wrapText="1"/>
    </xf>
    <xf numFmtId="0" fontId="2" fillId="0" borderId="0" xfId="3" applyFont="1" applyBorder="1" applyAlignment="1">
      <alignment horizontal="left" wrapText="1"/>
    </xf>
    <xf numFmtId="0" fontId="3" fillId="2" borderId="0" xfId="4" applyFont="1" applyFill="1" applyBorder="1" applyAlignment="1">
      <alignment horizontal="left" wrapText="1"/>
    </xf>
    <xf numFmtId="0" fontId="2" fillId="0" borderId="0" xfId="3" applyFont="1" applyBorder="1" applyAlignment="1">
      <alignment horizontal="justify" wrapText="1"/>
    </xf>
    <xf numFmtId="0" fontId="0" fillId="0" borderId="0" xfId="0" applyBorder="1" applyAlignment="1">
      <alignment horizontal="justify" wrapText="1"/>
    </xf>
    <xf numFmtId="0" fontId="3" fillId="0" borderId="25" xfId="3" applyFont="1" applyBorder="1" applyAlignment="1">
      <alignment horizontal="left" wrapText="1"/>
    </xf>
    <xf numFmtId="0" fontId="3" fillId="0" borderId="0" xfId="3" applyFont="1" applyBorder="1" applyAlignment="1">
      <alignment horizontal="left" wrapText="1"/>
    </xf>
    <xf numFmtId="0" fontId="3" fillId="0" borderId="0" xfId="3" applyFont="1" applyBorder="1" applyAlignment="1">
      <alignment horizontal="justify" wrapText="1"/>
    </xf>
    <xf numFmtId="0" fontId="32" fillId="0" borderId="0" xfId="0" applyFont="1" applyBorder="1" applyAlignment="1">
      <alignment horizontal="justify" wrapText="1"/>
    </xf>
    <xf numFmtId="0" fontId="4" fillId="0" borderId="0" xfId="3" applyFont="1" applyBorder="1" applyAlignment="1">
      <alignment horizontal="justify" wrapText="1"/>
    </xf>
    <xf numFmtId="0" fontId="41" fillId="0" borderId="0" xfId="0" applyFont="1" applyBorder="1" applyAlignment="1">
      <alignment horizontal="justify" wrapText="1"/>
    </xf>
    <xf numFmtId="0" fontId="3" fillId="2" borderId="0" xfId="4" applyFont="1" applyFill="1" applyAlignment="1">
      <alignment horizontal="left" vertical="center" wrapText="1"/>
    </xf>
    <xf numFmtId="0" fontId="2" fillId="0" borderId="0" xfId="3" applyFont="1" applyAlignment="1">
      <alignment horizontal="left" vertical="center" wrapText="1"/>
    </xf>
    <xf numFmtId="0" fontId="0" fillId="0" borderId="0" xfId="0" applyAlignment="1">
      <alignment wrapText="1"/>
    </xf>
    <xf numFmtId="0" fontId="11" fillId="2" borderId="0" xfId="4" applyFont="1" applyFill="1" applyBorder="1" applyAlignment="1">
      <alignment horizontal="left" wrapText="1"/>
    </xf>
    <xf numFmtId="0" fontId="4" fillId="0" borderId="0" xfId="3" applyFont="1" applyBorder="1" applyAlignment="1">
      <alignment horizontal="left" wrapText="1"/>
    </xf>
    <xf numFmtId="0" fontId="11" fillId="2" borderId="0" xfId="4" applyFont="1" applyFill="1" applyAlignment="1">
      <alignment horizontal="left" wrapText="1"/>
    </xf>
    <xf numFmtId="0" fontId="4" fillId="0" borderId="0" xfId="3" applyFont="1" applyAlignment="1">
      <alignment horizontal="left" wrapText="1"/>
    </xf>
    <xf numFmtId="0" fontId="11" fillId="2" borderId="0" xfId="57" applyFont="1" applyFill="1" applyAlignment="1">
      <alignment horizontal="left" vertical="center" wrapText="1"/>
    </xf>
    <xf numFmtId="0" fontId="4" fillId="0" borderId="0" xfId="52" applyFont="1" applyAlignment="1">
      <alignment horizontal="left" vertical="center" wrapText="1"/>
    </xf>
    <xf numFmtId="0" fontId="5" fillId="2" borderId="26" xfId="0" applyFont="1" applyFill="1" applyBorder="1" applyAlignment="1">
      <alignment horizontal="justify" vertical="center" wrapText="1"/>
    </xf>
    <xf numFmtId="165" fontId="5" fillId="2" borderId="26" xfId="1" applyNumberFormat="1" applyFont="1" applyFill="1" applyBorder="1" applyAlignment="1">
      <alignment horizontal="center" vertical="center" wrapText="1"/>
    </xf>
    <xf numFmtId="0" fontId="5" fillId="2" borderId="46" xfId="0" applyFont="1" applyFill="1" applyBorder="1" applyAlignment="1">
      <alignment horizontal="justify" vertical="center" wrapText="1"/>
    </xf>
    <xf numFmtId="0" fontId="5" fillId="2" borderId="26"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26" xfId="49" applyFont="1" applyFill="1" applyBorder="1" applyAlignment="1">
      <alignment horizontal="justify" vertical="center" wrapText="1"/>
    </xf>
    <xf numFmtId="0" fontId="5" fillId="2" borderId="26" xfId="50" applyFont="1" applyFill="1" applyBorder="1" applyAlignment="1">
      <alignment horizontal="justify" vertical="center" wrapText="1"/>
    </xf>
    <xf numFmtId="0" fontId="5" fillId="2" borderId="26" xfId="50" applyFont="1" applyFill="1" applyBorder="1" applyAlignment="1">
      <alignment horizontal="left" vertical="center" wrapText="1"/>
    </xf>
    <xf numFmtId="0" fontId="5" fillId="2" borderId="26" xfId="49" applyFont="1" applyFill="1" applyBorder="1" applyAlignment="1">
      <alignment horizontal="left" vertical="center" wrapText="1"/>
    </xf>
    <xf numFmtId="0" fontId="5" fillId="2" borderId="42" xfId="50" applyFont="1" applyFill="1" applyBorder="1" applyAlignment="1">
      <alignment horizontal="left" vertical="center" wrapText="1"/>
    </xf>
    <xf numFmtId="0" fontId="5" fillId="2" borderId="43" xfId="50" applyFont="1" applyFill="1" applyBorder="1" applyAlignment="1">
      <alignment horizontal="left" vertical="center" wrapText="1"/>
    </xf>
    <xf numFmtId="0" fontId="5" fillId="2" borderId="44" xfId="50" applyFont="1" applyFill="1" applyBorder="1" applyAlignment="1">
      <alignment horizontal="left" vertical="center" wrapText="1"/>
    </xf>
  </cellXfs>
  <cellStyles count="102">
    <cellStyle name="Hipervínculo" xfId="60" builtinId="8"/>
    <cellStyle name="Hipervínculo 2" xfId="6"/>
    <cellStyle name="Millares" xfId="18" builtinId="3"/>
    <cellStyle name="Millares [0]" xfId="55" builtinId="6"/>
    <cellStyle name="Millares [0] 2" xfId="15"/>
    <cellStyle name="Millares [0] 2 2" xfId="26"/>
    <cellStyle name="Millares [0] 2 2 2" xfId="45"/>
    <cellStyle name="Millares [0] 2 2 2 2" xfId="95"/>
    <cellStyle name="Millares [0] 2 2 3" xfId="77"/>
    <cellStyle name="Millares [0] 2 3" xfId="36"/>
    <cellStyle name="Millares [0] 2 3 2" xfId="86"/>
    <cellStyle name="Millares [0] 2 4" xfId="68"/>
    <cellStyle name="Millares [0] 3" xfId="47"/>
    <cellStyle name="Millares [0] 3 2" xfId="97"/>
    <cellStyle name="Millares [0] 4" xfId="99"/>
    <cellStyle name="Millares 2" xfId="8"/>
    <cellStyle name="Millares 2 2" xfId="9"/>
    <cellStyle name="Millares 2 2 2" xfId="5"/>
    <cellStyle name="Millares 2 2 2 2" xfId="20"/>
    <cellStyle name="Millares 2 2 2 2 2" xfId="39"/>
    <cellStyle name="Millares 2 2 2 2 2 2" xfId="89"/>
    <cellStyle name="Millares 2 2 2 2 3" xfId="71"/>
    <cellStyle name="Millares 2 2 2 3" xfId="30"/>
    <cellStyle name="Millares 2 2 2 3 2" xfId="80"/>
    <cellStyle name="Millares 2 2 2 4" xfId="62"/>
    <cellStyle name="Millares 2 2 3" xfId="23"/>
    <cellStyle name="Millares 2 2 3 2" xfId="42"/>
    <cellStyle name="Millares 2 2 3 2 2" xfId="92"/>
    <cellStyle name="Millares 2 2 3 3" xfId="74"/>
    <cellStyle name="Millares 2 2 4" xfId="33"/>
    <cellStyle name="Millares 2 2 4 2" xfId="83"/>
    <cellStyle name="Millares 2 2 5" xfId="65"/>
    <cellStyle name="Millares 2 3" xfId="22"/>
    <cellStyle name="Millares 2 3 2" xfId="41"/>
    <cellStyle name="Millares 2 3 2 2" xfId="91"/>
    <cellStyle name="Millares 2 3 3" xfId="73"/>
    <cellStyle name="Millares 2 4" xfId="32"/>
    <cellStyle name="Millares 2 4 2" xfId="82"/>
    <cellStyle name="Millares 2 5" xfId="64"/>
    <cellStyle name="Millares 3" xfId="14"/>
    <cellStyle name="Millares 3 2" xfId="25"/>
    <cellStyle name="Millares 3 2 2" xfId="44"/>
    <cellStyle name="Millares 3 2 2 2" xfId="94"/>
    <cellStyle name="Millares 3 2 3" xfId="76"/>
    <cellStyle name="Millares 3 3" xfId="35"/>
    <cellStyle name="Millares 3 3 2" xfId="85"/>
    <cellStyle name="Millares 3 4" xfId="67"/>
    <cellStyle name="Millares 4" xfId="27"/>
    <cellStyle name="Millares 4 2" xfId="46"/>
    <cellStyle name="Millares 4 2 2" xfId="96"/>
    <cellStyle name="Millares 4 3" xfId="78"/>
    <cellStyle name="Millares 5" xfId="37"/>
    <cellStyle name="Millares 5 2" xfId="87"/>
    <cellStyle name="Millares 6" xfId="48"/>
    <cellStyle name="Millares 6 2" xfId="98"/>
    <cellStyle name="Millares 7" xfId="69"/>
    <cellStyle name="Millares 8" xfId="101"/>
    <cellStyle name="Moneda" xfId="1" builtinId="4"/>
    <cellStyle name="Moneda 2" xfId="10"/>
    <cellStyle name="Moneda 2 2" xfId="7"/>
    <cellStyle name="Moneda 2 2 2" xfId="21"/>
    <cellStyle name="Moneda 2 2 2 2" xfId="40"/>
    <cellStyle name="Moneda 2 2 2 2 2" xfId="90"/>
    <cellStyle name="Moneda 2 2 2 3" xfId="58"/>
    <cellStyle name="Moneda 2 2 2 3 2" xfId="100"/>
    <cellStyle name="Moneda 2 2 2 4" xfId="72"/>
    <cellStyle name="Moneda 2 2 3" xfId="31"/>
    <cellStyle name="Moneda 2 2 3 2" xfId="81"/>
    <cellStyle name="Moneda 2 2 4" xfId="63"/>
    <cellStyle name="Moneda 2 3" xfId="24"/>
    <cellStyle name="Moneda 2 3 2" xfId="43"/>
    <cellStyle name="Moneda 2 3 2 2" xfId="93"/>
    <cellStyle name="Moneda 2 3 3" xfId="75"/>
    <cellStyle name="Moneda 2 4" xfId="34"/>
    <cellStyle name="Moneda 2 4 2" xfId="84"/>
    <cellStyle name="Moneda 2 5" xfId="66"/>
    <cellStyle name="Moneda 3" xfId="19"/>
    <cellStyle name="Moneda 3 2" xfId="38"/>
    <cellStyle name="Moneda 3 2 2" xfId="88"/>
    <cellStyle name="Moneda 3 3" xfId="70"/>
    <cellStyle name="Moneda 4" xfId="29"/>
    <cellStyle name="Moneda 4 2" xfId="79"/>
    <cellStyle name="Moneda 5" xfId="61"/>
    <cellStyle name="Normal" xfId="0" builtinId="0"/>
    <cellStyle name="Normal 2" xfId="11"/>
    <cellStyle name="Normal 2 2" xfId="4"/>
    <cellStyle name="Normal 2 2 2" xfId="16"/>
    <cellStyle name="Normal 2 2 3" xfId="13"/>
    <cellStyle name="Normal 2 2 3 3" xfId="59"/>
    <cellStyle name="Normal 2 2 4" xfId="56"/>
    <cellStyle name="Normal 2 2 4 3" xfId="57"/>
    <cellStyle name="Normal 2 2 5" xfId="51"/>
    <cellStyle name="Normal 2 3" xfId="50"/>
    <cellStyle name="Normal 2 3 2" xfId="53"/>
    <cellStyle name="Normal 2 4" xfId="52"/>
    <cellStyle name="Normal 3" xfId="2"/>
    <cellStyle name="Normal 3 2" xfId="3"/>
    <cellStyle name="Normal 3 3" xfId="49"/>
    <cellStyle name="Normal 6" xfId="17"/>
    <cellStyle name="Porcentaje" xfId="54" builtinId="5"/>
    <cellStyle name="Porcentaje 2" xfId="12"/>
    <cellStyle name="Porcentaje 2 2" xfId="28"/>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21" Type="http://schemas.openxmlformats.org/officeDocument/2006/relationships/externalLink" Target="externalLinks/externalLink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638969</xdr:colOff>
      <xdr:row>25</xdr:row>
      <xdr:rowOff>575469</xdr:rowOff>
    </xdr:from>
    <xdr:to>
      <xdr:col>2</xdr:col>
      <xdr:colOff>867569</xdr:colOff>
      <xdr:row>25</xdr:row>
      <xdr:rowOff>689769</xdr:rowOff>
    </xdr:to>
    <xdr:sp macro="" textlink="">
      <xdr:nvSpPr>
        <xdr:cNvPr id="2" name="Rectángulo 1">
          <a:extLst>
            <a:ext uri="{FF2B5EF4-FFF2-40B4-BE49-F238E27FC236}">
              <a16:creationId xmlns:a16="http://schemas.microsoft.com/office/drawing/2014/main" id="{BC493488-C560-4D37-8EA3-C48157CC4CF1}"/>
            </a:ext>
          </a:extLst>
        </xdr:cNvPr>
        <xdr:cNvSpPr/>
      </xdr:nvSpPr>
      <xdr:spPr>
        <a:xfrm>
          <a:off x="2855119" y="8963819"/>
          <a:ext cx="228600" cy="1143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632619</xdr:colOff>
      <xdr:row>25</xdr:row>
      <xdr:rowOff>788988</xdr:rowOff>
    </xdr:from>
    <xdr:to>
      <xdr:col>2</xdr:col>
      <xdr:colOff>861219</xdr:colOff>
      <xdr:row>25</xdr:row>
      <xdr:rowOff>903288</xdr:rowOff>
    </xdr:to>
    <xdr:sp macro="" textlink="">
      <xdr:nvSpPr>
        <xdr:cNvPr id="3" name="Rectángulo 2">
          <a:extLst>
            <a:ext uri="{FF2B5EF4-FFF2-40B4-BE49-F238E27FC236}">
              <a16:creationId xmlns:a16="http://schemas.microsoft.com/office/drawing/2014/main" id="{D352AA5C-6F25-44EC-ABA3-DAD90B7EC688}"/>
            </a:ext>
          </a:extLst>
        </xdr:cNvPr>
        <xdr:cNvSpPr/>
      </xdr:nvSpPr>
      <xdr:spPr>
        <a:xfrm>
          <a:off x="2848769" y="9177338"/>
          <a:ext cx="228600" cy="11430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626269</xdr:colOff>
      <xdr:row>25</xdr:row>
      <xdr:rowOff>961231</xdr:rowOff>
    </xdr:from>
    <xdr:to>
      <xdr:col>2</xdr:col>
      <xdr:colOff>854869</xdr:colOff>
      <xdr:row>25</xdr:row>
      <xdr:rowOff>1075531</xdr:rowOff>
    </xdr:to>
    <xdr:sp macro="" textlink="">
      <xdr:nvSpPr>
        <xdr:cNvPr id="4" name="Rectángulo 3">
          <a:extLst>
            <a:ext uri="{FF2B5EF4-FFF2-40B4-BE49-F238E27FC236}">
              <a16:creationId xmlns:a16="http://schemas.microsoft.com/office/drawing/2014/main" id="{EC62EE6C-FA8D-4D4A-9672-F1107852FAA6}"/>
            </a:ext>
          </a:extLst>
        </xdr:cNvPr>
        <xdr:cNvSpPr/>
      </xdr:nvSpPr>
      <xdr:spPr>
        <a:xfrm>
          <a:off x="2842419" y="9349581"/>
          <a:ext cx="228600" cy="1143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0</xdr:colOff>
      <xdr:row>0</xdr:row>
      <xdr:rowOff>0</xdr:rowOff>
    </xdr:from>
    <xdr:ext cx="1283242" cy="529167"/>
    <xdr:pic>
      <xdr:nvPicPr>
        <xdr:cNvPr id="5" name="Imagen 4" descr="C:\Users\NELLY\Documents\UPRA\upra madr prosperidad color.jpg">
          <a:extLst>
            <a:ext uri="{FF2B5EF4-FFF2-40B4-BE49-F238E27FC236}">
              <a16:creationId xmlns:a16="http://schemas.microsoft.com/office/drawing/2014/main" id="{8632BF71-2D9E-4DC3-A4E5-BD8B9C505B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406400"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304800</xdr:colOff>
      <xdr:row>33</xdr:row>
      <xdr:rowOff>55564</xdr:rowOff>
    </xdr:to>
    <xdr:sp macro="" textlink="">
      <xdr:nvSpPr>
        <xdr:cNvPr id="2" name="AutoShape 1">
          <a:extLst>
            <a:ext uri="{FF2B5EF4-FFF2-40B4-BE49-F238E27FC236}">
              <a16:creationId xmlns:a16="http://schemas.microsoft.com/office/drawing/2014/main" id="{0D530E41-675B-46D3-9F43-012B9485BD35}"/>
            </a:ext>
          </a:extLst>
        </xdr:cNvPr>
        <xdr:cNvSpPr>
          <a:spLocks noChangeAspect="1" noChangeArrowheads="1"/>
        </xdr:cNvSpPr>
      </xdr:nvSpPr>
      <xdr:spPr bwMode="auto">
        <a:xfrm>
          <a:off x="0" y="5568950"/>
          <a:ext cx="304800" cy="2301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48</xdr:row>
      <xdr:rowOff>0</xdr:rowOff>
    </xdr:from>
    <xdr:ext cx="304800" cy="304097"/>
    <xdr:sp macro="" textlink="">
      <xdr:nvSpPr>
        <xdr:cNvPr id="3" name="AutoShape 1">
          <a:extLst>
            <a:ext uri="{FF2B5EF4-FFF2-40B4-BE49-F238E27FC236}">
              <a16:creationId xmlns:a16="http://schemas.microsoft.com/office/drawing/2014/main" id="{C05CEE11-F5AE-4BFB-B275-E463844DD3C3}"/>
            </a:ext>
          </a:extLst>
        </xdr:cNvPr>
        <xdr:cNvSpPr>
          <a:spLocks noChangeAspect="1" noChangeArrowheads="1"/>
        </xdr:cNvSpPr>
      </xdr:nvSpPr>
      <xdr:spPr bwMode="auto">
        <a:xfrm>
          <a:off x="0" y="113792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04097"/>
    <xdr:sp macro="" textlink="">
      <xdr:nvSpPr>
        <xdr:cNvPr id="4" name="AutoShape 1">
          <a:extLst>
            <a:ext uri="{FF2B5EF4-FFF2-40B4-BE49-F238E27FC236}">
              <a16:creationId xmlns:a16="http://schemas.microsoft.com/office/drawing/2014/main" id="{4137E07B-33CD-4255-9D01-B1802C9D73AB}"/>
            </a:ext>
          </a:extLst>
        </xdr:cNvPr>
        <xdr:cNvSpPr>
          <a:spLocks noChangeAspect="1" noChangeArrowheads="1"/>
        </xdr:cNvSpPr>
      </xdr:nvSpPr>
      <xdr:spPr bwMode="auto">
        <a:xfrm>
          <a:off x="0" y="14732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5" name="AutoShape 1">
          <a:extLst>
            <a:ext uri="{FF2B5EF4-FFF2-40B4-BE49-F238E27FC236}">
              <a16:creationId xmlns:a16="http://schemas.microsoft.com/office/drawing/2014/main" id="{A2B6F9E4-7267-4CDC-ACB3-F35D9A28CD5E}"/>
            </a:ext>
          </a:extLst>
        </xdr:cNvPr>
        <xdr:cNvSpPr>
          <a:spLocks noChangeAspect="1" noChangeArrowheads="1"/>
        </xdr:cNvSpPr>
      </xdr:nvSpPr>
      <xdr:spPr bwMode="auto">
        <a:xfrm>
          <a:off x="0" y="207899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097"/>
    <xdr:sp macro="" textlink="">
      <xdr:nvSpPr>
        <xdr:cNvPr id="6" name="AutoShape 1">
          <a:extLst>
            <a:ext uri="{FF2B5EF4-FFF2-40B4-BE49-F238E27FC236}">
              <a16:creationId xmlns:a16="http://schemas.microsoft.com/office/drawing/2014/main" id="{4C2DEC4B-93B1-4F50-85D9-7240860140F1}"/>
            </a:ext>
          </a:extLst>
        </xdr:cNvPr>
        <xdr:cNvSpPr>
          <a:spLocks noChangeAspect="1" noChangeArrowheads="1"/>
        </xdr:cNvSpPr>
      </xdr:nvSpPr>
      <xdr:spPr bwMode="auto">
        <a:xfrm>
          <a:off x="0" y="290512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304800</xdr:colOff>
      <xdr:row>31</xdr:row>
      <xdr:rowOff>52389</xdr:rowOff>
    </xdr:to>
    <xdr:sp macro="" textlink="">
      <xdr:nvSpPr>
        <xdr:cNvPr id="2" name="AutoShape 1">
          <a:extLst>
            <a:ext uri="{FF2B5EF4-FFF2-40B4-BE49-F238E27FC236}">
              <a16:creationId xmlns:a16="http://schemas.microsoft.com/office/drawing/2014/main" id="{EEA1D9B0-D0DD-49B6-8F73-C1E0BC3285E2}"/>
            </a:ext>
          </a:extLst>
        </xdr:cNvPr>
        <xdr:cNvSpPr>
          <a:spLocks noChangeAspect="1" noChangeArrowheads="1"/>
        </xdr:cNvSpPr>
      </xdr:nvSpPr>
      <xdr:spPr bwMode="auto">
        <a:xfrm>
          <a:off x="0" y="5568950"/>
          <a:ext cx="304800" cy="2301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43</xdr:row>
      <xdr:rowOff>0</xdr:rowOff>
    </xdr:from>
    <xdr:ext cx="304800" cy="304097"/>
    <xdr:sp macro="" textlink="">
      <xdr:nvSpPr>
        <xdr:cNvPr id="3" name="AutoShape 1">
          <a:extLst>
            <a:ext uri="{FF2B5EF4-FFF2-40B4-BE49-F238E27FC236}">
              <a16:creationId xmlns:a16="http://schemas.microsoft.com/office/drawing/2014/main" id="{DF7C561E-B448-47EA-A160-DD944666A5AF}"/>
            </a:ext>
          </a:extLst>
        </xdr:cNvPr>
        <xdr:cNvSpPr>
          <a:spLocks noChangeAspect="1" noChangeArrowheads="1"/>
        </xdr:cNvSpPr>
      </xdr:nvSpPr>
      <xdr:spPr bwMode="auto">
        <a:xfrm>
          <a:off x="0" y="115570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304800</xdr:colOff>
      <xdr:row>43</xdr:row>
      <xdr:rowOff>36516</xdr:rowOff>
    </xdr:to>
    <xdr:sp macro="" textlink="">
      <xdr:nvSpPr>
        <xdr:cNvPr id="2" name="AutoShape 1">
          <a:extLst>
            <a:ext uri="{FF2B5EF4-FFF2-40B4-BE49-F238E27FC236}">
              <a16:creationId xmlns:a16="http://schemas.microsoft.com/office/drawing/2014/main" id="{7062CF5F-5819-4DF4-8B6F-B27A9A188642}"/>
            </a:ext>
          </a:extLst>
        </xdr:cNvPr>
        <xdr:cNvSpPr>
          <a:spLocks noChangeAspect="1" noChangeArrowheads="1"/>
        </xdr:cNvSpPr>
      </xdr:nvSpPr>
      <xdr:spPr bwMode="auto">
        <a:xfrm>
          <a:off x="0" y="6985000"/>
          <a:ext cx="304800" cy="2143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46</xdr:row>
      <xdr:rowOff>0</xdr:rowOff>
    </xdr:from>
    <xdr:ext cx="304800" cy="304097"/>
    <xdr:sp macro="" textlink="">
      <xdr:nvSpPr>
        <xdr:cNvPr id="3" name="AutoShape 1">
          <a:extLst>
            <a:ext uri="{FF2B5EF4-FFF2-40B4-BE49-F238E27FC236}">
              <a16:creationId xmlns:a16="http://schemas.microsoft.com/office/drawing/2014/main" id="{5021D7F5-C1B3-487E-9F0C-2BC447AA61CD}"/>
            </a:ext>
          </a:extLst>
        </xdr:cNvPr>
        <xdr:cNvSpPr>
          <a:spLocks noChangeAspect="1" noChangeArrowheads="1"/>
        </xdr:cNvSpPr>
      </xdr:nvSpPr>
      <xdr:spPr bwMode="auto">
        <a:xfrm>
          <a:off x="0" y="108077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304097"/>
    <xdr:sp macro="" textlink="">
      <xdr:nvSpPr>
        <xdr:cNvPr id="4" name="AutoShape 1">
          <a:extLst>
            <a:ext uri="{FF2B5EF4-FFF2-40B4-BE49-F238E27FC236}">
              <a16:creationId xmlns:a16="http://schemas.microsoft.com/office/drawing/2014/main" id="{C5166C48-0DDA-4F5B-908B-551571F5C005}"/>
            </a:ext>
          </a:extLst>
        </xdr:cNvPr>
        <xdr:cNvSpPr>
          <a:spLocks noChangeAspect="1" noChangeArrowheads="1"/>
        </xdr:cNvSpPr>
      </xdr:nvSpPr>
      <xdr:spPr bwMode="auto">
        <a:xfrm>
          <a:off x="0" y="118554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46</xdr:row>
      <xdr:rowOff>0</xdr:rowOff>
    </xdr:from>
    <xdr:ext cx="304800" cy="304097"/>
    <xdr:sp macro="" textlink="">
      <xdr:nvSpPr>
        <xdr:cNvPr id="5" name="AutoShape 1">
          <a:extLst>
            <a:ext uri="{FF2B5EF4-FFF2-40B4-BE49-F238E27FC236}">
              <a16:creationId xmlns:a16="http://schemas.microsoft.com/office/drawing/2014/main" id="{24EC54BA-C300-4DF7-8DC5-D90D1F81BFF8}"/>
            </a:ext>
          </a:extLst>
        </xdr:cNvPr>
        <xdr:cNvSpPr>
          <a:spLocks noChangeAspect="1" noChangeArrowheads="1"/>
        </xdr:cNvSpPr>
      </xdr:nvSpPr>
      <xdr:spPr bwMode="auto">
        <a:xfrm>
          <a:off x="0" y="3608917"/>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0</xdr:col>
      <xdr:colOff>304800</xdr:colOff>
      <xdr:row>45</xdr:row>
      <xdr:rowOff>52389</xdr:rowOff>
    </xdr:to>
    <xdr:sp macro="" textlink="">
      <xdr:nvSpPr>
        <xdr:cNvPr id="2" name="AutoShape 1">
          <a:extLst>
            <a:ext uri="{FF2B5EF4-FFF2-40B4-BE49-F238E27FC236}">
              <a16:creationId xmlns:a16="http://schemas.microsoft.com/office/drawing/2014/main" id="{FB1EB374-8CB8-4E42-ADC6-1E3816D11474}"/>
            </a:ext>
          </a:extLst>
        </xdr:cNvPr>
        <xdr:cNvSpPr>
          <a:spLocks noChangeAspect="1" noChangeArrowheads="1"/>
        </xdr:cNvSpPr>
      </xdr:nvSpPr>
      <xdr:spPr bwMode="auto">
        <a:xfrm>
          <a:off x="0" y="9334500"/>
          <a:ext cx="304800" cy="2338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51</xdr:row>
      <xdr:rowOff>0</xdr:rowOff>
    </xdr:from>
    <xdr:ext cx="304800" cy="304097"/>
    <xdr:sp macro="" textlink="">
      <xdr:nvSpPr>
        <xdr:cNvPr id="3" name="AutoShape 1">
          <a:extLst>
            <a:ext uri="{FF2B5EF4-FFF2-40B4-BE49-F238E27FC236}">
              <a16:creationId xmlns:a16="http://schemas.microsoft.com/office/drawing/2014/main" id="{42DFE397-72E9-48F2-A21E-09E3A9083E8D}"/>
            </a:ext>
          </a:extLst>
        </xdr:cNvPr>
        <xdr:cNvSpPr>
          <a:spLocks noChangeAspect="1" noChangeArrowheads="1"/>
        </xdr:cNvSpPr>
      </xdr:nvSpPr>
      <xdr:spPr bwMode="auto">
        <a:xfrm>
          <a:off x="0" y="13525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77</xdr:row>
      <xdr:rowOff>0</xdr:rowOff>
    </xdr:from>
    <xdr:ext cx="304800" cy="304097"/>
    <xdr:sp macro="" textlink="">
      <xdr:nvSpPr>
        <xdr:cNvPr id="4" name="AutoShape 1">
          <a:extLst>
            <a:ext uri="{FF2B5EF4-FFF2-40B4-BE49-F238E27FC236}">
              <a16:creationId xmlns:a16="http://schemas.microsoft.com/office/drawing/2014/main" id="{883C5827-EA30-41D9-96F3-B7BF73FA3497}"/>
            </a:ext>
          </a:extLst>
        </xdr:cNvPr>
        <xdr:cNvSpPr>
          <a:spLocks noChangeAspect="1" noChangeArrowheads="1"/>
        </xdr:cNvSpPr>
      </xdr:nvSpPr>
      <xdr:spPr bwMode="auto">
        <a:xfrm>
          <a:off x="0" y="18532929"/>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xdr:row>
      <xdr:rowOff>0</xdr:rowOff>
    </xdr:from>
    <xdr:ext cx="304800" cy="304097"/>
    <xdr:sp macro="" textlink="">
      <xdr:nvSpPr>
        <xdr:cNvPr id="5" name="AutoShape 1">
          <a:extLst>
            <a:ext uri="{FF2B5EF4-FFF2-40B4-BE49-F238E27FC236}">
              <a16:creationId xmlns:a16="http://schemas.microsoft.com/office/drawing/2014/main" id="{26E49E71-E91C-4A39-8998-804F5B7C63E5}"/>
            </a:ext>
          </a:extLst>
        </xdr:cNvPr>
        <xdr:cNvSpPr>
          <a:spLocks noChangeAspect="1" noChangeArrowheads="1"/>
        </xdr:cNvSpPr>
      </xdr:nvSpPr>
      <xdr:spPr bwMode="auto">
        <a:xfrm>
          <a:off x="0" y="36004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52</xdr:row>
      <xdr:rowOff>0</xdr:rowOff>
    </xdr:from>
    <xdr:ext cx="304800" cy="304097"/>
    <xdr:sp macro="" textlink="">
      <xdr:nvSpPr>
        <xdr:cNvPr id="6" name="AutoShape 1">
          <a:extLst>
            <a:ext uri="{FF2B5EF4-FFF2-40B4-BE49-F238E27FC236}">
              <a16:creationId xmlns:a16="http://schemas.microsoft.com/office/drawing/2014/main" id="{0AE375BA-60EC-40F5-B12A-5A163A06EB17}"/>
            </a:ext>
          </a:extLst>
        </xdr:cNvPr>
        <xdr:cNvSpPr>
          <a:spLocks noChangeAspect="1" noChangeArrowheads="1"/>
        </xdr:cNvSpPr>
      </xdr:nvSpPr>
      <xdr:spPr bwMode="auto">
        <a:xfrm>
          <a:off x="0" y="643164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78</xdr:row>
      <xdr:rowOff>0</xdr:rowOff>
    </xdr:from>
    <xdr:ext cx="304800" cy="304097"/>
    <xdr:sp macro="" textlink="">
      <xdr:nvSpPr>
        <xdr:cNvPr id="7" name="AutoShape 1">
          <a:extLst>
            <a:ext uri="{FF2B5EF4-FFF2-40B4-BE49-F238E27FC236}">
              <a16:creationId xmlns:a16="http://schemas.microsoft.com/office/drawing/2014/main" id="{2ABA55EF-36C2-4618-B73C-D781A6B22EEC}"/>
            </a:ext>
          </a:extLst>
        </xdr:cNvPr>
        <xdr:cNvSpPr>
          <a:spLocks noChangeAspect="1" noChangeArrowheads="1"/>
        </xdr:cNvSpPr>
      </xdr:nvSpPr>
      <xdr:spPr bwMode="auto">
        <a:xfrm>
          <a:off x="0" y="1614714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109</xdr:row>
      <xdr:rowOff>0</xdr:rowOff>
    </xdr:from>
    <xdr:ext cx="304800" cy="304097"/>
    <xdr:sp macro="" textlink="">
      <xdr:nvSpPr>
        <xdr:cNvPr id="8" name="AutoShape 1">
          <a:extLst>
            <a:ext uri="{FF2B5EF4-FFF2-40B4-BE49-F238E27FC236}">
              <a16:creationId xmlns:a16="http://schemas.microsoft.com/office/drawing/2014/main" id="{245E9EFC-96E7-499C-AEB9-E62660781063}"/>
            </a:ext>
          </a:extLst>
        </xdr:cNvPr>
        <xdr:cNvSpPr>
          <a:spLocks noChangeAspect="1" noChangeArrowheads="1"/>
        </xdr:cNvSpPr>
      </xdr:nvSpPr>
      <xdr:spPr bwMode="auto">
        <a:xfrm>
          <a:off x="0" y="24184429"/>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304097"/>
    <xdr:sp macro="" textlink="">
      <xdr:nvSpPr>
        <xdr:cNvPr id="9" name="AutoShape 1">
          <a:extLst>
            <a:ext uri="{FF2B5EF4-FFF2-40B4-BE49-F238E27FC236}">
              <a16:creationId xmlns:a16="http://schemas.microsoft.com/office/drawing/2014/main" id="{4E7346C6-7A08-4064-BBAC-C0AC48E891D2}"/>
            </a:ext>
          </a:extLst>
        </xdr:cNvPr>
        <xdr:cNvSpPr>
          <a:spLocks noChangeAspect="1" noChangeArrowheads="1"/>
        </xdr:cNvSpPr>
      </xdr:nvSpPr>
      <xdr:spPr bwMode="auto">
        <a:xfrm>
          <a:off x="0" y="32720643"/>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153</xdr:row>
      <xdr:rowOff>0</xdr:rowOff>
    </xdr:from>
    <xdr:ext cx="304800" cy="304097"/>
    <xdr:sp macro="" textlink="">
      <xdr:nvSpPr>
        <xdr:cNvPr id="10" name="AutoShape 1">
          <a:extLst>
            <a:ext uri="{FF2B5EF4-FFF2-40B4-BE49-F238E27FC236}">
              <a16:creationId xmlns:a16="http://schemas.microsoft.com/office/drawing/2014/main" id="{32FCBEBF-9A76-4C95-BF76-3AB9D4824E63}"/>
            </a:ext>
          </a:extLst>
        </xdr:cNvPr>
        <xdr:cNvSpPr>
          <a:spLocks noChangeAspect="1" noChangeArrowheads="1"/>
        </xdr:cNvSpPr>
      </xdr:nvSpPr>
      <xdr:spPr bwMode="auto">
        <a:xfrm>
          <a:off x="0" y="40485786"/>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333375</xdr:colOff>
      <xdr:row>0</xdr:row>
      <xdr:rowOff>0</xdr:rowOff>
    </xdr:from>
    <xdr:ext cx="1283242" cy="529167"/>
    <xdr:pic>
      <xdr:nvPicPr>
        <xdr:cNvPr id="2" name="Imagen 1" descr="C:\Users\NELLY\Documents\UPRA\upra madr prosperidad color.jpg">
          <a:extLst>
            <a:ext uri="{FF2B5EF4-FFF2-40B4-BE49-F238E27FC236}">
              <a16:creationId xmlns:a16="http://schemas.microsoft.com/office/drawing/2014/main" id="{0F16CDCA-957A-4632-8350-589ABEA27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390525"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15</xdr:col>
      <xdr:colOff>198436</xdr:colOff>
      <xdr:row>0</xdr:row>
      <xdr:rowOff>23806</xdr:rowOff>
    </xdr:from>
    <xdr:to>
      <xdr:col>16</xdr:col>
      <xdr:colOff>1338270</xdr:colOff>
      <xdr:row>2</xdr:row>
      <xdr:rowOff>154067</xdr:rowOff>
    </xdr:to>
    <xdr:pic>
      <xdr:nvPicPr>
        <xdr:cNvPr id="3" name="Imagen 2">
          <a:extLst>
            <a:ext uri="{FF2B5EF4-FFF2-40B4-BE49-F238E27FC236}">
              <a16:creationId xmlns:a16="http://schemas.microsoft.com/office/drawing/2014/main" id="{9689747B-BB2C-4D3D-B01C-56FFE7D006A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2193586" y="23806"/>
          <a:ext cx="2301884" cy="498561"/>
        </a:xfrm>
        <a:prstGeom prst="rect">
          <a:avLst/>
        </a:prstGeom>
      </xdr:spPr>
    </xdr:pic>
    <xdr:clientData/>
  </xdr:twoCellAnchor>
  <xdr:twoCellAnchor>
    <xdr:from>
      <xdr:col>11</xdr:col>
      <xdr:colOff>492950</xdr:colOff>
      <xdr:row>12</xdr:row>
      <xdr:rowOff>145143</xdr:rowOff>
    </xdr:from>
    <xdr:to>
      <xdr:col>15</xdr:col>
      <xdr:colOff>217715</xdr:colOff>
      <xdr:row>16</xdr:row>
      <xdr:rowOff>0</xdr:rowOff>
    </xdr:to>
    <xdr:sp macro="" textlink="">
      <xdr:nvSpPr>
        <xdr:cNvPr id="4" name="Rectángulo 3">
          <a:extLst>
            <a:ext uri="{FF2B5EF4-FFF2-40B4-BE49-F238E27FC236}">
              <a16:creationId xmlns:a16="http://schemas.microsoft.com/office/drawing/2014/main" id="{327C3A8E-24EB-411D-98D4-2466689C6544}"/>
            </a:ext>
          </a:extLst>
        </xdr:cNvPr>
        <xdr:cNvSpPr/>
      </xdr:nvSpPr>
      <xdr:spPr>
        <a:xfrm>
          <a:off x="9910000" y="9746343"/>
          <a:ext cx="2302865" cy="2706007"/>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83242" cy="529167"/>
    <xdr:pic>
      <xdr:nvPicPr>
        <xdr:cNvPr id="2" name="Imagen 1" descr="C:\Users\NELLY\Documents\UPRA\upra madr prosperidad color.jpg">
          <a:extLst>
            <a:ext uri="{FF2B5EF4-FFF2-40B4-BE49-F238E27FC236}">
              <a16:creationId xmlns:a16="http://schemas.microsoft.com/office/drawing/2014/main" id="{2D1BEEA5-542B-4ED9-84BB-B3D9A60766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5611"/>
        <a:stretch>
          <a:fillRect/>
        </a:stretch>
      </xdr:blipFill>
      <xdr:spPr bwMode="auto">
        <a:xfrm>
          <a:off x="0" y="0"/>
          <a:ext cx="1283242" cy="52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184324</xdr:colOff>
      <xdr:row>1</xdr:row>
      <xdr:rowOff>105834</xdr:rowOff>
    </xdr:from>
    <xdr:to>
      <xdr:col>9</xdr:col>
      <xdr:colOff>414521</xdr:colOff>
      <xdr:row>3</xdr:row>
      <xdr:rowOff>167480</xdr:rowOff>
    </xdr:to>
    <xdr:pic>
      <xdr:nvPicPr>
        <xdr:cNvPr id="3" name="Imagen 2">
          <a:extLst>
            <a:ext uri="{FF2B5EF4-FFF2-40B4-BE49-F238E27FC236}">
              <a16:creationId xmlns:a16="http://schemas.microsoft.com/office/drawing/2014/main" id="{E64B07E0-AD2C-4E13-9333-574ED6E8CA0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235" r="34137" b="13235"/>
        <a:stretch/>
      </xdr:blipFill>
      <xdr:spPr>
        <a:xfrm>
          <a:off x="13614574" y="289984"/>
          <a:ext cx="1938347" cy="5077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827616</xdr:colOff>
      <xdr:row>140</xdr:row>
      <xdr:rowOff>84667</xdr:rowOff>
    </xdr:from>
    <xdr:to>
      <xdr:col>2</xdr:col>
      <xdr:colOff>3153833</xdr:colOff>
      <xdr:row>152</xdr:row>
      <xdr:rowOff>45583</xdr:rowOff>
    </xdr:to>
    <xdr:pic>
      <xdr:nvPicPr>
        <xdr:cNvPr id="2" name="Imagen 1">
          <a:extLst>
            <a:ext uri="{FF2B5EF4-FFF2-40B4-BE49-F238E27FC236}">
              <a16:creationId xmlns:a16="http://schemas.microsoft.com/office/drawing/2014/main" id="{20F1D22C-97E7-4898-BA03-D1813CCD34B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62" r="18053"/>
        <a:stretch/>
      </xdr:blipFill>
      <xdr:spPr bwMode="auto">
        <a:xfrm>
          <a:off x="7882466" y="25110017"/>
          <a:ext cx="2326217" cy="2094516"/>
        </a:xfrm>
        <a:prstGeom prst="rect">
          <a:avLst/>
        </a:prstGeom>
        <a:noFill/>
        <a:ln w="12700">
          <a:solidFill>
            <a:schemeClr val="tx1"/>
          </a:solidFill>
        </a:ln>
        <a:extLst>
          <a:ext uri="{53640926-AAD7-44D8-BBD7-CCE9431645EC}">
            <a14:shadowObscured xmlns:a14="http://schemas.microsoft.com/office/drawing/2010/main"/>
          </a:ext>
        </a:extLst>
      </xdr:spPr>
    </xdr:pic>
    <xdr:clientData/>
  </xdr:twoCellAnchor>
  <xdr:twoCellAnchor editAs="oneCell">
    <xdr:from>
      <xdr:col>24</xdr:col>
      <xdr:colOff>467933</xdr:colOff>
      <xdr:row>158</xdr:row>
      <xdr:rowOff>16631</xdr:rowOff>
    </xdr:from>
    <xdr:to>
      <xdr:col>38</xdr:col>
      <xdr:colOff>90712</xdr:colOff>
      <xdr:row>174</xdr:row>
      <xdr:rowOff>107248</xdr:rowOff>
    </xdr:to>
    <xdr:pic>
      <xdr:nvPicPr>
        <xdr:cNvPr id="3" name="Imagen 2">
          <a:extLst>
            <a:ext uri="{FF2B5EF4-FFF2-40B4-BE49-F238E27FC236}">
              <a16:creationId xmlns:a16="http://schemas.microsoft.com/office/drawing/2014/main" id="{F9CC3BE4-3E76-4875-B201-DEC6F3DE03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13133" y="28255081"/>
          <a:ext cx="10913079" cy="2935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467933</xdr:colOff>
      <xdr:row>196</xdr:row>
      <xdr:rowOff>16631</xdr:rowOff>
    </xdr:from>
    <xdr:ext cx="10925778" cy="2993476"/>
    <xdr:pic>
      <xdr:nvPicPr>
        <xdr:cNvPr id="4" name="Imagen 3">
          <a:extLst>
            <a:ext uri="{FF2B5EF4-FFF2-40B4-BE49-F238E27FC236}">
              <a16:creationId xmlns:a16="http://schemas.microsoft.com/office/drawing/2014/main" id="{54BB2BAA-1D85-4C42-8ED3-FCF9401A2D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13133" y="35024181"/>
          <a:ext cx="10925778" cy="29934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304800</xdr:colOff>
      <xdr:row>32</xdr:row>
      <xdr:rowOff>52390</xdr:rowOff>
    </xdr:to>
    <xdr:sp macro="" textlink="">
      <xdr:nvSpPr>
        <xdr:cNvPr id="2" name="AutoShape 1">
          <a:extLst>
            <a:ext uri="{FF2B5EF4-FFF2-40B4-BE49-F238E27FC236}">
              <a16:creationId xmlns:a16="http://schemas.microsoft.com/office/drawing/2014/main" id="{07409E94-505C-49F7-A2DC-EA03630D5307}"/>
            </a:ext>
          </a:extLst>
        </xdr:cNvPr>
        <xdr:cNvSpPr>
          <a:spLocks noChangeAspect="1" noChangeArrowheads="1"/>
        </xdr:cNvSpPr>
      </xdr:nvSpPr>
      <xdr:spPr bwMode="auto">
        <a:xfrm>
          <a:off x="0" y="5308600"/>
          <a:ext cx="304800" cy="2301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50</xdr:row>
      <xdr:rowOff>0</xdr:rowOff>
    </xdr:from>
    <xdr:ext cx="304800" cy="304097"/>
    <xdr:sp macro="" textlink="">
      <xdr:nvSpPr>
        <xdr:cNvPr id="3" name="AutoShape 1">
          <a:extLst>
            <a:ext uri="{FF2B5EF4-FFF2-40B4-BE49-F238E27FC236}">
              <a16:creationId xmlns:a16="http://schemas.microsoft.com/office/drawing/2014/main" id="{88AB1F32-62FC-4FA2-983B-230FF0BC3074}"/>
            </a:ext>
          </a:extLst>
        </xdr:cNvPr>
        <xdr:cNvSpPr>
          <a:spLocks noChangeAspect="1" noChangeArrowheads="1"/>
        </xdr:cNvSpPr>
      </xdr:nvSpPr>
      <xdr:spPr bwMode="auto">
        <a:xfrm>
          <a:off x="0" y="95440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80</xdr:row>
      <xdr:rowOff>0</xdr:rowOff>
    </xdr:from>
    <xdr:to>
      <xdr:col>0</xdr:col>
      <xdr:colOff>304800</xdr:colOff>
      <xdr:row>81</xdr:row>
      <xdr:rowOff>52390</xdr:rowOff>
    </xdr:to>
    <xdr:sp macro="" textlink="">
      <xdr:nvSpPr>
        <xdr:cNvPr id="2" name="AutoShape 1">
          <a:extLst>
            <a:ext uri="{FF2B5EF4-FFF2-40B4-BE49-F238E27FC236}">
              <a16:creationId xmlns:a16="http://schemas.microsoft.com/office/drawing/2014/main" id="{7A6C605C-A966-4DB3-9B8D-E56807E4DD22}"/>
            </a:ext>
          </a:extLst>
        </xdr:cNvPr>
        <xdr:cNvSpPr>
          <a:spLocks noChangeAspect="1" noChangeArrowheads="1"/>
        </xdr:cNvSpPr>
      </xdr:nvSpPr>
      <xdr:spPr bwMode="auto">
        <a:xfrm>
          <a:off x="0" y="8972550"/>
          <a:ext cx="304800" cy="2301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117</xdr:row>
      <xdr:rowOff>0</xdr:rowOff>
    </xdr:from>
    <xdr:ext cx="304800" cy="304097"/>
    <xdr:sp macro="" textlink="">
      <xdr:nvSpPr>
        <xdr:cNvPr id="3" name="AutoShape 1">
          <a:extLst>
            <a:ext uri="{FF2B5EF4-FFF2-40B4-BE49-F238E27FC236}">
              <a16:creationId xmlns:a16="http://schemas.microsoft.com/office/drawing/2014/main" id="{701DD1A7-1186-4E2B-A72A-4DA45B411DD6}"/>
            </a:ext>
          </a:extLst>
        </xdr:cNvPr>
        <xdr:cNvSpPr>
          <a:spLocks noChangeAspect="1" noChangeArrowheads="1"/>
        </xdr:cNvSpPr>
      </xdr:nvSpPr>
      <xdr:spPr bwMode="auto">
        <a:xfrm>
          <a:off x="0" y="215709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115</xdr:row>
      <xdr:rowOff>0</xdr:rowOff>
    </xdr:from>
    <xdr:ext cx="304800" cy="232306"/>
    <xdr:sp macro="" textlink="">
      <xdr:nvSpPr>
        <xdr:cNvPr id="4" name="AutoShape 1">
          <a:extLst>
            <a:ext uri="{FF2B5EF4-FFF2-40B4-BE49-F238E27FC236}">
              <a16:creationId xmlns:a16="http://schemas.microsoft.com/office/drawing/2014/main" id="{428F7DCD-C38F-4402-BDE9-C6CD8ED2805A}"/>
            </a:ext>
          </a:extLst>
        </xdr:cNvPr>
        <xdr:cNvSpPr>
          <a:spLocks noChangeAspect="1" noChangeArrowheads="1"/>
        </xdr:cNvSpPr>
      </xdr:nvSpPr>
      <xdr:spPr bwMode="auto">
        <a:xfrm>
          <a:off x="0" y="20504150"/>
          <a:ext cx="304800" cy="232306"/>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304800</xdr:colOff>
      <xdr:row>33</xdr:row>
      <xdr:rowOff>33340</xdr:rowOff>
    </xdr:to>
    <xdr:sp macro="" textlink="">
      <xdr:nvSpPr>
        <xdr:cNvPr id="2" name="AutoShape 1">
          <a:extLst>
            <a:ext uri="{FF2B5EF4-FFF2-40B4-BE49-F238E27FC236}">
              <a16:creationId xmlns:a16="http://schemas.microsoft.com/office/drawing/2014/main" id="{B8E50937-466B-41C3-81F2-DCF6754A1044}"/>
            </a:ext>
          </a:extLst>
        </xdr:cNvPr>
        <xdr:cNvSpPr>
          <a:spLocks noChangeAspect="1" noChangeArrowheads="1"/>
        </xdr:cNvSpPr>
      </xdr:nvSpPr>
      <xdr:spPr bwMode="auto">
        <a:xfrm>
          <a:off x="0" y="5327650"/>
          <a:ext cx="304800" cy="2111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43</xdr:row>
      <xdr:rowOff>0</xdr:rowOff>
    </xdr:from>
    <xdr:ext cx="304800" cy="304097"/>
    <xdr:sp macro="" textlink="">
      <xdr:nvSpPr>
        <xdr:cNvPr id="3" name="AutoShape 1">
          <a:extLst>
            <a:ext uri="{FF2B5EF4-FFF2-40B4-BE49-F238E27FC236}">
              <a16:creationId xmlns:a16="http://schemas.microsoft.com/office/drawing/2014/main" id="{B189B546-33B1-450E-BA81-BF39E28C3FE9}"/>
            </a:ext>
          </a:extLst>
        </xdr:cNvPr>
        <xdr:cNvSpPr>
          <a:spLocks noChangeAspect="1" noChangeArrowheads="1"/>
        </xdr:cNvSpPr>
      </xdr:nvSpPr>
      <xdr:spPr bwMode="auto">
        <a:xfrm>
          <a:off x="0" y="95885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04097"/>
    <xdr:sp macro="" textlink="">
      <xdr:nvSpPr>
        <xdr:cNvPr id="4" name="AutoShape 1">
          <a:extLst>
            <a:ext uri="{FF2B5EF4-FFF2-40B4-BE49-F238E27FC236}">
              <a16:creationId xmlns:a16="http://schemas.microsoft.com/office/drawing/2014/main" id="{FFD7AE58-E879-42D0-AD39-9C00CB7A3D4D}"/>
            </a:ext>
          </a:extLst>
        </xdr:cNvPr>
        <xdr:cNvSpPr>
          <a:spLocks noChangeAspect="1" noChangeArrowheads="1"/>
        </xdr:cNvSpPr>
      </xdr:nvSpPr>
      <xdr:spPr bwMode="auto">
        <a:xfrm>
          <a:off x="0" y="164084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04800" cy="304097"/>
    <xdr:sp macro="" textlink="">
      <xdr:nvSpPr>
        <xdr:cNvPr id="5" name="AutoShape 1">
          <a:extLst>
            <a:ext uri="{FF2B5EF4-FFF2-40B4-BE49-F238E27FC236}">
              <a16:creationId xmlns:a16="http://schemas.microsoft.com/office/drawing/2014/main" id="{4EB91C7C-B5D4-4E57-8E57-4B0AF88E2A0F}"/>
            </a:ext>
          </a:extLst>
        </xdr:cNvPr>
        <xdr:cNvSpPr>
          <a:spLocks noChangeAspect="1" noChangeArrowheads="1"/>
        </xdr:cNvSpPr>
      </xdr:nvSpPr>
      <xdr:spPr bwMode="auto">
        <a:xfrm>
          <a:off x="0" y="164084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04097"/>
    <xdr:sp macro="" textlink="">
      <xdr:nvSpPr>
        <xdr:cNvPr id="6" name="AutoShape 1">
          <a:extLst>
            <a:ext uri="{FF2B5EF4-FFF2-40B4-BE49-F238E27FC236}">
              <a16:creationId xmlns:a16="http://schemas.microsoft.com/office/drawing/2014/main" id="{250FB0AA-352A-44C9-9855-CD37DAD3DD58}"/>
            </a:ext>
          </a:extLst>
        </xdr:cNvPr>
        <xdr:cNvSpPr>
          <a:spLocks noChangeAspect="1" noChangeArrowheads="1"/>
        </xdr:cNvSpPr>
      </xdr:nvSpPr>
      <xdr:spPr bwMode="auto">
        <a:xfrm>
          <a:off x="0" y="236410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143</xdr:row>
      <xdr:rowOff>0</xdr:rowOff>
    </xdr:from>
    <xdr:ext cx="304800" cy="304097"/>
    <xdr:sp macro="" textlink="">
      <xdr:nvSpPr>
        <xdr:cNvPr id="7" name="AutoShape 1">
          <a:extLst>
            <a:ext uri="{FF2B5EF4-FFF2-40B4-BE49-F238E27FC236}">
              <a16:creationId xmlns:a16="http://schemas.microsoft.com/office/drawing/2014/main" id="{D4ACF0D1-1143-46D4-BC55-45607220AA0F}"/>
            </a:ext>
          </a:extLst>
        </xdr:cNvPr>
        <xdr:cNvSpPr>
          <a:spLocks noChangeAspect="1" noChangeArrowheads="1"/>
        </xdr:cNvSpPr>
      </xdr:nvSpPr>
      <xdr:spPr bwMode="auto">
        <a:xfrm>
          <a:off x="0" y="311912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304800</xdr:colOff>
      <xdr:row>33</xdr:row>
      <xdr:rowOff>36515</xdr:rowOff>
    </xdr:to>
    <xdr:sp macro="" textlink="">
      <xdr:nvSpPr>
        <xdr:cNvPr id="2" name="AutoShape 1">
          <a:extLst>
            <a:ext uri="{FF2B5EF4-FFF2-40B4-BE49-F238E27FC236}">
              <a16:creationId xmlns:a16="http://schemas.microsoft.com/office/drawing/2014/main" id="{888A93CC-0E86-4660-9B57-1CA3CCD255AA}"/>
            </a:ext>
          </a:extLst>
        </xdr:cNvPr>
        <xdr:cNvSpPr>
          <a:spLocks noChangeAspect="1" noChangeArrowheads="1"/>
        </xdr:cNvSpPr>
      </xdr:nvSpPr>
      <xdr:spPr bwMode="auto">
        <a:xfrm>
          <a:off x="0" y="6000750"/>
          <a:ext cx="304800" cy="2143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35</xdr:row>
      <xdr:rowOff>0</xdr:rowOff>
    </xdr:from>
    <xdr:ext cx="304800" cy="304097"/>
    <xdr:sp macro="" textlink="">
      <xdr:nvSpPr>
        <xdr:cNvPr id="3" name="AutoShape 1">
          <a:extLst>
            <a:ext uri="{FF2B5EF4-FFF2-40B4-BE49-F238E27FC236}">
              <a16:creationId xmlns:a16="http://schemas.microsoft.com/office/drawing/2014/main" id="{1FE39561-62B7-4A9A-85C2-27B0F2EC6DCE}"/>
            </a:ext>
          </a:extLst>
        </xdr:cNvPr>
        <xdr:cNvSpPr>
          <a:spLocks noChangeAspect="1" noChangeArrowheads="1"/>
        </xdr:cNvSpPr>
      </xdr:nvSpPr>
      <xdr:spPr bwMode="auto">
        <a:xfrm>
          <a:off x="0" y="868045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304800</xdr:colOff>
      <xdr:row>35</xdr:row>
      <xdr:rowOff>52390</xdr:rowOff>
    </xdr:to>
    <xdr:sp macro="" textlink="">
      <xdr:nvSpPr>
        <xdr:cNvPr id="2" name="AutoShape 1">
          <a:extLst>
            <a:ext uri="{FF2B5EF4-FFF2-40B4-BE49-F238E27FC236}">
              <a16:creationId xmlns:a16="http://schemas.microsoft.com/office/drawing/2014/main" id="{024DFBC0-E3EE-4937-B37D-73EA789DEAF6}"/>
            </a:ext>
          </a:extLst>
        </xdr:cNvPr>
        <xdr:cNvSpPr>
          <a:spLocks noChangeAspect="1" noChangeArrowheads="1"/>
        </xdr:cNvSpPr>
      </xdr:nvSpPr>
      <xdr:spPr bwMode="auto">
        <a:xfrm>
          <a:off x="0" y="5372100"/>
          <a:ext cx="304800" cy="2301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50</xdr:row>
      <xdr:rowOff>0</xdr:rowOff>
    </xdr:from>
    <xdr:ext cx="304800" cy="304097"/>
    <xdr:sp macro="" textlink="">
      <xdr:nvSpPr>
        <xdr:cNvPr id="3" name="AutoShape 1">
          <a:extLst>
            <a:ext uri="{FF2B5EF4-FFF2-40B4-BE49-F238E27FC236}">
              <a16:creationId xmlns:a16="http://schemas.microsoft.com/office/drawing/2014/main" id="{22E6772B-A49A-41B8-A0D8-03AAD4D7BF5B}"/>
            </a:ext>
          </a:extLst>
        </xdr:cNvPr>
        <xdr:cNvSpPr>
          <a:spLocks noChangeAspect="1" noChangeArrowheads="1"/>
        </xdr:cNvSpPr>
      </xdr:nvSpPr>
      <xdr:spPr bwMode="auto">
        <a:xfrm>
          <a:off x="0" y="11417300"/>
          <a:ext cx="304800" cy="3040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inciencias.gov.co/sites/default/files/upload/reglamentacion/resolucion_0418-2020.pdf" TargetMode="External"/><Relationship Id="rId1" Type="http://schemas.openxmlformats.org/officeDocument/2006/relationships/hyperlink" Target="https://colaboracion.dnp.gov.co/cdt/contratacion/tabla%20de%20honorarios%202015-2.pdf?web"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dnp.gov.co/DNP/contratac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L48"/>
  <sheetViews>
    <sheetView showGridLines="0" topLeftCell="A44" zoomScale="90" zoomScaleNormal="90" workbookViewId="0">
      <selection activeCell="C50" sqref="C50"/>
    </sheetView>
  </sheetViews>
  <sheetFormatPr baseColWidth="10" defaultColWidth="10.85546875" defaultRowHeight="14.25" x14ac:dyDescent="0.2"/>
  <cols>
    <col min="1" max="1" width="5.85546875" style="1" customWidth="1"/>
    <col min="2" max="2" width="25.85546875" style="1" customWidth="1"/>
    <col min="3" max="3" width="103.42578125" style="1" customWidth="1"/>
    <col min="4" max="16384" width="10.85546875" style="1"/>
  </cols>
  <sheetData>
    <row r="1" spans="2:12" ht="24.75" customHeight="1" x14ac:dyDescent="0.2">
      <c r="B1" s="751"/>
      <c r="C1" s="751"/>
      <c r="E1" s="2"/>
      <c r="F1" s="2"/>
      <c r="G1" s="2"/>
      <c r="H1" s="2"/>
      <c r="I1" s="2"/>
      <c r="J1" s="2"/>
      <c r="K1" s="2"/>
      <c r="L1" s="2"/>
    </row>
    <row r="2" spans="2:12" ht="18" customHeight="1" thickBot="1" x14ac:dyDescent="0.3">
      <c r="B2" s="752" t="s">
        <v>0</v>
      </c>
      <c r="C2" s="752"/>
      <c r="D2" s="3"/>
      <c r="E2" s="2"/>
      <c r="F2" s="2"/>
      <c r="G2" s="2"/>
      <c r="H2" s="2"/>
      <c r="I2" s="2"/>
      <c r="J2" s="2"/>
      <c r="K2" s="2"/>
      <c r="L2" s="2"/>
    </row>
    <row r="3" spans="2:12" ht="13.35" customHeight="1" x14ac:dyDescent="0.2">
      <c r="B3" s="753" t="s">
        <v>401</v>
      </c>
      <c r="C3" s="754"/>
      <c r="D3" s="2"/>
      <c r="E3" s="2"/>
      <c r="F3" s="2"/>
      <c r="G3" s="2"/>
      <c r="H3" s="2"/>
      <c r="I3" s="2"/>
      <c r="J3" s="2"/>
      <c r="K3" s="2"/>
      <c r="L3" s="2"/>
    </row>
    <row r="4" spans="2:12" s="5" customFormat="1" ht="98.1" customHeight="1" thickBot="1" x14ac:dyDescent="0.25">
      <c r="B4" s="755"/>
      <c r="C4" s="756"/>
      <c r="D4" s="4"/>
      <c r="E4" s="2"/>
      <c r="F4" s="2"/>
      <c r="G4" s="2"/>
      <c r="H4" s="2"/>
      <c r="I4" s="2"/>
      <c r="J4" s="2"/>
      <c r="K4" s="2"/>
      <c r="L4" s="2"/>
    </row>
    <row r="5" spans="2:12" s="5" customFormat="1" ht="24.75" customHeight="1" thickBot="1" x14ac:dyDescent="0.25">
      <c r="B5" s="6"/>
      <c r="C5" s="6"/>
      <c r="D5" s="4"/>
      <c r="E5" s="4"/>
      <c r="F5" s="4"/>
      <c r="G5" s="4"/>
      <c r="H5" s="4"/>
      <c r="I5" s="4"/>
      <c r="J5" s="4"/>
    </row>
    <row r="6" spans="2:12" s="8" customFormat="1" ht="20.100000000000001" customHeight="1" thickBot="1" x14ac:dyDescent="0.3">
      <c r="B6" s="757" t="s">
        <v>1</v>
      </c>
      <c r="C6" s="758"/>
      <c r="D6" s="7"/>
      <c r="E6" s="7"/>
      <c r="F6" s="7"/>
      <c r="G6" s="7"/>
      <c r="H6" s="7"/>
      <c r="I6" s="7"/>
      <c r="J6" s="7"/>
    </row>
    <row r="7" spans="2:12" s="5" customFormat="1" ht="11.45" customHeight="1" x14ac:dyDescent="0.2">
      <c r="B7" s="759" t="s">
        <v>2</v>
      </c>
      <c r="C7" s="759"/>
      <c r="D7" s="4"/>
      <c r="E7" s="4"/>
      <c r="F7" s="4"/>
      <c r="G7" s="4"/>
      <c r="H7" s="4"/>
      <c r="I7" s="4"/>
      <c r="J7" s="4"/>
    </row>
    <row r="8" spans="2:12" s="4" customFormat="1" ht="21.95" customHeight="1" x14ac:dyDescent="0.2">
      <c r="B8" s="743"/>
      <c r="C8" s="743"/>
    </row>
    <row r="9" spans="2:12" s="5" customFormat="1" ht="24.75" customHeight="1" x14ac:dyDescent="0.2">
      <c r="B9" s="6"/>
      <c r="C9" s="6"/>
      <c r="D9" s="4"/>
      <c r="E9" s="4"/>
      <c r="F9" s="4"/>
      <c r="G9" s="4"/>
      <c r="H9" s="4"/>
      <c r="I9" s="4"/>
      <c r="J9" s="4"/>
    </row>
    <row r="10" spans="2:12" s="8" customFormat="1" ht="15" x14ac:dyDescent="0.25">
      <c r="B10" s="744" t="s">
        <v>3</v>
      </c>
      <c r="C10" s="744"/>
      <c r="D10" s="7"/>
      <c r="E10" s="7"/>
      <c r="F10" s="7"/>
      <c r="G10" s="7"/>
      <c r="H10" s="7"/>
      <c r="I10" s="7"/>
      <c r="J10" s="7"/>
    </row>
    <row r="11" spans="2:12" s="5" customFormat="1" ht="11.45" customHeight="1" x14ac:dyDescent="0.2">
      <c r="B11" s="743" t="s">
        <v>4</v>
      </c>
      <c r="C11" s="743"/>
      <c r="D11" s="4"/>
      <c r="E11" s="4"/>
      <c r="F11" s="4"/>
      <c r="G11" s="4"/>
      <c r="H11" s="4"/>
      <c r="I11" s="4"/>
      <c r="J11" s="4"/>
    </row>
    <row r="12" spans="2:12" s="4" customFormat="1" ht="35.1" customHeight="1" x14ac:dyDescent="0.2">
      <c r="B12" s="743"/>
      <c r="C12" s="743"/>
    </row>
    <row r="13" spans="2:12" s="5" customFormat="1" ht="24.75" customHeight="1" x14ac:dyDescent="0.2">
      <c r="B13" s="6"/>
      <c r="C13" s="6"/>
      <c r="D13" s="4"/>
      <c r="E13" s="4"/>
      <c r="F13" s="4"/>
      <c r="G13" s="4"/>
      <c r="H13" s="4"/>
      <c r="I13" s="4"/>
      <c r="J13" s="4"/>
    </row>
    <row r="14" spans="2:12" s="8" customFormat="1" ht="15" x14ac:dyDescent="0.25">
      <c r="B14" s="744" t="s">
        <v>5</v>
      </c>
      <c r="C14" s="744"/>
      <c r="D14" s="7"/>
      <c r="E14" s="7"/>
      <c r="F14" s="7"/>
      <c r="G14" s="7"/>
      <c r="H14" s="7"/>
      <c r="I14" s="7"/>
      <c r="J14" s="7"/>
    </row>
    <row r="15" spans="2:12" s="5" customFormat="1" ht="24.75" customHeight="1" x14ac:dyDescent="0.2">
      <c r="B15" s="745" t="s">
        <v>6</v>
      </c>
      <c r="C15" s="746"/>
      <c r="D15" s="4"/>
      <c r="E15" s="4"/>
      <c r="F15" s="4"/>
      <c r="G15" s="4"/>
      <c r="H15" s="4"/>
      <c r="I15" s="4"/>
      <c r="J15" s="4"/>
    </row>
    <row r="16" spans="2:12" s="5" customFormat="1" ht="12.75" customHeight="1" x14ac:dyDescent="0.2">
      <c r="D16" s="4"/>
      <c r="E16" s="4"/>
      <c r="F16" s="4"/>
      <c r="G16" s="4"/>
      <c r="H16" s="4"/>
      <c r="I16" s="4"/>
      <c r="J16" s="4"/>
    </row>
    <row r="17" spans="2:10" s="8" customFormat="1" ht="15" x14ac:dyDescent="0.25">
      <c r="B17" s="744" t="s">
        <v>7</v>
      </c>
      <c r="C17" s="744"/>
      <c r="D17" s="7"/>
      <c r="E17" s="7"/>
      <c r="F17" s="7"/>
      <c r="G17" s="7"/>
      <c r="H17" s="7"/>
      <c r="I17" s="7"/>
      <c r="J17" s="7"/>
    </row>
    <row r="18" spans="2:10" s="5" customFormat="1" ht="60.95" customHeight="1" x14ac:dyDescent="0.2">
      <c r="B18" s="743" t="s">
        <v>8</v>
      </c>
      <c r="C18" s="743"/>
      <c r="D18" s="4"/>
      <c r="E18" s="4"/>
      <c r="F18" s="4"/>
      <c r="G18" s="4"/>
      <c r="H18" s="4"/>
      <c r="I18" s="4"/>
      <c r="J18" s="4"/>
    </row>
    <row r="19" spans="2:10" s="5" customFormat="1" ht="12.75" customHeight="1" x14ac:dyDescent="0.2">
      <c r="D19" s="4"/>
      <c r="E19" s="4"/>
      <c r="F19" s="4"/>
      <c r="G19" s="4"/>
      <c r="H19" s="4"/>
      <c r="I19" s="4"/>
      <c r="J19" s="4"/>
    </row>
    <row r="20" spans="2:10" s="5" customFormat="1" ht="21.75" customHeight="1" x14ac:dyDescent="0.2">
      <c r="B20" s="6"/>
      <c r="C20" s="6"/>
      <c r="D20" s="4"/>
      <c r="E20" s="4"/>
      <c r="F20" s="4"/>
      <c r="G20" s="4"/>
      <c r="H20" s="4"/>
      <c r="I20" s="4"/>
      <c r="J20" s="4"/>
    </row>
    <row r="21" spans="2:10" s="5" customFormat="1" ht="15" x14ac:dyDescent="0.2">
      <c r="B21" s="744" t="s">
        <v>9</v>
      </c>
      <c r="C21" s="744"/>
      <c r="D21" s="4"/>
      <c r="E21" s="4"/>
      <c r="F21" s="4"/>
      <c r="G21" s="4"/>
      <c r="H21" s="4"/>
      <c r="I21" s="4"/>
      <c r="J21" s="4"/>
    </row>
    <row r="22" spans="2:10" s="5" customFormat="1" ht="68.099999999999994" customHeight="1" x14ac:dyDescent="0.2">
      <c r="B22" s="747" t="s">
        <v>1358</v>
      </c>
      <c r="C22" s="747"/>
      <c r="D22" s="4"/>
      <c r="E22" s="4"/>
      <c r="F22" s="4"/>
      <c r="G22" s="4"/>
      <c r="H22" s="4"/>
      <c r="I22" s="4"/>
      <c r="J22" s="4"/>
    </row>
    <row r="23" spans="2:10" s="5" customFormat="1" ht="30.95" customHeight="1" x14ac:dyDescent="0.2">
      <c r="B23" s="9"/>
      <c r="C23" s="9"/>
      <c r="D23" s="4"/>
      <c r="E23" s="4"/>
      <c r="F23" s="4"/>
      <c r="G23" s="4"/>
      <c r="H23" s="4"/>
      <c r="I23" s="4"/>
      <c r="J23" s="4"/>
    </row>
    <row r="24" spans="2:10" s="5" customFormat="1" ht="18.75" customHeight="1" x14ac:dyDescent="0.2">
      <c r="B24" s="10" t="s">
        <v>10</v>
      </c>
      <c r="C24" s="10" t="s">
        <v>11</v>
      </c>
      <c r="D24" s="4"/>
      <c r="E24" s="4"/>
      <c r="F24" s="4"/>
      <c r="G24" s="4"/>
      <c r="H24" s="4"/>
      <c r="I24" s="4"/>
      <c r="J24" s="4"/>
    </row>
    <row r="25" spans="2:10" s="5" customFormat="1" ht="45" x14ac:dyDescent="0.2">
      <c r="B25" s="11" t="s">
        <v>12</v>
      </c>
      <c r="C25" s="12" t="s">
        <v>1366</v>
      </c>
      <c r="D25" s="4"/>
      <c r="E25" s="4"/>
      <c r="F25" s="4"/>
      <c r="G25" s="4"/>
      <c r="H25" s="4"/>
      <c r="I25" s="4"/>
      <c r="J25" s="4"/>
    </row>
    <row r="26" spans="2:10" s="5" customFormat="1" ht="95.45" customHeight="1" x14ac:dyDescent="0.2">
      <c r="B26" s="13" t="s">
        <v>13</v>
      </c>
      <c r="C26" s="14" t="s">
        <v>1367</v>
      </c>
      <c r="D26" s="4"/>
      <c r="E26" s="4"/>
      <c r="F26" s="4"/>
      <c r="G26" s="4"/>
      <c r="H26" s="4"/>
      <c r="I26" s="4"/>
      <c r="J26" s="4"/>
    </row>
    <row r="27" spans="2:10" s="5" customFormat="1" ht="42" customHeight="1" x14ac:dyDescent="0.2">
      <c r="B27" s="10" t="s">
        <v>14</v>
      </c>
      <c r="C27" s="14" t="s">
        <v>62</v>
      </c>
      <c r="D27" s="4"/>
      <c r="E27" s="4"/>
      <c r="F27" s="4"/>
      <c r="G27" s="4"/>
      <c r="H27" s="4"/>
      <c r="I27" s="4"/>
      <c r="J27" s="4"/>
    </row>
    <row r="28" spans="2:10" s="5" customFormat="1" ht="48" customHeight="1" x14ac:dyDescent="0.2">
      <c r="B28" s="10" t="s">
        <v>15</v>
      </c>
      <c r="C28" s="14" t="s">
        <v>16</v>
      </c>
      <c r="D28" s="4"/>
      <c r="E28" s="4"/>
      <c r="F28" s="4"/>
      <c r="G28" s="4"/>
      <c r="H28" s="4"/>
      <c r="I28" s="4"/>
      <c r="J28" s="4"/>
    </row>
    <row r="29" spans="2:10" s="5" customFormat="1" ht="27.75" customHeight="1" x14ac:dyDescent="0.2">
      <c r="B29" s="6"/>
      <c r="C29" s="6"/>
      <c r="D29" s="4"/>
      <c r="E29" s="4"/>
      <c r="F29" s="4"/>
      <c r="G29" s="4"/>
      <c r="H29" s="4"/>
      <c r="I29" s="4"/>
      <c r="J29" s="4"/>
    </row>
    <row r="30" spans="2:10" s="15" customFormat="1" ht="29.1" customHeight="1" x14ac:dyDescent="0.25">
      <c r="B30" s="748" t="s">
        <v>17</v>
      </c>
      <c r="C30" s="749"/>
    </row>
    <row r="31" spans="2:10" s="5" customFormat="1" ht="48.6" customHeight="1" x14ac:dyDescent="0.2">
      <c r="B31" s="743" t="s">
        <v>18</v>
      </c>
      <c r="C31" s="743"/>
      <c r="D31" s="4"/>
      <c r="E31" s="4"/>
      <c r="F31" s="4"/>
      <c r="G31" s="4"/>
      <c r="H31" s="4"/>
      <c r="I31" s="4"/>
      <c r="J31" s="4"/>
    </row>
    <row r="32" spans="2:10" ht="15" x14ac:dyDescent="0.25">
      <c r="B32" s="16" t="s">
        <v>10</v>
      </c>
      <c r="C32" s="16" t="s">
        <v>11</v>
      </c>
    </row>
    <row r="33" spans="2:10" ht="45" x14ac:dyDescent="0.2">
      <c r="B33" s="17" t="s">
        <v>19</v>
      </c>
      <c r="C33" s="18" t="s">
        <v>1368</v>
      </c>
      <c r="D33" s="2"/>
      <c r="E33" s="2"/>
      <c r="F33" s="2"/>
      <c r="G33" s="2"/>
      <c r="H33" s="2"/>
      <c r="I33" s="2"/>
      <c r="J33" s="2"/>
    </row>
    <row r="34" spans="2:10" ht="30" x14ac:dyDescent="0.2">
      <c r="B34" s="13" t="s">
        <v>20</v>
      </c>
      <c r="C34" s="18" t="s">
        <v>21</v>
      </c>
      <c r="D34" s="2"/>
      <c r="E34" s="2"/>
      <c r="F34" s="2"/>
      <c r="G34" s="2"/>
      <c r="H34" s="2"/>
      <c r="I34" s="2"/>
      <c r="J34" s="2"/>
    </row>
    <row r="35" spans="2:10" ht="75.95" customHeight="1" x14ac:dyDescent="0.2">
      <c r="B35" s="13" t="s">
        <v>22</v>
      </c>
      <c r="C35" s="14" t="s">
        <v>1369</v>
      </c>
    </row>
    <row r="36" spans="2:10" ht="72" customHeight="1" x14ac:dyDescent="0.2">
      <c r="B36" s="13" t="s">
        <v>23</v>
      </c>
      <c r="C36" s="14" t="s">
        <v>1370</v>
      </c>
    </row>
    <row r="37" spans="2:10" ht="73.5" customHeight="1" x14ac:dyDescent="0.2">
      <c r="B37" s="13" t="s">
        <v>24</v>
      </c>
      <c r="C37" s="12" t="s">
        <v>1371</v>
      </c>
    </row>
    <row r="38" spans="2:10" ht="42" customHeight="1" x14ac:dyDescent="0.2">
      <c r="B38" s="10" t="s">
        <v>25</v>
      </c>
      <c r="C38" s="18" t="s">
        <v>26</v>
      </c>
    </row>
    <row r="39" spans="2:10" ht="25.5" customHeight="1" x14ac:dyDescent="0.2">
      <c r="B39" s="750"/>
      <c r="C39" s="750"/>
    </row>
    <row r="40" spans="2:10" ht="30" customHeight="1" x14ac:dyDescent="0.2">
      <c r="B40" s="744" t="s">
        <v>1372</v>
      </c>
      <c r="C40" s="744"/>
    </row>
    <row r="41" spans="2:10" ht="35.25" customHeight="1" x14ac:dyDescent="0.2">
      <c r="B41" s="741" t="s">
        <v>1373</v>
      </c>
      <c r="C41" s="742"/>
    </row>
    <row r="42" spans="2:10" ht="13.5" customHeight="1" x14ac:dyDescent="0.2">
      <c r="B42" s="10" t="s">
        <v>10</v>
      </c>
      <c r="C42" s="10" t="s">
        <v>11</v>
      </c>
    </row>
    <row r="43" spans="2:10" ht="45" customHeight="1" x14ac:dyDescent="0.2">
      <c r="B43" s="19" t="s">
        <v>27</v>
      </c>
      <c r="C43" s="20" t="s">
        <v>63</v>
      </c>
    </row>
    <row r="44" spans="2:10" ht="32.25" customHeight="1" x14ac:dyDescent="0.2">
      <c r="B44" s="19" t="s">
        <v>28</v>
      </c>
      <c r="C44" s="689" t="s">
        <v>1374</v>
      </c>
    </row>
    <row r="45" spans="2:10" ht="20.25" customHeight="1" x14ac:dyDescent="0.2">
      <c r="B45" s="21" t="s">
        <v>29</v>
      </c>
      <c r="C45" s="22" t="s">
        <v>30</v>
      </c>
    </row>
    <row r="46" spans="2:10" ht="58.5" customHeight="1" x14ac:dyDescent="0.2">
      <c r="B46" s="23" t="s">
        <v>31</v>
      </c>
      <c r="C46" s="22" t="s">
        <v>64</v>
      </c>
    </row>
    <row r="47" spans="2:10" ht="36.75" customHeight="1" x14ac:dyDescent="0.2">
      <c r="B47" s="23" t="s">
        <v>32</v>
      </c>
      <c r="C47" s="22" t="s">
        <v>33</v>
      </c>
    </row>
    <row r="48" spans="2:10" ht="96" customHeight="1" x14ac:dyDescent="0.2">
      <c r="B48" s="21" t="s">
        <v>34</v>
      </c>
      <c r="C48" s="24" t="s">
        <v>35</v>
      </c>
    </row>
  </sheetData>
  <sheetProtection algorithmName="SHA-512" hashValue="lV8HD6Hh7vxDH0j8XHt6K7EjUEHJlDpNf9yaBpZkXy5pS/Ww/j6xMcrpApznQwSBajrYt7vBtJS8p1BtzmUQsA==" saltValue="cL4+WM0maTi+P+wzrAIh5Q==" spinCount="100000" sheet="1" objects="1" scenarios="1"/>
  <mergeCells count="18">
    <mergeCell ref="B10:C10"/>
    <mergeCell ref="B1:C1"/>
    <mergeCell ref="B2:C2"/>
    <mergeCell ref="B3:C4"/>
    <mergeCell ref="B6:C6"/>
    <mergeCell ref="B7:C8"/>
    <mergeCell ref="B41:C41"/>
    <mergeCell ref="B11:C12"/>
    <mergeCell ref="B14:C14"/>
    <mergeCell ref="B15:C15"/>
    <mergeCell ref="B17:C17"/>
    <mergeCell ref="B18:C18"/>
    <mergeCell ref="B21:C21"/>
    <mergeCell ref="B22:C22"/>
    <mergeCell ref="B30:C30"/>
    <mergeCell ref="B31:C31"/>
    <mergeCell ref="B39:C39"/>
    <mergeCell ref="B40:C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67"/>
  <sheetViews>
    <sheetView showGridLines="0" zoomScale="60" zoomScaleNormal="60" workbookViewId="0">
      <selection activeCell="B106" sqref="B106"/>
    </sheetView>
  </sheetViews>
  <sheetFormatPr baseColWidth="10" defaultColWidth="10.7109375" defaultRowHeight="14.25" x14ac:dyDescent="0.2"/>
  <cols>
    <col min="1" max="1" width="13.42578125" style="101" customWidth="1"/>
    <col min="2" max="2" width="98.85546875" style="101" customWidth="1"/>
    <col min="3" max="3" width="19.85546875" style="101" customWidth="1"/>
    <col min="4" max="4" width="23.42578125" style="101" customWidth="1"/>
    <col min="5" max="5" width="22.42578125" style="101" customWidth="1"/>
    <col min="6" max="6" width="21.5703125" style="101" customWidth="1"/>
    <col min="7" max="7" width="20" style="101" customWidth="1"/>
    <col min="8" max="8" width="24.5703125" style="101" customWidth="1"/>
    <col min="9" max="9" width="19.5703125" style="101" customWidth="1"/>
    <col min="10" max="10" width="20" style="101" customWidth="1"/>
    <col min="11" max="18" width="21.42578125" style="101" bestFit="1" customWidth="1"/>
    <col min="19" max="24" width="20.28515625" style="101" bestFit="1" customWidth="1"/>
    <col min="25" max="25" width="23.140625" style="101" bestFit="1" customWidth="1"/>
    <col min="26" max="26" width="22.85546875" style="101" customWidth="1"/>
    <col min="27" max="27" width="18.5703125" style="101" bestFit="1" customWidth="1"/>
    <col min="28" max="28" width="21.42578125" style="101" bestFit="1" customWidth="1"/>
    <col min="29" max="29" width="18.5703125" style="101" bestFit="1" customWidth="1"/>
    <col min="30" max="16384" width="10.7109375" style="101"/>
  </cols>
  <sheetData>
    <row r="2" spans="1:26" ht="15" x14ac:dyDescent="0.25">
      <c r="A2" s="57" t="s">
        <v>87</v>
      </c>
    </row>
    <row r="3" spans="1:26" s="102" customFormat="1" ht="15" x14ac:dyDescent="0.25">
      <c r="A3" s="49"/>
    </row>
    <row r="4" spans="1:26" ht="21.6" customHeight="1" x14ac:dyDescent="0.25">
      <c r="A4" s="58"/>
      <c r="B4" s="59" t="str">
        <f>Portafolio_Cadena_Maíz!D35</f>
        <v>3.1. Promoción y fortalecimiento de organizaciones de economía solidaria en la cadena de maíz.</v>
      </c>
      <c r="C4" s="60"/>
      <c r="D4" s="61"/>
    </row>
    <row r="5" spans="1:26" ht="26.1" customHeight="1" x14ac:dyDescent="0.2">
      <c r="E5" s="153"/>
      <c r="F5" s="153"/>
      <c r="G5" s="153"/>
      <c r="H5" s="153"/>
      <c r="I5" s="153"/>
      <c r="J5" s="153"/>
      <c r="K5" s="153"/>
      <c r="L5" s="153"/>
      <c r="M5" s="153"/>
      <c r="N5" s="153"/>
      <c r="O5" s="153"/>
      <c r="P5" s="153"/>
      <c r="Q5" s="153"/>
      <c r="R5" s="153"/>
      <c r="S5" s="153"/>
      <c r="T5" s="153"/>
      <c r="U5" s="153"/>
      <c r="V5" s="153"/>
      <c r="W5" s="153"/>
      <c r="X5" s="153"/>
      <c r="Y5" s="153"/>
      <c r="Z5" s="154"/>
    </row>
    <row r="6" spans="1:26" s="40" customFormat="1" ht="15" x14ac:dyDescent="0.25">
      <c r="A6" s="101"/>
      <c r="B6" s="63" t="s">
        <v>28</v>
      </c>
      <c r="C6" s="64" t="s">
        <v>66</v>
      </c>
      <c r="D6" s="64" t="s">
        <v>160</v>
      </c>
      <c r="E6" s="65">
        <f>SUM(E7:E11)</f>
        <v>2192898774.0434999</v>
      </c>
      <c r="F6" s="65">
        <f t="shared" ref="F6:Y6" si="0">SUM(F7:F11)</f>
        <v>72759131329.773895</v>
      </c>
      <c r="G6" s="65">
        <f t="shared" si="0"/>
        <v>81284033359.461975</v>
      </c>
      <c r="H6" s="65">
        <f t="shared" si="0"/>
        <v>92414941744.849091</v>
      </c>
      <c r="I6" s="65">
        <f t="shared" si="0"/>
        <v>105346504560.48488</v>
      </c>
      <c r="J6" s="65">
        <f t="shared" si="0"/>
        <v>120017945562.466</v>
      </c>
      <c r="K6" s="65">
        <f t="shared" si="0"/>
        <v>142741405627.8584</v>
      </c>
      <c r="L6" s="65">
        <f t="shared" si="0"/>
        <v>170104592545.74368</v>
      </c>
      <c r="M6" s="65">
        <f t="shared" si="0"/>
        <v>202940416847.20602</v>
      </c>
      <c r="N6" s="65">
        <f t="shared" si="0"/>
        <v>242343406008.96088</v>
      </c>
      <c r="O6" s="65">
        <f t="shared" si="0"/>
        <v>201691152161.89401</v>
      </c>
      <c r="P6" s="65">
        <f t="shared" si="0"/>
        <v>162288163000.13922</v>
      </c>
      <c r="Q6" s="65">
        <f t="shared" si="0"/>
        <v>130765771670.73537</v>
      </c>
      <c r="R6" s="65">
        <f t="shared" si="0"/>
        <v>105547858607.21228</v>
      </c>
      <c r="S6" s="65">
        <f t="shared" si="0"/>
        <v>85373528156.39386</v>
      </c>
      <c r="T6" s="65">
        <f t="shared" si="0"/>
        <v>69234063795.739075</v>
      </c>
      <c r="U6" s="65">
        <f t="shared" si="0"/>
        <v>56322492307.215271</v>
      </c>
      <c r="V6" s="65">
        <f t="shared" si="0"/>
        <v>45993235116.396217</v>
      </c>
      <c r="W6" s="65">
        <f t="shared" si="0"/>
        <v>37729829363.740974</v>
      </c>
      <c r="X6" s="65">
        <f t="shared" si="0"/>
        <v>31119104761.616779</v>
      </c>
      <c r="Y6" s="65">
        <f t="shared" si="0"/>
        <v>2158210475301.9316</v>
      </c>
      <c r="Z6" s="66"/>
    </row>
    <row r="7" spans="1:26" s="70" customFormat="1" x14ac:dyDescent="0.2">
      <c r="A7" s="67"/>
      <c r="B7" s="68" t="str">
        <f>Portafolio_Cadena_Maíz!D35</f>
        <v>3.1. Promoción y fortalecimiento de organizaciones de economía solidaria en la cadena de maíz.</v>
      </c>
      <c r="C7" s="317" t="s">
        <v>215</v>
      </c>
      <c r="D7" s="317" t="s">
        <v>223</v>
      </c>
      <c r="E7" s="318">
        <f>I39*3</f>
        <v>239430830</v>
      </c>
      <c r="F7" s="144">
        <f>H39</f>
        <v>957723320</v>
      </c>
      <c r="G7" s="144">
        <f>F7</f>
        <v>957723320</v>
      </c>
      <c r="H7" s="144">
        <f>G7</f>
        <v>957723320</v>
      </c>
      <c r="I7" s="144">
        <f>H7</f>
        <v>957723320</v>
      </c>
      <c r="J7" s="144">
        <f>H40</f>
        <v>1332723320</v>
      </c>
      <c r="K7" s="144">
        <f>H40</f>
        <v>1332723320</v>
      </c>
      <c r="L7" s="144">
        <f>K7</f>
        <v>1332723320</v>
      </c>
      <c r="M7" s="144">
        <f>L7</f>
        <v>1332723320</v>
      </c>
      <c r="N7" s="144">
        <f>M7</f>
        <v>1332723320</v>
      </c>
      <c r="O7" s="144">
        <f>N7</f>
        <v>1332723320</v>
      </c>
      <c r="P7" s="144">
        <f>O7</f>
        <v>1332723320</v>
      </c>
      <c r="Q7" s="144">
        <f>O7</f>
        <v>1332723320</v>
      </c>
      <c r="R7" s="144">
        <f>Q7</f>
        <v>1332723320</v>
      </c>
      <c r="S7" s="144">
        <f>R7</f>
        <v>1332723320</v>
      </c>
      <c r="T7" s="144">
        <f>P7</f>
        <v>1332723320</v>
      </c>
      <c r="U7" s="144">
        <f>R7</f>
        <v>1332723320</v>
      </c>
      <c r="V7" s="144">
        <f t="shared" ref="V7:W8" si="1">U7</f>
        <v>1332723320</v>
      </c>
      <c r="W7" s="144">
        <f t="shared" si="1"/>
        <v>1332723320</v>
      </c>
      <c r="X7" s="144">
        <f>S7</f>
        <v>1332723320</v>
      </c>
      <c r="Y7" s="69">
        <f>SUM(E7:X7)</f>
        <v>24061173910</v>
      </c>
      <c r="Z7" s="66"/>
    </row>
    <row r="8" spans="1:26" s="70" customFormat="1" x14ac:dyDescent="0.2">
      <c r="A8" s="67"/>
      <c r="B8" s="68" t="str">
        <f>Portafolio_Cadena_Maíz!D39</f>
        <v>3.2. Promoción de la integración y las alianzas estratégicas regionales en la cadena de maíz.</v>
      </c>
      <c r="C8" s="317" t="s">
        <v>215</v>
      </c>
      <c r="D8" s="317" t="s">
        <v>223</v>
      </c>
      <c r="E8" s="189">
        <f>I71*3</f>
        <v>605460671.5</v>
      </c>
      <c r="F8" s="189">
        <f>H71</f>
        <v>2421842686</v>
      </c>
      <c r="G8" s="189">
        <f t="shared" ref="G8:I8" si="2">F8</f>
        <v>2421842686</v>
      </c>
      <c r="H8" s="189">
        <f t="shared" si="2"/>
        <v>2421842686</v>
      </c>
      <c r="I8" s="189">
        <f t="shared" si="2"/>
        <v>2421842686</v>
      </c>
      <c r="J8" s="189">
        <f>H73</f>
        <v>1846986450</v>
      </c>
      <c r="K8" s="189">
        <f t="shared" ref="K8:N8" si="3">J8</f>
        <v>1846986450</v>
      </c>
      <c r="L8" s="189">
        <f t="shared" si="3"/>
        <v>1846986450</v>
      </c>
      <c r="M8" s="189">
        <f t="shared" si="3"/>
        <v>1846986450</v>
      </c>
      <c r="N8" s="189">
        <f t="shared" si="3"/>
        <v>1846986450</v>
      </c>
      <c r="O8" s="189">
        <f>N8</f>
        <v>1846986450</v>
      </c>
      <c r="P8" s="189">
        <f>O8</f>
        <v>1846986450</v>
      </c>
      <c r="Q8" s="189">
        <f t="shared" ref="Q8:R10" si="4">P8</f>
        <v>1846986450</v>
      </c>
      <c r="R8" s="189">
        <f t="shared" si="4"/>
        <v>1846986450</v>
      </c>
      <c r="S8" s="189">
        <f t="shared" ref="S8:U8" si="5">R8</f>
        <v>1846986450</v>
      </c>
      <c r="T8" s="189">
        <f t="shared" si="5"/>
        <v>1846986450</v>
      </c>
      <c r="U8" s="189">
        <f t="shared" si="5"/>
        <v>1846986450</v>
      </c>
      <c r="V8" s="189">
        <f t="shared" si="1"/>
        <v>1846986450</v>
      </c>
      <c r="W8" s="189">
        <f t="shared" si="1"/>
        <v>1846986450</v>
      </c>
      <c r="X8" s="189">
        <f>W8</f>
        <v>1846986450</v>
      </c>
      <c r="Y8" s="421">
        <f t="shared" ref="Y8:Y11" si="6">SUM(E8:X8)</f>
        <v>37997628165.5</v>
      </c>
      <c r="Z8" s="66"/>
    </row>
    <row r="9" spans="1:26" s="70" customFormat="1" ht="28.5" x14ac:dyDescent="0.2">
      <c r="A9" s="67"/>
      <c r="B9" s="68" t="str">
        <f>Portafolio_Cadena_Maíz!D42</f>
        <v>3.3. Aumento de la capacidad instalada regional para el secamiento, almacenamiento, y procesamiento agroindustrial de maíz.</v>
      </c>
      <c r="C9" s="317" t="s">
        <v>215</v>
      </c>
      <c r="D9" s="317" t="s">
        <v>223</v>
      </c>
      <c r="E9" s="189">
        <f>I100*3</f>
        <v>341786536.80150002</v>
      </c>
      <c r="F9" s="189">
        <f>H100+I103+I104+I105</f>
        <v>66554608355.829895</v>
      </c>
      <c r="G9" s="189">
        <f t="shared" ref="G9:X9" si="7">I100+J103+J104+J105</f>
        <v>75079510385.517975</v>
      </c>
      <c r="H9" s="189">
        <f t="shared" si="7"/>
        <v>86210418770.90509</v>
      </c>
      <c r="I9" s="189">
        <f t="shared" si="7"/>
        <v>99141981586.540878</v>
      </c>
      <c r="J9" s="189">
        <f t="shared" si="7"/>
        <v>114013278824.522</v>
      </c>
      <c r="K9" s="189">
        <f t="shared" si="7"/>
        <v>136815934589.42639</v>
      </c>
      <c r="L9" s="189">
        <f t="shared" si="7"/>
        <v>164179121507.31168</v>
      </c>
      <c r="M9" s="189">
        <f t="shared" si="7"/>
        <v>197014945808.77402</v>
      </c>
      <c r="N9" s="189">
        <f t="shared" si="7"/>
        <v>236417934970.52887</v>
      </c>
      <c r="O9" s="189">
        <f t="shared" si="7"/>
        <v>197014945808.77402</v>
      </c>
      <c r="P9" s="189">
        <f t="shared" si="7"/>
        <v>157611956647.01923</v>
      </c>
      <c r="Q9" s="189">
        <f t="shared" si="7"/>
        <v>126089565317.61537</v>
      </c>
      <c r="R9" s="189">
        <f t="shared" si="7"/>
        <v>100871652254.09229</v>
      </c>
      <c r="S9" s="189">
        <f t="shared" si="7"/>
        <v>80697321803.273865</v>
      </c>
      <c r="T9" s="189">
        <f t="shared" si="7"/>
        <v>64557857442.61908</v>
      </c>
      <c r="U9" s="189">
        <f t="shared" si="7"/>
        <v>51646285954.095268</v>
      </c>
      <c r="V9" s="189">
        <f t="shared" si="7"/>
        <v>41317028763.276215</v>
      </c>
      <c r="W9" s="189">
        <f t="shared" si="7"/>
        <v>33053623010.620975</v>
      </c>
      <c r="X9" s="189">
        <f t="shared" si="7"/>
        <v>26442898408.49678</v>
      </c>
      <c r="Y9" s="421">
        <f t="shared" si="6"/>
        <v>2055072656746.0415</v>
      </c>
      <c r="Z9" s="66"/>
    </row>
    <row r="10" spans="1:26" s="70" customFormat="1" x14ac:dyDescent="0.2">
      <c r="A10" s="67"/>
      <c r="B10" s="68" t="str">
        <f>Portafolio_Cadena_Maíz!D47</f>
        <v xml:space="preserve">3.4. Fortalecimiento de la oferta de insumos y servicios asociados a la cadena. </v>
      </c>
      <c r="C10" s="317" t="s">
        <v>215</v>
      </c>
      <c r="D10" s="317" t="s">
        <v>223</v>
      </c>
      <c r="E10" s="422">
        <f>I140*3</f>
        <v>556248495.10800004</v>
      </c>
      <c r="F10" s="421">
        <f>+H140</f>
        <v>2224993980.4320002</v>
      </c>
      <c r="G10" s="421">
        <f>+F10</f>
        <v>2224993980.4320002</v>
      </c>
      <c r="H10" s="421">
        <f>+G10</f>
        <v>2224993980.4320002</v>
      </c>
      <c r="I10" s="421">
        <f>+H10</f>
        <v>2224993980.4320002</v>
      </c>
      <c r="J10" s="421">
        <f>I10</f>
        <v>2224993980.4320002</v>
      </c>
      <c r="K10" s="421">
        <f>+J10</f>
        <v>2224993980.4320002</v>
      </c>
      <c r="L10" s="421">
        <f t="shared" ref="L10:N10" si="8">+K10</f>
        <v>2224993980.4320002</v>
      </c>
      <c r="M10" s="421">
        <f t="shared" si="8"/>
        <v>2224993980.4320002</v>
      </c>
      <c r="N10" s="421">
        <f t="shared" si="8"/>
        <v>2224993980.4320002</v>
      </c>
      <c r="O10" s="421">
        <f>H141</f>
        <v>975729295.12</v>
      </c>
      <c r="P10" s="421">
        <f>O10</f>
        <v>975729295.12</v>
      </c>
      <c r="Q10" s="421">
        <f t="shared" si="4"/>
        <v>975729295.12</v>
      </c>
      <c r="R10" s="421">
        <f t="shared" si="4"/>
        <v>975729295.12</v>
      </c>
      <c r="S10" s="421">
        <f t="shared" ref="S10:X10" si="9">R10</f>
        <v>975729295.12</v>
      </c>
      <c r="T10" s="421">
        <f t="shared" si="9"/>
        <v>975729295.12</v>
      </c>
      <c r="U10" s="421">
        <f t="shared" si="9"/>
        <v>975729295.12</v>
      </c>
      <c r="V10" s="421">
        <f t="shared" si="9"/>
        <v>975729295.12</v>
      </c>
      <c r="W10" s="421">
        <f t="shared" si="9"/>
        <v>975729295.12</v>
      </c>
      <c r="X10" s="421">
        <f t="shared" si="9"/>
        <v>975729295.12</v>
      </c>
      <c r="Y10" s="421">
        <f t="shared" si="6"/>
        <v>30338487270.195988</v>
      </c>
      <c r="Z10" s="66"/>
    </row>
    <row r="11" spans="1:26" s="70" customFormat="1" x14ac:dyDescent="0.2">
      <c r="A11" s="67"/>
      <c r="B11" s="68" t="str">
        <f>Portafolio_Cadena_Maíz!D53</f>
        <v>3.5. Mejora del entorno productivo para las grandes inversiones en las regiones maiceras.</v>
      </c>
      <c r="C11" s="317" t="s">
        <v>376</v>
      </c>
      <c r="D11" s="317" t="s">
        <v>223</v>
      </c>
      <c r="E11" s="422">
        <f>+I165*9</f>
        <v>449972240.63399994</v>
      </c>
      <c r="F11" s="421">
        <f>+$H$165</f>
        <v>599962987.51199996</v>
      </c>
      <c r="G11" s="421">
        <f>+$H$165</f>
        <v>599962987.51199996</v>
      </c>
      <c r="H11" s="421">
        <f>+$H$165</f>
        <v>599962987.51199996</v>
      </c>
      <c r="I11" s="421">
        <f>+$H$165</f>
        <v>599962987.51199996</v>
      </c>
      <c r="J11" s="421">
        <f>+$H$165</f>
        <v>599962987.51199996</v>
      </c>
      <c r="K11" s="421">
        <f t="shared" ref="K11:X11" si="10">+$H$166</f>
        <v>520767288</v>
      </c>
      <c r="L11" s="421">
        <f t="shared" si="10"/>
        <v>520767288</v>
      </c>
      <c r="M11" s="421">
        <f t="shared" si="10"/>
        <v>520767288</v>
      </c>
      <c r="N11" s="421">
        <f t="shared" si="10"/>
        <v>520767288</v>
      </c>
      <c r="O11" s="421">
        <f t="shared" si="10"/>
        <v>520767288</v>
      </c>
      <c r="P11" s="421">
        <f t="shared" si="10"/>
        <v>520767288</v>
      </c>
      <c r="Q11" s="421">
        <f t="shared" si="10"/>
        <v>520767288</v>
      </c>
      <c r="R11" s="421">
        <f t="shared" si="10"/>
        <v>520767288</v>
      </c>
      <c r="S11" s="421">
        <f t="shared" si="10"/>
        <v>520767288</v>
      </c>
      <c r="T11" s="421">
        <f t="shared" si="10"/>
        <v>520767288</v>
      </c>
      <c r="U11" s="421">
        <f t="shared" si="10"/>
        <v>520767288</v>
      </c>
      <c r="V11" s="421">
        <f t="shared" si="10"/>
        <v>520767288</v>
      </c>
      <c r="W11" s="421">
        <f t="shared" si="10"/>
        <v>520767288</v>
      </c>
      <c r="X11" s="421">
        <f t="shared" si="10"/>
        <v>520767288</v>
      </c>
      <c r="Y11" s="421">
        <f t="shared" si="6"/>
        <v>10740529210.194</v>
      </c>
      <c r="Z11" s="66"/>
    </row>
    <row r="12" spans="1:26" s="40" customFormat="1" ht="24.6" customHeight="1" x14ac:dyDescent="0.25">
      <c r="A12" s="101"/>
      <c r="B12" s="63" t="s">
        <v>32</v>
      </c>
      <c r="C12" s="63"/>
      <c r="D12" s="63"/>
      <c r="E12" s="71">
        <f>SUM(E7:E11)</f>
        <v>2192898774.0434999</v>
      </c>
      <c r="F12" s="71">
        <f t="shared" ref="F12:Y12" si="11">SUM(F7:F11)</f>
        <v>72759131329.773895</v>
      </c>
      <c r="G12" s="71">
        <f t="shared" si="11"/>
        <v>81284033359.461975</v>
      </c>
      <c r="H12" s="71">
        <f t="shared" si="11"/>
        <v>92414941744.849091</v>
      </c>
      <c r="I12" s="71">
        <f t="shared" si="11"/>
        <v>105346504560.48488</v>
      </c>
      <c r="J12" s="71">
        <f t="shared" si="11"/>
        <v>120017945562.466</v>
      </c>
      <c r="K12" s="71">
        <f t="shared" si="11"/>
        <v>142741405627.8584</v>
      </c>
      <c r="L12" s="71">
        <f t="shared" si="11"/>
        <v>170104592545.74368</v>
      </c>
      <c r="M12" s="71">
        <f t="shared" si="11"/>
        <v>202940416847.20602</v>
      </c>
      <c r="N12" s="71">
        <f t="shared" si="11"/>
        <v>242343406008.96088</v>
      </c>
      <c r="O12" s="71">
        <f t="shared" si="11"/>
        <v>201691152161.89401</v>
      </c>
      <c r="P12" s="71">
        <f t="shared" si="11"/>
        <v>162288163000.13922</v>
      </c>
      <c r="Q12" s="71">
        <f t="shared" si="11"/>
        <v>130765771670.73537</v>
      </c>
      <c r="R12" s="71">
        <f t="shared" si="11"/>
        <v>105547858607.21228</v>
      </c>
      <c r="S12" s="71">
        <f t="shared" si="11"/>
        <v>85373528156.39386</v>
      </c>
      <c r="T12" s="71">
        <f t="shared" si="11"/>
        <v>69234063795.739075</v>
      </c>
      <c r="U12" s="71">
        <f t="shared" si="11"/>
        <v>56322492307.215271</v>
      </c>
      <c r="V12" s="71">
        <f t="shared" si="11"/>
        <v>45993235116.396217</v>
      </c>
      <c r="W12" s="71">
        <f t="shared" si="11"/>
        <v>37729829363.740974</v>
      </c>
      <c r="X12" s="71">
        <f t="shared" si="11"/>
        <v>31119104761.616779</v>
      </c>
      <c r="Y12" s="71">
        <f t="shared" si="11"/>
        <v>2158210475301.9316</v>
      </c>
      <c r="Z12" s="66"/>
    </row>
    <row r="13" spans="1:26" s="75" customFormat="1" ht="24.6" customHeight="1" x14ac:dyDescent="0.25">
      <c r="A13" s="102"/>
      <c r="B13" s="72"/>
      <c r="C13" s="72"/>
      <c r="D13" s="72"/>
      <c r="E13" s="72"/>
      <c r="F13" s="73"/>
      <c r="G13" s="74"/>
      <c r="H13" s="73"/>
      <c r="I13" s="73"/>
      <c r="J13" s="73"/>
      <c r="K13" s="73"/>
      <c r="L13" s="73"/>
      <c r="M13" s="73"/>
      <c r="N13" s="73"/>
      <c r="O13" s="73"/>
      <c r="P13" s="73"/>
      <c r="Q13" s="73"/>
      <c r="R13" s="73"/>
      <c r="S13" s="73"/>
      <c r="T13" s="73"/>
      <c r="U13" s="73"/>
      <c r="V13" s="73"/>
      <c r="W13" s="73"/>
      <c r="X13" s="73"/>
      <c r="Y13" s="73"/>
      <c r="Z13" s="73"/>
    </row>
    <row r="14" spans="1:26" s="102" customFormat="1" ht="14.45" customHeight="1" x14ac:dyDescent="0.25">
      <c r="B14" s="853" t="str">
        <f>B7</f>
        <v>3.1. Promoción y fortalecimiento de organizaciones de economía solidaria en la cadena de maíz.</v>
      </c>
      <c r="C14" s="852"/>
      <c r="D14" s="852"/>
      <c r="E14" s="852"/>
      <c r="F14" s="852"/>
      <c r="G14" s="852"/>
      <c r="H14" s="852"/>
      <c r="I14" s="304"/>
      <c r="X14" s="77"/>
    </row>
    <row r="15" spans="1:26" s="102" customFormat="1" ht="14.45" customHeight="1" x14ac:dyDescent="0.25">
      <c r="B15" s="852"/>
      <c r="C15" s="852"/>
      <c r="D15" s="852"/>
      <c r="E15" s="852"/>
      <c r="F15" s="852"/>
      <c r="G15" s="852"/>
      <c r="H15" s="852"/>
      <c r="I15" s="304"/>
      <c r="X15" s="77"/>
    </row>
    <row r="16" spans="1:26" s="102" customFormat="1" ht="33.950000000000003" customHeight="1" x14ac:dyDescent="0.25">
      <c r="B16" s="854" t="str">
        <f>Portafolio_Cadena_Maíz!H35</f>
        <v>3.1.1. Identificar, clasificar y seleccionar las organizaciones de economía solidaria que ya se encuentren constituidas y activas o en tránsito de estarlo, y los productores con potencial asociativo, ubicados en las regiones priorizadas, dedicados a la producción y/o comercialización y/o procesamiento de maíz, teniendo en cuenta la caracterización subregional de la actividad 9.4.3.</v>
      </c>
      <c r="C16" s="855"/>
      <c r="D16" s="855"/>
      <c r="E16" s="855"/>
      <c r="F16" s="855"/>
      <c r="G16" s="855"/>
      <c r="H16" s="855"/>
      <c r="I16" s="393"/>
      <c r="X16" s="77"/>
    </row>
    <row r="17" spans="2:24" s="102" customFormat="1" ht="30.6" customHeight="1" x14ac:dyDescent="0.25">
      <c r="B17" s="854" t="str">
        <f>Portafolio_Cadena_Maíz!H36</f>
        <v>3.1.2. Capacitar y orientar a los productores, comercializadores y procesadores de maíz, seleccionados, en desarrollo empresarial agroindustrial, dentro del marco de los principios de la economía solidaria, con enfoque al mercado, la competitividad y el suministro de bienes y servicios.</v>
      </c>
      <c r="C17" s="855"/>
      <c r="D17" s="855"/>
      <c r="E17" s="855"/>
      <c r="F17" s="855"/>
      <c r="G17" s="855"/>
      <c r="H17" s="855"/>
      <c r="I17" s="393"/>
      <c r="X17" s="77"/>
    </row>
    <row r="18" spans="2:24" s="102" customFormat="1" ht="28.5" customHeight="1" x14ac:dyDescent="0.25">
      <c r="B18" s="854" t="str">
        <f>Portafolio_Cadena_Maíz!H37</f>
        <v>3.1.3. Incentivar el fortalecimiento y crecimiento de las organizaciones de economía solidaria seleccionadas, y su acceso a los mercados, a través de instrumentos financieros y no financieros que promuevan inversiones en infraestructura, equipos, capital humano y de trabajo, teniendo en cuenta los avances en el proyecto 9.2. "Diseño y mejora de los instrumentos de financiamiento, comercialización, gestión de riesgos y empresarización para la cadena de maíz".</v>
      </c>
      <c r="C18" s="855"/>
      <c r="D18" s="855"/>
      <c r="E18" s="855"/>
      <c r="F18" s="855"/>
      <c r="G18" s="855"/>
      <c r="H18" s="855"/>
      <c r="I18" s="393"/>
      <c r="X18" s="77"/>
    </row>
    <row r="19" spans="2:24" s="102" customFormat="1" ht="15" x14ac:dyDescent="0.25">
      <c r="B19" s="854" t="str">
        <f>Portafolio_Cadena_Maíz!H38</f>
        <v>3.1.4. Monitorear los avances de las organizaciones de economía solidaria asistidas y seleccionar casos exitosos para realizar transferencias bajo métodos de evaluación comparativa (benchmarking) de los temas priorizados.</v>
      </c>
      <c r="C19" s="855"/>
      <c r="D19" s="855"/>
      <c r="E19" s="855"/>
      <c r="F19" s="855"/>
      <c r="G19" s="855"/>
      <c r="H19" s="855"/>
      <c r="I19" s="393"/>
      <c r="X19" s="77"/>
    </row>
    <row r="20" spans="2:24" s="102" customFormat="1" ht="14.45" customHeight="1" x14ac:dyDescent="0.25">
      <c r="B20" s="396"/>
      <c r="C20" s="415"/>
      <c r="D20" s="415"/>
      <c r="E20" s="415"/>
      <c r="F20" s="415"/>
      <c r="G20" s="415"/>
      <c r="H20" s="415"/>
      <c r="I20" s="414"/>
      <c r="X20" s="77"/>
    </row>
    <row r="21" spans="2:24" s="102" customFormat="1" ht="14.45" customHeight="1" x14ac:dyDescent="0.25">
      <c r="B21" s="854"/>
      <c r="C21" s="855"/>
      <c r="D21" s="855"/>
      <c r="E21" s="855"/>
      <c r="F21" s="855"/>
      <c r="G21" s="855"/>
      <c r="H21" s="855"/>
      <c r="I21" s="393"/>
      <c r="X21" s="77"/>
    </row>
    <row r="22" spans="2:24" s="102" customFormat="1" ht="14.45" customHeight="1" x14ac:dyDescent="0.25">
      <c r="B22" s="857" t="s">
        <v>595</v>
      </c>
      <c r="C22" s="857"/>
      <c r="D22" s="857"/>
      <c r="E22" s="857"/>
      <c r="F22" s="857"/>
      <c r="G22" s="857"/>
      <c r="H22" s="857"/>
      <c r="I22" s="393"/>
      <c r="X22" s="77"/>
    </row>
    <row r="23" spans="2:24" ht="15" x14ac:dyDescent="0.25">
      <c r="B23" s="78" t="s">
        <v>68</v>
      </c>
      <c r="C23" s="78" t="s">
        <v>58</v>
      </c>
      <c r="D23" s="78" t="s">
        <v>55</v>
      </c>
      <c r="E23" s="78" t="s">
        <v>54</v>
      </c>
      <c r="F23" s="79" t="s">
        <v>96</v>
      </c>
      <c r="G23" s="78" t="s">
        <v>70</v>
      </c>
      <c r="H23" s="78" t="s">
        <v>71</v>
      </c>
      <c r="X23" s="80"/>
    </row>
    <row r="24" spans="2:24" x14ac:dyDescent="0.2">
      <c r="B24" s="103" t="s">
        <v>219</v>
      </c>
      <c r="C24" s="53">
        <v>10</v>
      </c>
      <c r="D24" s="103" t="s">
        <v>73</v>
      </c>
      <c r="E24" s="45">
        <v>500000</v>
      </c>
      <c r="F24" s="103"/>
      <c r="G24" s="103"/>
      <c r="H24" s="146">
        <f t="shared" ref="H24:H31" si="12">+E24*C24</f>
        <v>5000000</v>
      </c>
      <c r="J24" s="52"/>
    </row>
    <row r="25" spans="2:24" x14ac:dyDescent="0.2">
      <c r="B25" s="103" t="s">
        <v>217</v>
      </c>
      <c r="C25" s="53">
        <v>10</v>
      </c>
      <c r="D25" s="103" t="s">
        <v>73</v>
      </c>
      <c r="E25" s="45">
        <v>100000</v>
      </c>
      <c r="F25" s="103"/>
      <c r="G25" s="103"/>
      <c r="H25" s="146">
        <f t="shared" si="12"/>
        <v>1000000</v>
      </c>
      <c r="J25" s="52"/>
    </row>
    <row r="26" spans="2:24" x14ac:dyDescent="0.2">
      <c r="B26" s="103" t="s">
        <v>224</v>
      </c>
      <c r="C26" s="53">
        <f>10*2</f>
        <v>20</v>
      </c>
      <c r="D26" s="103" t="s">
        <v>73</v>
      </c>
      <c r="E26" s="45">
        <v>2300000</v>
      </c>
      <c r="F26" s="103"/>
      <c r="G26" s="103"/>
      <c r="H26" s="146">
        <f t="shared" si="12"/>
        <v>46000000</v>
      </c>
      <c r="J26" s="52"/>
    </row>
    <row r="27" spans="2:24" x14ac:dyDescent="0.2">
      <c r="B27" s="103" t="s">
        <v>225</v>
      </c>
      <c r="C27" s="53">
        <v>20</v>
      </c>
      <c r="D27" s="103" t="s">
        <v>73</v>
      </c>
      <c r="E27" s="45">
        <v>460000</v>
      </c>
      <c r="F27" s="103"/>
      <c r="G27" s="103"/>
      <c r="H27" s="146">
        <f t="shared" si="12"/>
        <v>9200000</v>
      </c>
      <c r="J27" s="52"/>
    </row>
    <row r="28" spans="2:24" x14ac:dyDescent="0.2">
      <c r="B28" s="103" t="s">
        <v>221</v>
      </c>
      <c r="C28" s="53">
        <v>10</v>
      </c>
      <c r="D28" s="103" t="s">
        <v>73</v>
      </c>
      <c r="E28" s="108">
        <v>3270000</v>
      </c>
      <c r="F28" s="103"/>
      <c r="G28" s="103"/>
      <c r="H28" s="146">
        <f t="shared" si="12"/>
        <v>32700000</v>
      </c>
      <c r="J28" s="52"/>
    </row>
    <row r="29" spans="2:24" x14ac:dyDescent="0.2">
      <c r="B29" s="103" t="s">
        <v>76</v>
      </c>
      <c r="C29" s="53">
        <v>10</v>
      </c>
      <c r="D29" s="103" t="s">
        <v>65</v>
      </c>
      <c r="E29" s="108">
        <v>6000000</v>
      </c>
      <c r="F29" s="103"/>
      <c r="G29" s="103"/>
      <c r="H29" s="146">
        <f t="shared" si="12"/>
        <v>60000000</v>
      </c>
      <c r="J29" s="52"/>
    </row>
    <row r="30" spans="2:24" x14ac:dyDescent="0.2">
      <c r="B30" s="103" t="s">
        <v>77</v>
      </c>
      <c r="C30" s="53">
        <v>10</v>
      </c>
      <c r="D30" s="103" t="s">
        <v>65</v>
      </c>
      <c r="E30" s="108">
        <v>1800000</v>
      </c>
      <c r="F30" s="103"/>
      <c r="G30" s="103"/>
      <c r="H30" s="146">
        <f t="shared" si="12"/>
        <v>18000000</v>
      </c>
      <c r="J30" s="52"/>
    </row>
    <row r="31" spans="2:24" s="102" customFormat="1" x14ac:dyDescent="0.2">
      <c r="B31" s="48" t="s">
        <v>172</v>
      </c>
      <c r="C31" s="136">
        <v>10</v>
      </c>
      <c r="D31" s="48" t="s">
        <v>73</v>
      </c>
      <c r="E31" s="148">
        <v>14500000</v>
      </c>
      <c r="F31" s="48"/>
      <c r="G31" s="48"/>
      <c r="H31" s="149">
        <f t="shared" si="12"/>
        <v>145000000</v>
      </c>
      <c r="J31" s="137"/>
    </row>
    <row r="32" spans="2:24" s="102" customFormat="1" x14ac:dyDescent="0.2">
      <c r="B32" s="48" t="s">
        <v>212</v>
      </c>
      <c r="C32" s="136">
        <v>10</v>
      </c>
      <c r="D32" s="48" t="s">
        <v>73</v>
      </c>
      <c r="E32" s="148">
        <v>5000000</v>
      </c>
      <c r="F32" s="48"/>
      <c r="G32" s="48"/>
      <c r="H32" s="149">
        <f>+E32*C32</f>
        <v>50000000</v>
      </c>
      <c r="J32" s="137"/>
    </row>
    <row r="33" spans="1:24" x14ac:dyDescent="0.2">
      <c r="B33" s="103" t="s">
        <v>79</v>
      </c>
      <c r="C33" s="53">
        <v>2</v>
      </c>
      <c r="D33" s="103" t="s">
        <v>244</v>
      </c>
      <c r="E33" s="45">
        <v>8963563</v>
      </c>
      <c r="F33" s="97"/>
      <c r="G33" s="103">
        <v>10</v>
      </c>
      <c r="H33" s="146">
        <f>C33*E33*G33</f>
        <v>179271260</v>
      </c>
      <c r="I33" s="147"/>
      <c r="J33" s="137"/>
    </row>
    <row r="34" spans="1:24" x14ac:dyDescent="0.2">
      <c r="B34" s="103" t="s">
        <v>220</v>
      </c>
      <c r="C34" s="53">
        <v>10</v>
      </c>
      <c r="D34" s="103" t="s">
        <v>244</v>
      </c>
      <c r="E34" s="108">
        <v>856561</v>
      </c>
      <c r="F34" s="97"/>
      <c r="G34" s="103"/>
      <c r="H34" s="146">
        <f>C34*E34</f>
        <v>8565610</v>
      </c>
      <c r="J34" s="52"/>
    </row>
    <row r="35" spans="1:24" x14ac:dyDescent="0.2">
      <c r="B35" s="103" t="s">
        <v>222</v>
      </c>
      <c r="C35" s="54">
        <v>10</v>
      </c>
      <c r="D35" s="103" t="s">
        <v>244</v>
      </c>
      <c r="E35" s="45">
        <v>6604729</v>
      </c>
      <c r="F35" s="97">
        <v>0.5</v>
      </c>
      <c r="G35" s="103">
        <v>10</v>
      </c>
      <c r="H35" s="146">
        <f>C35*E35*G35*F35</f>
        <v>330236450</v>
      </c>
      <c r="I35" s="147"/>
      <c r="J35" s="137"/>
    </row>
    <row r="36" spans="1:24" x14ac:dyDescent="0.2">
      <c r="B36" s="81" t="s">
        <v>56</v>
      </c>
      <c r="C36" s="54">
        <v>10</v>
      </c>
      <c r="D36" s="103" t="s">
        <v>244</v>
      </c>
      <c r="E36" s="108">
        <v>1300000</v>
      </c>
      <c r="F36" s="97">
        <v>0.5</v>
      </c>
      <c r="G36" s="103">
        <v>10</v>
      </c>
      <c r="H36" s="146">
        <f t="shared" ref="H36:H37" si="13">C36*E36*G36*F36</f>
        <v>65000000</v>
      </c>
      <c r="I36" s="147"/>
      <c r="J36" s="137"/>
    </row>
    <row r="37" spans="1:24" x14ac:dyDescent="0.2">
      <c r="B37" s="103" t="s">
        <v>178</v>
      </c>
      <c r="C37" s="53">
        <v>10</v>
      </c>
      <c r="D37" s="103" t="s">
        <v>244</v>
      </c>
      <c r="E37" s="108">
        <v>155000</v>
      </c>
      <c r="F37" s="97">
        <v>0.5</v>
      </c>
      <c r="G37" s="103">
        <v>10</v>
      </c>
      <c r="H37" s="146">
        <f t="shared" si="13"/>
        <v>7750000</v>
      </c>
      <c r="J37" s="52"/>
    </row>
    <row r="38" spans="1:24" ht="15" x14ac:dyDescent="0.25">
      <c r="B38" s="48" t="s">
        <v>383</v>
      </c>
      <c r="C38" s="136">
        <v>10</v>
      </c>
      <c r="D38" s="48"/>
      <c r="E38" s="148">
        <v>500000000</v>
      </c>
      <c r="F38" s="394">
        <v>7.4999999999999997E-2</v>
      </c>
      <c r="G38" s="395"/>
      <c r="H38" s="149">
        <f>C38*E38*F38</f>
        <v>375000000</v>
      </c>
      <c r="I38" s="98" t="s">
        <v>159</v>
      </c>
      <c r="J38" s="52"/>
    </row>
    <row r="39" spans="1:24" ht="15" x14ac:dyDescent="0.25">
      <c r="B39" s="85" t="s">
        <v>378</v>
      </c>
      <c r="C39" s="86"/>
      <c r="D39" s="86"/>
      <c r="E39" s="87"/>
      <c r="F39" s="87"/>
      <c r="G39" s="86"/>
      <c r="H39" s="98">
        <f>SUM(H24:H37)</f>
        <v>957723320</v>
      </c>
      <c r="I39" s="98">
        <f>H39/12</f>
        <v>79810276.666666672</v>
      </c>
      <c r="J39" s="137"/>
      <c r="K39" s="147"/>
    </row>
    <row r="40" spans="1:24" s="302" customFormat="1" ht="15" x14ac:dyDescent="0.25">
      <c r="B40" s="321" t="s">
        <v>347</v>
      </c>
      <c r="H40" s="321">
        <f>H39+H38</f>
        <v>1332723320</v>
      </c>
      <c r="I40" s="137">
        <f>H40*15</f>
        <v>19990849800</v>
      </c>
      <c r="J40" s="137"/>
      <c r="K40" s="147"/>
    </row>
    <row r="41" spans="1:24" s="102" customFormat="1" ht="196.5" customHeight="1" x14ac:dyDescent="0.2">
      <c r="B41" s="207" t="s">
        <v>384</v>
      </c>
      <c r="C41" s="302"/>
      <c r="D41" s="302"/>
      <c r="E41" s="302"/>
      <c r="F41" s="302"/>
      <c r="G41" s="302"/>
      <c r="H41" s="147"/>
      <c r="I41" s="147"/>
      <c r="J41" s="147"/>
      <c r="K41" s="147"/>
    </row>
    <row r="42" spans="1:24" x14ac:dyDescent="0.2">
      <c r="B42" s="302"/>
      <c r="C42" s="302"/>
      <c r="D42" s="302"/>
      <c r="E42" s="302"/>
      <c r="F42" s="302"/>
      <c r="G42" s="302"/>
      <c r="H42" s="102"/>
      <c r="I42" s="102"/>
    </row>
    <row r="43" spans="1:24" ht="15" x14ac:dyDescent="0.25">
      <c r="B43" s="302"/>
      <c r="C43" s="302"/>
      <c r="D43" s="302"/>
      <c r="E43" s="302"/>
      <c r="F43" s="302"/>
      <c r="G43" s="302"/>
      <c r="H43" s="302"/>
      <c r="I43" s="90"/>
    </row>
    <row r="44" spans="1:24" s="102" customFormat="1" ht="14.45" customHeight="1" x14ac:dyDescent="0.25">
      <c r="A44" s="91"/>
      <c r="B44" s="853" t="str">
        <f>+B8</f>
        <v>3.2. Promoción de la integración y las alianzas estratégicas regionales en la cadena de maíz.</v>
      </c>
      <c r="C44" s="853"/>
      <c r="D44" s="853"/>
      <c r="E44" s="853"/>
      <c r="F44" s="853"/>
      <c r="G44" s="853"/>
      <c r="H44" s="853"/>
    </row>
    <row r="45" spans="1:24" hidden="1" x14ac:dyDescent="0.2">
      <c r="B45" s="134"/>
      <c r="C45" s="134"/>
      <c r="D45" s="134"/>
      <c r="E45" s="134"/>
      <c r="F45" s="134"/>
      <c r="G45" s="134"/>
      <c r="H45" s="134"/>
    </row>
    <row r="46" spans="1:24" s="102" customFormat="1" ht="36.950000000000003" customHeight="1" x14ac:dyDescent="0.25">
      <c r="B46" s="854" t="str">
        <f>Portafolio_Cadena_Maíz!H39</f>
        <v xml:space="preserve">3.2.1. Fortalecer la formación y capacitación de los productores, comercializadores y procesadores de maíz en sistemas de integración vertical y horizontal y asociación empresarial tales como alianzas estratégicas, integradores de crédito asociativo, esquemas de riesgo compartido, maquilas, franquicias, entre otras. </v>
      </c>
      <c r="C46" s="855"/>
      <c r="D46" s="855"/>
      <c r="E46" s="855"/>
      <c r="F46" s="855"/>
      <c r="G46" s="855"/>
      <c r="H46" s="855"/>
      <c r="I46" s="393"/>
      <c r="X46" s="77"/>
    </row>
    <row r="47" spans="1:24" s="102" customFormat="1" ht="44.45" customHeight="1" x14ac:dyDescent="0.25">
      <c r="B47" s="854" t="str">
        <f>Portafolio_Cadena_Maíz!H40</f>
        <v>3.2.2. Realizar acompañamiento comercial y financiero a productores, organizaciones de economía solidaria, y empresas, fomentando alianzas de mediano y largo plazo que mejoren la estabilidad de la oferta, para la suscripción e implementación de acuerdos comerciales, de desarrollo de proveedores y de inversión, considerando elementos como la competitividad, rentabilidad, cumplimiento, sostenibilidad económica, visión de largo plazo y responsabilidad social y ambiental, que sustenten las inversiones públicas y privadas para el crecimiento del área cultivada en maíz.</v>
      </c>
      <c r="C47" s="855"/>
      <c r="D47" s="855"/>
      <c r="E47" s="855"/>
      <c r="F47" s="855"/>
      <c r="G47" s="855"/>
      <c r="H47" s="855"/>
      <c r="I47" s="393"/>
      <c r="X47" s="77"/>
    </row>
    <row r="48" spans="1:24" s="102" customFormat="1" ht="14.45" customHeight="1" x14ac:dyDescent="0.25">
      <c r="B48" s="854" t="str">
        <f>Portafolio_Cadena_Maíz!H41</f>
        <v>3.2.3. Monitorear la consolidación de las alianzas estratégicas, y acuerdos comerciales y de inversión entre los agentes de la cadena en las regiones.</v>
      </c>
      <c r="C48" s="855"/>
      <c r="D48" s="855"/>
      <c r="E48" s="855"/>
      <c r="F48" s="855"/>
      <c r="G48" s="855"/>
      <c r="H48" s="855"/>
      <c r="I48" s="393"/>
      <c r="X48" s="77"/>
    </row>
    <row r="49" spans="1:24" s="102" customFormat="1" ht="14.45" customHeight="1" x14ac:dyDescent="0.25">
      <c r="B49" s="396"/>
      <c r="C49" s="415"/>
      <c r="D49" s="415"/>
      <c r="E49" s="415"/>
      <c r="F49" s="415"/>
      <c r="G49" s="415"/>
      <c r="H49" s="415"/>
      <c r="I49" s="393"/>
      <c r="X49" s="77"/>
    </row>
    <row r="50" spans="1:24" s="102" customFormat="1" ht="14.45" customHeight="1" x14ac:dyDescent="0.25">
      <c r="B50" s="857" t="s">
        <v>595</v>
      </c>
      <c r="C50" s="857"/>
      <c r="D50" s="857"/>
      <c r="E50" s="857"/>
      <c r="F50" s="857"/>
      <c r="G50" s="857"/>
      <c r="H50" s="857"/>
      <c r="I50" s="393"/>
      <c r="X50" s="77"/>
    </row>
    <row r="51" spans="1:24" ht="15" x14ac:dyDescent="0.25">
      <c r="B51" s="400" t="s">
        <v>68</v>
      </c>
      <c r="C51" s="400" t="s">
        <v>58</v>
      </c>
      <c r="D51" s="400" t="s">
        <v>55</v>
      </c>
      <c r="E51" s="400" t="s">
        <v>54</v>
      </c>
      <c r="F51" s="400" t="s">
        <v>69</v>
      </c>
      <c r="G51" s="400" t="s">
        <v>70</v>
      </c>
      <c r="H51" s="400" t="s">
        <v>71</v>
      </c>
    </row>
    <row r="52" spans="1:24" s="102" customFormat="1" x14ac:dyDescent="0.2">
      <c r="A52" s="92"/>
      <c r="B52" s="104" t="s">
        <v>226</v>
      </c>
      <c r="C52" s="104">
        <v>10</v>
      </c>
      <c r="D52" s="104" t="s">
        <v>73</v>
      </c>
      <c r="E52" s="81">
        <v>500000</v>
      </c>
      <c r="F52" s="104"/>
      <c r="G52" s="104"/>
      <c r="H52" s="146">
        <f>+E52*C52</f>
        <v>5000000</v>
      </c>
      <c r="I52" s="84"/>
      <c r="J52" s="52"/>
    </row>
    <row r="53" spans="1:24" s="102" customFormat="1" x14ac:dyDescent="0.2">
      <c r="A53" s="92"/>
      <c r="B53" s="104" t="s">
        <v>74</v>
      </c>
      <c r="C53" s="104">
        <v>10</v>
      </c>
      <c r="D53" s="104" t="s">
        <v>73</v>
      </c>
      <c r="E53" s="81">
        <v>100000</v>
      </c>
      <c r="F53" s="104"/>
      <c r="G53" s="104"/>
      <c r="H53" s="146">
        <f t="shared" ref="H53:H59" si="14">+E53*C53</f>
        <v>1000000</v>
      </c>
      <c r="I53" s="84"/>
      <c r="J53" s="137"/>
    </row>
    <row r="54" spans="1:24" s="102" customFormat="1" x14ac:dyDescent="0.2">
      <c r="A54" s="92"/>
      <c r="B54" s="367" t="s">
        <v>224</v>
      </c>
      <c r="C54" s="104">
        <f>2*2*4</f>
        <v>16</v>
      </c>
      <c r="D54" s="104" t="s">
        <v>73</v>
      </c>
      <c r="E54" s="81">
        <v>2300000</v>
      </c>
      <c r="F54" s="104"/>
      <c r="G54" s="104"/>
      <c r="H54" s="146">
        <f t="shared" si="14"/>
        <v>36800000</v>
      </c>
      <c r="I54" s="44"/>
      <c r="J54" s="137"/>
    </row>
    <row r="55" spans="1:24" s="102" customFormat="1" x14ac:dyDescent="0.2">
      <c r="A55" s="92"/>
      <c r="B55" s="104" t="s">
        <v>225</v>
      </c>
      <c r="C55" s="104">
        <v>8</v>
      </c>
      <c r="D55" s="104" t="s">
        <v>73</v>
      </c>
      <c r="E55" s="81">
        <v>460000</v>
      </c>
      <c r="F55" s="104"/>
      <c r="G55" s="104"/>
      <c r="H55" s="146">
        <f t="shared" si="14"/>
        <v>3680000</v>
      </c>
      <c r="I55" s="44"/>
      <c r="J55" s="137"/>
    </row>
    <row r="56" spans="1:24" s="102" customFormat="1" x14ac:dyDescent="0.2">
      <c r="B56" s="367" t="s">
        <v>229</v>
      </c>
      <c r="C56" s="104">
        <f>2*4</f>
        <v>8</v>
      </c>
      <c r="D56" s="104" t="s">
        <v>65</v>
      </c>
      <c r="E56" s="81">
        <v>6000000</v>
      </c>
      <c r="F56" s="104"/>
      <c r="G56" s="104"/>
      <c r="H56" s="146">
        <f t="shared" si="14"/>
        <v>48000000</v>
      </c>
      <c r="I56" s="44"/>
      <c r="J56" s="137"/>
    </row>
    <row r="57" spans="1:24" s="102" customFormat="1" x14ac:dyDescent="0.2">
      <c r="B57" s="367" t="s">
        <v>77</v>
      </c>
      <c r="C57" s="104">
        <v>8</v>
      </c>
      <c r="D57" s="104" t="s">
        <v>65</v>
      </c>
      <c r="E57" s="81">
        <v>1800000</v>
      </c>
      <c r="F57" s="104"/>
      <c r="G57" s="104"/>
      <c r="H57" s="146">
        <f t="shared" si="14"/>
        <v>14400000</v>
      </c>
      <c r="I57" s="44"/>
      <c r="J57" s="137"/>
    </row>
    <row r="58" spans="1:24" s="102" customFormat="1" x14ac:dyDescent="0.2">
      <c r="A58" s="92"/>
      <c r="B58" s="104" t="s">
        <v>231</v>
      </c>
      <c r="C58" s="104">
        <f>5*4</f>
        <v>20</v>
      </c>
      <c r="D58" s="104" t="s">
        <v>73</v>
      </c>
      <c r="E58" s="81">
        <v>3000000</v>
      </c>
      <c r="F58" s="104"/>
      <c r="G58" s="104"/>
      <c r="H58" s="146">
        <f t="shared" si="14"/>
        <v>60000000</v>
      </c>
      <c r="I58" s="83"/>
      <c r="J58" s="137"/>
    </row>
    <row r="59" spans="1:24" s="102" customFormat="1" x14ac:dyDescent="0.2">
      <c r="A59" s="92"/>
      <c r="B59" s="104" t="s">
        <v>232</v>
      </c>
      <c r="C59" s="104">
        <v>20</v>
      </c>
      <c r="D59" s="104" t="s">
        <v>73</v>
      </c>
      <c r="E59" s="81">
        <v>900000</v>
      </c>
      <c r="F59" s="104"/>
      <c r="G59" s="104"/>
      <c r="H59" s="146">
        <f t="shared" si="14"/>
        <v>18000000</v>
      </c>
      <c r="I59" s="83"/>
      <c r="J59" s="137"/>
    </row>
    <row r="60" spans="1:24" x14ac:dyDescent="0.2">
      <c r="B60" s="104" t="s">
        <v>172</v>
      </c>
      <c r="C60" s="104">
        <v>10</v>
      </c>
      <c r="D60" s="104" t="s">
        <v>73</v>
      </c>
      <c r="E60" s="94">
        <v>14500000</v>
      </c>
      <c r="F60" s="200"/>
      <c r="G60" s="104"/>
      <c r="H60" s="146">
        <f>C60*E60</f>
        <v>145000000</v>
      </c>
      <c r="I60" s="44"/>
      <c r="J60" s="137"/>
    </row>
    <row r="61" spans="1:24" x14ac:dyDescent="0.2">
      <c r="B61" s="104" t="s">
        <v>212</v>
      </c>
      <c r="C61" s="104">
        <v>10</v>
      </c>
      <c r="D61" s="104" t="s">
        <v>73</v>
      </c>
      <c r="E61" s="81">
        <v>5000000</v>
      </c>
      <c r="F61" s="104"/>
      <c r="G61" s="104"/>
      <c r="H61" s="146">
        <f>C61*E61</f>
        <v>50000000</v>
      </c>
      <c r="I61" s="44"/>
      <c r="J61" s="52"/>
    </row>
    <row r="62" spans="1:24" s="102" customFormat="1" x14ac:dyDescent="0.2">
      <c r="A62" s="92"/>
      <c r="B62" s="104" t="s">
        <v>230</v>
      </c>
      <c r="C62" s="104">
        <v>20</v>
      </c>
      <c r="D62" s="104" t="s">
        <v>73</v>
      </c>
      <c r="E62" s="81">
        <v>52200000</v>
      </c>
      <c r="F62" s="104"/>
      <c r="G62" s="104"/>
      <c r="H62" s="146">
        <f>C62*E62</f>
        <v>1044000000</v>
      </c>
      <c r="I62" s="44"/>
      <c r="J62" s="52"/>
    </row>
    <row r="63" spans="1:24" s="102" customFormat="1" x14ac:dyDescent="0.2">
      <c r="A63" s="92"/>
      <c r="B63" s="104" t="s">
        <v>83</v>
      </c>
      <c r="C63" s="104">
        <v>20</v>
      </c>
      <c r="D63" s="104" t="s">
        <v>73</v>
      </c>
      <c r="E63" s="81">
        <v>20000000</v>
      </c>
      <c r="F63" s="104"/>
      <c r="G63" s="104"/>
      <c r="H63" s="146">
        <f>C63*E63</f>
        <v>400000000</v>
      </c>
      <c r="I63" s="44"/>
      <c r="J63" s="137"/>
    </row>
    <row r="64" spans="1:24" s="102" customFormat="1" x14ac:dyDescent="0.2">
      <c r="A64" s="92"/>
      <c r="B64" s="367" t="s">
        <v>210</v>
      </c>
      <c r="C64" s="104">
        <v>2</v>
      </c>
      <c r="D64" s="104" t="s">
        <v>240</v>
      </c>
      <c r="E64" s="81">
        <v>8963563</v>
      </c>
      <c r="F64" s="200"/>
      <c r="G64" s="104">
        <f>+G33</f>
        <v>10</v>
      </c>
      <c r="H64" s="146">
        <f>C64*E64*G64</f>
        <v>179271260</v>
      </c>
      <c r="I64" s="44"/>
      <c r="J64" s="137"/>
    </row>
    <row r="65" spans="1:24" s="102" customFormat="1" x14ac:dyDescent="0.2">
      <c r="A65" s="92"/>
      <c r="B65" s="104" t="s">
        <v>227</v>
      </c>
      <c r="C65" s="104">
        <f>+(2*2*4)</f>
        <v>16</v>
      </c>
      <c r="D65" s="104" t="s">
        <v>240</v>
      </c>
      <c r="E65" s="81">
        <v>856561</v>
      </c>
      <c r="F65" s="104"/>
      <c r="G65" s="104"/>
      <c r="H65" s="146">
        <f>+E65*C65</f>
        <v>13704976</v>
      </c>
      <c r="I65" s="44"/>
      <c r="J65" s="137"/>
    </row>
    <row r="66" spans="1:24" s="102" customFormat="1" x14ac:dyDescent="0.2">
      <c r="B66" s="104" t="s">
        <v>228</v>
      </c>
      <c r="C66" s="104">
        <v>10</v>
      </c>
      <c r="D66" s="104" t="s">
        <v>240</v>
      </c>
      <c r="E66" s="81">
        <v>6604729</v>
      </c>
      <c r="F66" s="200">
        <v>0.5</v>
      </c>
      <c r="G66" s="104">
        <v>10</v>
      </c>
      <c r="H66" s="146">
        <f>+E66*C66*G66*F66</f>
        <v>330236450</v>
      </c>
      <c r="I66" s="83"/>
      <c r="J66" s="137"/>
    </row>
    <row r="67" spans="1:24" x14ac:dyDescent="0.2">
      <c r="B67" s="81" t="s">
        <v>56</v>
      </c>
      <c r="C67" s="104">
        <v>10</v>
      </c>
      <c r="D67" s="104" t="s">
        <v>240</v>
      </c>
      <c r="E67" s="94">
        <v>1300000</v>
      </c>
      <c r="F67" s="200">
        <v>0.5</v>
      </c>
      <c r="G67" s="104">
        <v>10</v>
      </c>
      <c r="H67" s="146">
        <f>+E67*C67*F67*G67</f>
        <v>65000000</v>
      </c>
      <c r="I67" s="44"/>
      <c r="J67" s="137"/>
    </row>
    <row r="68" spans="1:24" x14ac:dyDescent="0.2">
      <c r="B68" s="81" t="s">
        <v>178</v>
      </c>
      <c r="C68" s="104">
        <v>10</v>
      </c>
      <c r="D68" s="104" t="s">
        <v>240</v>
      </c>
      <c r="E68" s="94">
        <v>155000</v>
      </c>
      <c r="F68" s="200">
        <v>0.5</v>
      </c>
      <c r="G68" s="104">
        <v>10</v>
      </c>
      <c r="H68" s="146">
        <f>C68*E68*F68*G68</f>
        <v>7750000</v>
      </c>
      <c r="J68" s="52"/>
    </row>
    <row r="69" spans="1:24" x14ac:dyDescent="0.2">
      <c r="B69" s="81" t="s">
        <v>379</v>
      </c>
      <c r="C69" s="104"/>
      <c r="D69" s="104"/>
      <c r="E69" s="94"/>
      <c r="F69" s="200"/>
      <c r="G69" s="104"/>
      <c r="H69" s="146" t="s">
        <v>67</v>
      </c>
      <c r="J69" s="52"/>
    </row>
    <row r="70" spans="1:24" ht="15" x14ac:dyDescent="0.25">
      <c r="B70" s="81" t="s">
        <v>385</v>
      </c>
      <c r="C70" s="104"/>
      <c r="D70" s="104"/>
      <c r="E70" s="94"/>
      <c r="F70" s="200"/>
      <c r="G70" s="104"/>
      <c r="H70" s="146" t="s">
        <v>67</v>
      </c>
      <c r="I70" s="98" t="s">
        <v>159</v>
      </c>
      <c r="J70" s="52"/>
    </row>
    <row r="71" spans="1:24" ht="15" x14ac:dyDescent="0.25">
      <c r="B71" s="85" t="s">
        <v>241</v>
      </c>
      <c r="C71" s="86"/>
      <c r="D71" s="86"/>
      <c r="E71" s="87"/>
      <c r="F71" s="87"/>
      <c r="G71" s="86"/>
      <c r="H71" s="98">
        <f>SUM(H52:H68)</f>
        <v>2421842686</v>
      </c>
      <c r="I71" s="98">
        <f>H71/12</f>
        <v>201820223.83333334</v>
      </c>
      <c r="J71" s="52"/>
    </row>
    <row r="72" spans="1:24" s="102" customFormat="1" ht="260.45" hidden="1" customHeight="1" x14ac:dyDescent="0.2">
      <c r="B72" s="99" t="s">
        <v>86</v>
      </c>
      <c r="C72" s="302"/>
      <c r="D72" s="302"/>
      <c r="E72" s="302"/>
      <c r="F72" s="302"/>
      <c r="G72" s="302"/>
      <c r="H72" s="302"/>
      <c r="J72" s="52">
        <v>1846986450</v>
      </c>
    </row>
    <row r="73" spans="1:24" s="102" customFormat="1" ht="15" x14ac:dyDescent="0.25">
      <c r="B73" s="141" t="s">
        <v>242</v>
      </c>
      <c r="C73" s="150"/>
      <c r="D73" s="150"/>
      <c r="E73" s="150"/>
      <c r="F73" s="150"/>
      <c r="G73" s="151"/>
      <c r="H73" s="152">
        <f>(H62+H63)+H66+H67+H68</f>
        <v>1846986450</v>
      </c>
      <c r="I73" s="101"/>
      <c r="J73" s="52"/>
    </row>
    <row r="74" spans="1:24" s="102" customFormat="1" x14ac:dyDescent="0.2">
      <c r="B74" s="99"/>
      <c r="C74" s="302"/>
      <c r="D74" s="302"/>
      <c r="E74" s="302"/>
      <c r="F74" s="302"/>
      <c r="G74" s="101"/>
      <c r="H74" s="101"/>
      <c r="I74" s="101"/>
      <c r="J74" s="101"/>
    </row>
    <row r="75" spans="1:24" ht="280.5" customHeight="1" x14ac:dyDescent="0.2">
      <c r="B75" s="207" t="s">
        <v>386</v>
      </c>
      <c r="C75" s="102"/>
      <c r="D75" s="102"/>
      <c r="E75" s="102"/>
      <c r="F75" s="77"/>
    </row>
    <row r="76" spans="1:24" s="102" customFormat="1" ht="14.45" customHeight="1" x14ac:dyDescent="0.25">
      <c r="A76" s="91"/>
      <c r="B76" s="853" t="str">
        <f>+B9</f>
        <v>3.3. Aumento de la capacidad instalada regional para el secamiento, almacenamiento, y procesamiento agroindustrial de maíz.</v>
      </c>
      <c r="C76" s="852"/>
      <c r="D76" s="852"/>
      <c r="E76" s="852"/>
      <c r="F76" s="852"/>
      <c r="G76" s="852"/>
      <c r="H76" s="852"/>
    </row>
    <row r="77" spans="1:24" hidden="1" x14ac:dyDescent="0.2">
      <c r="B77" s="134"/>
      <c r="C77" s="134"/>
      <c r="D77" s="134"/>
      <c r="E77" s="134"/>
      <c r="F77" s="134"/>
      <c r="G77" s="134"/>
      <c r="H77" s="134"/>
    </row>
    <row r="78" spans="1:24" s="102" customFormat="1" ht="28.5" customHeight="1" x14ac:dyDescent="0.25">
      <c r="B78" s="854" t="str">
        <f>Portafolio_Cadena_Maíz!H42</f>
        <v>3.3.1. Identificar y seleccionar al interior de las subregiones maiceras priorizadas, las locaciones, con mejores condiciones de ubicación, infraestructura y logística, respecto a las zonas de producción, transformación y consumo, para la construcción, ampliación y mejora de la infraestructura de secamiento y almacenamiento, teniendo en cuenta la caracterización subregional de la actividad 9.4.3.</v>
      </c>
      <c r="C78" s="855"/>
      <c r="D78" s="855"/>
      <c r="E78" s="855"/>
      <c r="F78" s="855"/>
      <c r="G78" s="855"/>
      <c r="H78" s="855"/>
      <c r="I78" s="393"/>
      <c r="X78" s="77"/>
    </row>
    <row r="79" spans="1:24" s="102" customFormat="1" ht="28.5" customHeight="1" x14ac:dyDescent="0.25">
      <c r="B79" s="854" t="str">
        <f>Portafolio_Cadena_Maíz!H43</f>
        <v>3.3.2. Capacitar, orientar y acompañar técnicamente a los productores, sus empresas y/o a los agroindustriales, sobre construcción, mejora y adecuación de los diferentes tipos de infraestructura de secamiento y almacenamiento de maíz, acorde con las subregiones maiceras priorizadas.</v>
      </c>
      <c r="C79" s="855"/>
      <c r="D79" s="855"/>
      <c r="E79" s="855"/>
      <c r="F79" s="855"/>
      <c r="G79" s="855"/>
      <c r="H79" s="855"/>
      <c r="I79" s="393"/>
      <c r="X79" s="77"/>
    </row>
    <row r="80" spans="1:24" s="102" customFormat="1" ht="33" customHeight="1" x14ac:dyDescent="0.25">
      <c r="B80" s="854" t="str">
        <f>Portafolio_Cadena_Maíz!H44</f>
        <v>3.3.3. Promover la financiación, cofinanciación, incentivos, alianzas público - privadas, inversión directa, estructuración de planes de negocio, entre otras, para ampliar la infraestructura de secamiento y almacenamiento y para promover la instalación de nuevas empresas agroindustriales para el procesamiento de maíz.</v>
      </c>
      <c r="C80" s="855"/>
      <c r="D80" s="855"/>
      <c r="E80" s="855"/>
      <c r="F80" s="855"/>
      <c r="G80" s="855"/>
      <c r="H80" s="855"/>
      <c r="I80" s="393"/>
      <c r="X80" s="77"/>
    </row>
    <row r="81" spans="1:10" ht="33.6" customHeight="1" x14ac:dyDescent="0.25">
      <c r="B81" s="854" t="str">
        <f>Portafolio_Cadena_Maíz!H45</f>
        <v>3.3.4. Capacitar a los productores y/o agroindustriales en los diferentes tipos de procesos industriales que usan el maíz como materia prima, así como el acompañamiento en el aprovechamiento de atributos diferenciales asociados a la calidad del maíz y la fabricación de nuevos productos, que agreguen valor, tanto en las líneas de consumo animal como humano.</v>
      </c>
      <c r="C81" s="855"/>
      <c r="D81" s="855"/>
      <c r="E81" s="855"/>
      <c r="F81" s="855"/>
      <c r="G81" s="855"/>
      <c r="H81" s="855"/>
    </row>
    <row r="82" spans="1:10" ht="15" x14ac:dyDescent="0.25">
      <c r="B82" s="854" t="str">
        <f>Portafolio_Cadena_Maíz!H46</f>
        <v xml:space="preserve">3.3.5. Promover la creación de empresas agroindustriales regionales para el procesamiento de maíz y fabricación de derivados, brindando acompañamiento técnico y cofinanciación para la formulación y ejecución de planes de negocio. </v>
      </c>
      <c r="C82" s="855"/>
      <c r="D82" s="855"/>
      <c r="E82" s="855"/>
      <c r="F82" s="855"/>
      <c r="G82" s="855"/>
      <c r="H82" s="855"/>
    </row>
    <row r="83" spans="1:10" ht="14.1" customHeight="1" x14ac:dyDescent="0.25">
      <c r="B83" s="396"/>
      <c r="C83" s="415"/>
      <c r="D83" s="415"/>
      <c r="E83" s="415"/>
      <c r="F83" s="415"/>
      <c r="G83" s="415"/>
      <c r="H83" s="415"/>
    </row>
    <row r="84" spans="1:10" ht="15" x14ac:dyDescent="0.25">
      <c r="B84" s="857" t="s">
        <v>595</v>
      </c>
      <c r="C84" s="857"/>
      <c r="D84" s="857"/>
      <c r="E84" s="857"/>
      <c r="F84" s="857"/>
      <c r="G84" s="857"/>
      <c r="H84" s="857"/>
    </row>
    <row r="85" spans="1:10" ht="15" x14ac:dyDescent="0.25">
      <c r="B85" s="78" t="s">
        <v>68</v>
      </c>
      <c r="C85" s="78" t="s">
        <v>58</v>
      </c>
      <c r="D85" s="78" t="s">
        <v>55</v>
      </c>
      <c r="E85" s="78" t="s">
        <v>54</v>
      </c>
      <c r="F85" s="78" t="s">
        <v>69</v>
      </c>
      <c r="G85" s="78" t="s">
        <v>70</v>
      </c>
      <c r="H85" s="78" t="s">
        <v>71</v>
      </c>
      <c r="J85" s="137"/>
    </row>
    <row r="86" spans="1:10" s="102" customFormat="1" x14ac:dyDescent="0.2">
      <c r="A86" s="92"/>
      <c r="B86" s="303" t="s">
        <v>233</v>
      </c>
      <c r="C86" s="103">
        <v>30</v>
      </c>
      <c r="D86" s="103" t="s">
        <v>73</v>
      </c>
      <c r="E86" s="355">
        <v>500000</v>
      </c>
      <c r="F86" s="103"/>
      <c r="G86" s="103"/>
      <c r="H86" s="146">
        <f>+E86*C86</f>
        <v>15000000</v>
      </c>
      <c r="I86" s="44"/>
      <c r="J86" s="137"/>
    </row>
    <row r="87" spans="1:10" s="102" customFormat="1" x14ac:dyDescent="0.2">
      <c r="A87" s="92"/>
      <c r="B87" s="303" t="s">
        <v>74</v>
      </c>
      <c r="C87" s="103">
        <v>30</v>
      </c>
      <c r="D87" s="103" t="s">
        <v>73</v>
      </c>
      <c r="E87" s="355">
        <v>100000</v>
      </c>
      <c r="F87" s="103"/>
      <c r="G87" s="103"/>
      <c r="H87" s="146">
        <f t="shared" ref="H87:H92" si="15">+E87*C87</f>
        <v>3000000</v>
      </c>
      <c r="I87" s="44"/>
      <c r="J87" s="137"/>
    </row>
    <row r="88" spans="1:10" s="102" customFormat="1" x14ac:dyDescent="0.2">
      <c r="A88" s="92"/>
      <c r="B88" s="303" t="s">
        <v>224</v>
      </c>
      <c r="C88" s="104">
        <v>40</v>
      </c>
      <c r="D88" s="103" t="s">
        <v>73</v>
      </c>
      <c r="E88" s="355">
        <v>2300000</v>
      </c>
      <c r="F88" s="103"/>
      <c r="G88" s="103"/>
      <c r="H88" s="146">
        <f t="shared" si="15"/>
        <v>92000000</v>
      </c>
      <c r="I88" s="44"/>
      <c r="J88" s="137"/>
    </row>
    <row r="89" spans="1:10" s="102" customFormat="1" x14ac:dyDescent="0.2">
      <c r="A89" s="92"/>
      <c r="B89" s="303" t="s">
        <v>225</v>
      </c>
      <c r="C89" s="104">
        <v>40</v>
      </c>
      <c r="D89" s="103" t="s">
        <v>73</v>
      </c>
      <c r="E89" s="355">
        <v>460000</v>
      </c>
      <c r="F89" s="103"/>
      <c r="G89" s="103"/>
      <c r="H89" s="146">
        <f t="shared" si="15"/>
        <v>18400000</v>
      </c>
      <c r="I89" s="44"/>
      <c r="J89" s="137"/>
    </row>
    <row r="90" spans="1:10" s="102" customFormat="1" x14ac:dyDescent="0.2">
      <c r="A90" s="92"/>
      <c r="B90" s="303" t="s">
        <v>234</v>
      </c>
      <c r="C90" s="104">
        <v>10</v>
      </c>
      <c r="D90" s="103" t="s">
        <v>73</v>
      </c>
      <c r="E90" s="355">
        <v>3270000</v>
      </c>
      <c r="F90" s="103"/>
      <c r="G90" s="103"/>
      <c r="H90" s="146">
        <f t="shared" si="15"/>
        <v>32700000</v>
      </c>
      <c r="I90" s="44"/>
      <c r="J90" s="137"/>
    </row>
    <row r="91" spans="1:10" s="102" customFormat="1" x14ac:dyDescent="0.2">
      <c r="A91" s="92"/>
      <c r="B91" s="303" t="s">
        <v>229</v>
      </c>
      <c r="C91" s="104">
        <v>10</v>
      </c>
      <c r="D91" s="103" t="s">
        <v>65</v>
      </c>
      <c r="E91" s="355">
        <v>6000000</v>
      </c>
      <c r="F91" s="103"/>
      <c r="G91" s="103"/>
      <c r="H91" s="146">
        <f t="shared" si="15"/>
        <v>60000000</v>
      </c>
      <c r="I91" s="44"/>
      <c r="J91" s="137"/>
    </row>
    <row r="92" spans="1:10" s="102" customFormat="1" x14ac:dyDescent="0.2">
      <c r="A92" s="92"/>
      <c r="B92" s="303" t="s">
        <v>77</v>
      </c>
      <c r="C92" s="104">
        <v>10</v>
      </c>
      <c r="D92" s="103" t="s">
        <v>65</v>
      </c>
      <c r="E92" s="355">
        <v>1800000</v>
      </c>
      <c r="F92" s="103"/>
      <c r="G92" s="103"/>
      <c r="H92" s="146">
        <f t="shared" si="15"/>
        <v>18000000</v>
      </c>
      <c r="I92" s="44"/>
      <c r="J92" s="137"/>
    </row>
    <row r="93" spans="1:10" s="102" customFormat="1" x14ac:dyDescent="0.2">
      <c r="A93" s="92"/>
      <c r="B93" s="303" t="s">
        <v>236</v>
      </c>
      <c r="C93" s="103">
        <v>5</v>
      </c>
      <c r="D93" s="103" t="s">
        <v>239</v>
      </c>
      <c r="E93" s="355">
        <v>8954882.5200000014</v>
      </c>
      <c r="F93" s="103"/>
      <c r="G93" s="103"/>
      <c r="H93" s="146">
        <f>C93*E93</f>
        <v>44774412.600000009</v>
      </c>
      <c r="I93" s="44"/>
      <c r="J93" s="137"/>
    </row>
    <row r="94" spans="1:10" s="102" customFormat="1" x14ac:dyDescent="0.2">
      <c r="A94" s="92"/>
      <c r="B94" s="303" t="s">
        <v>237</v>
      </c>
      <c r="C94" s="103">
        <v>3</v>
      </c>
      <c r="D94" s="103" t="s">
        <v>239</v>
      </c>
      <c r="E94" s="355">
        <v>19476574.949999999</v>
      </c>
      <c r="F94" s="103"/>
      <c r="G94" s="103"/>
      <c r="H94" s="146">
        <f t="shared" ref="H94:H95" si="16">C94*E94</f>
        <v>58429724.849999994</v>
      </c>
      <c r="I94" s="44"/>
      <c r="J94" s="137"/>
    </row>
    <row r="95" spans="1:10" s="102" customFormat="1" x14ac:dyDescent="0.2">
      <c r="B95" s="303" t="s">
        <v>238</v>
      </c>
      <c r="C95" s="103">
        <v>1</v>
      </c>
      <c r="D95" s="103" t="s">
        <v>239</v>
      </c>
      <c r="E95" s="355">
        <v>39597849.755999997</v>
      </c>
      <c r="F95" s="103"/>
      <c r="G95" s="103"/>
      <c r="H95" s="146">
        <f t="shared" si="16"/>
        <v>39597849.755999997</v>
      </c>
      <c r="I95" s="44"/>
      <c r="J95" s="137"/>
    </row>
    <row r="96" spans="1:10" s="102" customFormat="1" x14ac:dyDescent="0.2">
      <c r="A96" s="92"/>
      <c r="B96" s="303" t="s">
        <v>210</v>
      </c>
      <c r="C96" s="103">
        <v>2</v>
      </c>
      <c r="D96" s="103" t="s">
        <v>244</v>
      </c>
      <c r="E96" s="53">
        <v>8963563</v>
      </c>
      <c r="F96" s="97"/>
      <c r="G96" s="103">
        <v>10</v>
      </c>
      <c r="H96" s="146">
        <f>C96*E96*G96</f>
        <v>179271260</v>
      </c>
      <c r="I96" s="44"/>
      <c r="J96" s="52"/>
    </row>
    <row r="97" spans="1:29" x14ac:dyDescent="0.2">
      <c r="B97" s="103" t="s">
        <v>235</v>
      </c>
      <c r="C97" s="104">
        <v>10</v>
      </c>
      <c r="D97" s="103" t="s">
        <v>240</v>
      </c>
      <c r="E97" s="53">
        <v>6604729</v>
      </c>
      <c r="F97" s="97">
        <v>0.5</v>
      </c>
      <c r="G97" s="103">
        <v>10</v>
      </c>
      <c r="H97" s="146">
        <f t="shared" ref="H97:H99" si="17">C97*E97*G97</f>
        <v>660472900</v>
      </c>
      <c r="I97" s="44"/>
      <c r="J97" s="52"/>
    </row>
    <row r="98" spans="1:29" x14ac:dyDescent="0.2">
      <c r="B98" s="81" t="s">
        <v>56</v>
      </c>
      <c r="C98" s="104">
        <v>10</v>
      </c>
      <c r="D98" s="103" t="s">
        <v>240</v>
      </c>
      <c r="E98" s="53">
        <v>1300000</v>
      </c>
      <c r="F98" s="97">
        <v>0.5</v>
      </c>
      <c r="G98" s="103">
        <v>10</v>
      </c>
      <c r="H98" s="146">
        <f t="shared" si="17"/>
        <v>130000000</v>
      </c>
      <c r="I98" s="44"/>
      <c r="J98" s="52"/>
    </row>
    <row r="99" spans="1:29" ht="15" x14ac:dyDescent="0.25">
      <c r="B99" s="103" t="s">
        <v>178</v>
      </c>
      <c r="C99" s="103">
        <v>10</v>
      </c>
      <c r="D99" s="103" t="s">
        <v>240</v>
      </c>
      <c r="E99" s="53">
        <v>155000</v>
      </c>
      <c r="F99" s="97">
        <v>0.5</v>
      </c>
      <c r="G99" s="103">
        <v>10</v>
      </c>
      <c r="H99" s="146">
        <f t="shared" si="17"/>
        <v>15500000</v>
      </c>
      <c r="I99" s="98" t="s">
        <v>159</v>
      </c>
      <c r="J99" s="52"/>
    </row>
    <row r="100" spans="1:29" ht="15" x14ac:dyDescent="0.25">
      <c r="B100" s="85" t="s">
        <v>243</v>
      </c>
      <c r="C100" s="86"/>
      <c r="D100" s="86"/>
      <c r="E100" s="87"/>
      <c r="F100" s="87"/>
      <c r="G100" s="86"/>
      <c r="H100" s="98">
        <f>SUM(H86:H99)</f>
        <v>1367146147.2060001</v>
      </c>
      <c r="I100" s="98">
        <f>H100/12</f>
        <v>113928845.6005</v>
      </c>
      <c r="J100" s="52"/>
    </row>
    <row r="101" spans="1:29" s="102" customFormat="1" ht="260.45" hidden="1" customHeight="1" x14ac:dyDescent="0.2">
      <c r="B101" s="99" t="s">
        <v>86</v>
      </c>
      <c r="C101" s="302"/>
      <c r="D101" s="302"/>
      <c r="E101" s="302"/>
      <c r="F101" s="302"/>
      <c r="G101" s="302"/>
      <c r="H101" s="302"/>
      <c r="J101" s="52"/>
    </row>
    <row r="102" spans="1:29" ht="15" x14ac:dyDescent="0.25">
      <c r="B102" s="403" t="s">
        <v>596</v>
      </c>
      <c r="I102" s="402">
        <v>2</v>
      </c>
      <c r="J102" s="402">
        <v>3</v>
      </c>
      <c r="K102" s="402">
        <v>4</v>
      </c>
      <c r="L102" s="402">
        <v>5</v>
      </c>
      <c r="M102" s="402">
        <v>6</v>
      </c>
      <c r="N102" s="402">
        <v>7</v>
      </c>
      <c r="O102" s="402">
        <v>8</v>
      </c>
      <c r="P102" s="402">
        <v>9</v>
      </c>
      <c r="Q102" s="402">
        <v>10</v>
      </c>
      <c r="R102" s="402">
        <v>11</v>
      </c>
      <c r="S102" s="402">
        <v>12</v>
      </c>
      <c r="T102" s="402">
        <v>13</v>
      </c>
      <c r="U102" s="402">
        <v>14</v>
      </c>
      <c r="V102" s="402">
        <v>15</v>
      </c>
      <c r="W102" s="402">
        <v>16</v>
      </c>
      <c r="X102" s="402">
        <v>17</v>
      </c>
      <c r="Y102" s="402">
        <v>18</v>
      </c>
      <c r="Z102" s="402">
        <v>19</v>
      </c>
      <c r="AA102" s="402">
        <v>20</v>
      </c>
      <c r="AB102" s="402" t="s">
        <v>32</v>
      </c>
    </row>
    <row r="103" spans="1:29" ht="15" x14ac:dyDescent="0.25">
      <c r="B103" s="381" t="s">
        <v>601</v>
      </c>
      <c r="I103" s="405">
        <v>10347670913.692411</v>
      </c>
      <c r="J103" s="405">
        <v>11899821550.746275</v>
      </c>
      <c r="K103" s="405">
        <v>13684794783.358215</v>
      </c>
      <c r="L103" s="405">
        <v>15737514000.86195</v>
      </c>
      <c r="M103" s="405">
        <v>18098141100.991241</v>
      </c>
      <c r="N103" s="405">
        <v>21717769321.189487</v>
      </c>
      <c r="O103" s="405">
        <v>26061323185.427387</v>
      </c>
      <c r="P103" s="405">
        <v>31273587822.512867</v>
      </c>
      <c r="Q103" s="405">
        <v>37528305387.015442</v>
      </c>
      <c r="R103" s="405">
        <v>31273587822.512867</v>
      </c>
      <c r="S103" s="405">
        <v>25018870258.010296</v>
      </c>
      <c r="T103" s="405">
        <v>20015096206.408234</v>
      </c>
      <c r="U103" s="405">
        <v>16012076965.126587</v>
      </c>
      <c r="V103" s="405">
        <v>12809661572.101273</v>
      </c>
      <c r="W103" s="405">
        <v>10247729257.681017</v>
      </c>
      <c r="X103" s="405">
        <v>8198183406.1448145</v>
      </c>
      <c r="Y103" s="405">
        <v>6558546724.9158516</v>
      </c>
      <c r="Z103" s="405">
        <v>5246837379.932682</v>
      </c>
      <c r="AA103" s="405">
        <v>4197469903.9461455</v>
      </c>
      <c r="AB103" s="405">
        <v>325926987562.57507</v>
      </c>
      <c r="AC103" s="115"/>
    </row>
    <row r="104" spans="1:29" ht="15" x14ac:dyDescent="0.25">
      <c r="B104" s="382" t="s">
        <v>602</v>
      </c>
      <c r="I104" s="385">
        <v>42106848047.703651</v>
      </c>
      <c r="J104" s="385">
        <v>48422875254.8592</v>
      </c>
      <c r="K104" s="385">
        <v>55686306543.088074</v>
      </c>
      <c r="L104" s="385">
        <v>64039252524.5513</v>
      </c>
      <c r="M104" s="385">
        <v>73645140403.233994</v>
      </c>
      <c r="N104" s="385">
        <v>88374168483.880783</v>
      </c>
      <c r="O104" s="385">
        <v>106049002180.65695</v>
      </c>
      <c r="P104" s="385">
        <v>127258802616.78833</v>
      </c>
      <c r="Q104" s="385">
        <v>152710563140.14603</v>
      </c>
      <c r="R104" s="385">
        <v>127258802616.78833</v>
      </c>
      <c r="S104" s="385">
        <v>101807042093.43068</v>
      </c>
      <c r="T104" s="385">
        <v>81445633674.744537</v>
      </c>
      <c r="U104" s="385">
        <v>65156506939.795631</v>
      </c>
      <c r="V104" s="385">
        <v>52125205551.836517</v>
      </c>
      <c r="W104" s="385">
        <v>41700164441.469208</v>
      </c>
      <c r="X104" s="385">
        <v>33360131553.175369</v>
      </c>
      <c r="Y104" s="385">
        <v>26688105242.540298</v>
      </c>
      <c r="Z104" s="385">
        <v>21350484194.032238</v>
      </c>
      <c r="AA104" s="385">
        <v>17080387355.225792</v>
      </c>
      <c r="AB104" s="385">
        <v>1326265422857.9473</v>
      </c>
      <c r="AC104" s="115"/>
    </row>
    <row r="105" spans="1:29" ht="15" x14ac:dyDescent="0.25">
      <c r="B105" s="404" t="s">
        <v>603</v>
      </c>
      <c r="I105" s="406">
        <v>12732943247.227829</v>
      </c>
      <c r="J105" s="406">
        <v>14642884734.312004</v>
      </c>
      <c r="K105" s="406">
        <v>16839317444.458805</v>
      </c>
      <c r="L105" s="406">
        <v>19365215061.127628</v>
      </c>
      <c r="M105" s="406">
        <v>22269997320.296768</v>
      </c>
      <c r="N105" s="406">
        <v>26723996784.356121</v>
      </c>
      <c r="O105" s="406">
        <v>32068796141.227352</v>
      </c>
      <c r="P105" s="406">
        <v>38482555369.472816</v>
      </c>
      <c r="Q105" s="406">
        <v>46179066443.367393</v>
      </c>
      <c r="R105" s="406">
        <v>38482555369.472816</v>
      </c>
      <c r="S105" s="406">
        <v>30786044295.578255</v>
      </c>
      <c r="T105" s="406">
        <v>24628835436.462605</v>
      </c>
      <c r="U105" s="406">
        <v>19703068349.170082</v>
      </c>
      <c r="V105" s="406">
        <v>15762454679.336069</v>
      </c>
      <c r="W105" s="406">
        <v>12609963743.468855</v>
      </c>
      <c r="X105" s="406">
        <v>10087970994.775084</v>
      </c>
      <c r="Y105" s="406">
        <v>8070376795.8200674</v>
      </c>
      <c r="Z105" s="406">
        <v>6456301436.6560545</v>
      </c>
      <c r="AA105" s="406">
        <v>5165041149.3248444</v>
      </c>
      <c r="AB105" s="406">
        <v>401057384795.9115</v>
      </c>
      <c r="AC105" s="115"/>
    </row>
    <row r="106" spans="1:29" ht="408.6" customHeight="1" x14ac:dyDescent="0.2">
      <c r="B106" s="412" t="s">
        <v>605</v>
      </c>
    </row>
    <row r="107" spans="1:29" ht="408.6" customHeight="1" x14ac:dyDescent="0.2"/>
    <row r="109" spans="1:29" s="102" customFormat="1" ht="14.45" customHeight="1" x14ac:dyDescent="0.25">
      <c r="A109" s="91"/>
      <c r="B109" s="853" t="str">
        <f>B10</f>
        <v xml:space="preserve">3.4. Fortalecimiento de la oferta de insumos y servicios asociados a la cadena. </v>
      </c>
      <c r="C109" s="853"/>
      <c r="D109" s="853"/>
      <c r="E109" s="853"/>
      <c r="F109" s="853"/>
      <c r="G109" s="853"/>
      <c r="H109" s="853"/>
    </row>
    <row r="110" spans="1:29" hidden="1" x14ac:dyDescent="0.2">
      <c r="B110" s="134"/>
      <c r="C110" s="134"/>
      <c r="D110" s="134"/>
      <c r="E110" s="134"/>
      <c r="F110" s="134"/>
      <c r="G110" s="134"/>
      <c r="H110" s="134"/>
    </row>
    <row r="111" spans="1:29" s="102" customFormat="1" ht="35.450000000000003" customHeight="1" x14ac:dyDescent="0.25">
      <c r="B111" s="854" t="str">
        <f>Portafolio_Cadena_Maíz!H47</f>
        <v>3.4.1. Identificar y convocar a los proveedores de insumos y servicios comerciales, técnicos y logísticos, de las subregiones maiceras priorizadas, para fortalecer su oferta, acorde con las necesidades de la cadena, y a partir de la caracterización subregional de la actividad 9.4.3.</v>
      </c>
      <c r="C111" s="855"/>
      <c r="D111" s="855"/>
      <c r="E111" s="855"/>
      <c r="F111" s="855"/>
      <c r="G111" s="855"/>
      <c r="H111" s="855"/>
      <c r="I111" s="393"/>
      <c r="X111" s="77"/>
    </row>
    <row r="112" spans="1:29" s="102" customFormat="1" ht="14.45" customHeight="1" x14ac:dyDescent="0.25">
      <c r="B112" s="854" t="str">
        <f>Portafolio_Cadena_Maíz!H48</f>
        <v xml:space="preserve">3.4.2. Promover en Colombia, la multiplicación y comercialización de semillas hibridas de alta tecnología a precios competitivos, a través de acompañamiento para crear empresas que se dediquen a esta actividad y de orientación a las ya existentes.  </v>
      </c>
      <c r="C112" s="855"/>
      <c r="D112" s="855"/>
      <c r="E112" s="855"/>
      <c r="F112" s="855"/>
      <c r="G112" s="855"/>
      <c r="H112" s="855"/>
      <c r="I112" s="393"/>
      <c r="X112" s="77"/>
    </row>
    <row r="113" spans="1:24" s="102" customFormat="1" ht="14.45" customHeight="1" x14ac:dyDescent="0.25">
      <c r="B113" s="854" t="str">
        <f>Portafolio_Cadena_Maíz!H49</f>
        <v>3.4.3. Fomentar la creación de empresas: comerciales, de insumos, de bioinsumos, de servicios, logística y de tecnología, a través de acompañamiento técnico y de la divulgación de los instrumentos financieros disponibles, a los productores y/o agroindustriales.</v>
      </c>
      <c r="C113" s="855"/>
      <c r="D113" s="855"/>
      <c r="E113" s="855"/>
      <c r="F113" s="855"/>
      <c r="G113" s="855"/>
      <c r="H113" s="855"/>
      <c r="I113" s="393"/>
      <c r="X113" s="77"/>
    </row>
    <row r="114" spans="1:24" ht="15" x14ac:dyDescent="0.25">
      <c r="B114" s="854" t="str">
        <f>Portafolio_Cadena_Maíz!H50</f>
        <v>3.4.4. Capacitar a los productores y/o agroindustriales, en la gestión de sus cadenas de suministro de insumos y servicios, la logística de sus operaciones y la tecnología aplicable en estas.</v>
      </c>
      <c r="C114" s="855"/>
      <c r="D114" s="855"/>
      <c r="E114" s="855"/>
      <c r="F114" s="855"/>
      <c r="G114" s="855"/>
      <c r="H114" s="855"/>
    </row>
    <row r="115" spans="1:24" ht="29.1" customHeight="1" x14ac:dyDescent="0.25">
      <c r="B115" s="854" t="str">
        <f>Portafolio_Cadena_Maíz!H51</f>
        <v>3.4.5. Promover el establecimiento de una mayor cantidad de oferentes de maquinaria agrícola, en las regiones productoras, y de empresas prestadoras de servicios de mecanización agrícola, que incluyan las tecnologías de agricultura de precisión en su oferta de productos y servicios.</v>
      </c>
      <c r="C115" s="855"/>
      <c r="D115" s="855"/>
      <c r="E115" s="855"/>
      <c r="F115" s="855"/>
      <c r="G115" s="855"/>
      <c r="H115" s="855"/>
    </row>
    <row r="116" spans="1:24" ht="15" x14ac:dyDescent="0.25">
      <c r="B116" s="854" t="str">
        <f>Portafolio_Cadena_Maíz!H52</f>
        <v>3.4.6. Promover la capacitación de operadores de maquinaria agrícola y equipos tecnológicos para la agricultura, y la capacitación de personas para su mantenimiento y reparación.</v>
      </c>
      <c r="C116" s="855"/>
      <c r="D116" s="855"/>
      <c r="E116" s="855"/>
      <c r="F116" s="855"/>
      <c r="G116" s="855"/>
      <c r="H116" s="855"/>
    </row>
    <row r="118" spans="1:24" ht="15" x14ac:dyDescent="0.25">
      <c r="B118" s="857" t="s">
        <v>595</v>
      </c>
      <c r="C118" s="857"/>
      <c r="D118" s="857"/>
      <c r="E118" s="857"/>
      <c r="F118" s="857"/>
      <c r="G118" s="857"/>
      <c r="H118" s="857"/>
    </row>
    <row r="119" spans="1:24" ht="15" x14ac:dyDescent="0.25">
      <c r="B119" s="78" t="s">
        <v>68</v>
      </c>
      <c r="C119" s="78" t="s">
        <v>58</v>
      </c>
      <c r="D119" s="78" t="s">
        <v>55</v>
      </c>
      <c r="E119" s="78" t="s">
        <v>54</v>
      </c>
      <c r="F119" s="78" t="s">
        <v>69</v>
      </c>
      <c r="G119" s="78" t="s">
        <v>70</v>
      </c>
      <c r="H119" s="78" t="s">
        <v>71</v>
      </c>
      <c r="J119" s="52"/>
    </row>
    <row r="120" spans="1:24" s="102" customFormat="1" x14ac:dyDescent="0.2">
      <c r="A120" s="92"/>
      <c r="B120" s="103" t="s">
        <v>226</v>
      </c>
      <c r="C120" s="104">
        <v>20</v>
      </c>
      <c r="D120" s="103" t="s">
        <v>73</v>
      </c>
      <c r="E120" s="45">
        <v>500000</v>
      </c>
      <c r="F120" s="103"/>
      <c r="G120" s="103"/>
      <c r="H120" s="146">
        <f>+E120*C120</f>
        <v>10000000</v>
      </c>
      <c r="I120" s="84"/>
      <c r="J120" s="52"/>
    </row>
    <row r="121" spans="1:24" s="102" customFormat="1" x14ac:dyDescent="0.2">
      <c r="A121" s="92"/>
      <c r="B121" s="103" t="s">
        <v>74</v>
      </c>
      <c r="C121" s="104">
        <v>20</v>
      </c>
      <c r="D121" s="103" t="s">
        <v>73</v>
      </c>
      <c r="E121" s="45">
        <v>100000</v>
      </c>
      <c r="F121" s="103"/>
      <c r="G121" s="103"/>
      <c r="H121" s="146">
        <f t="shared" ref="H121:H131" si="18">+E121*C121</f>
        <v>2000000</v>
      </c>
      <c r="I121" s="84"/>
      <c r="J121" s="137"/>
    </row>
    <row r="122" spans="1:24" s="102" customFormat="1" x14ac:dyDescent="0.2">
      <c r="A122" s="92"/>
      <c r="B122" s="303" t="s">
        <v>224</v>
      </c>
      <c r="C122" s="103">
        <v>20</v>
      </c>
      <c r="D122" s="103" t="s">
        <v>73</v>
      </c>
      <c r="E122" s="45">
        <v>2300000</v>
      </c>
      <c r="F122" s="103"/>
      <c r="G122" s="103"/>
      <c r="H122" s="146">
        <f t="shared" si="18"/>
        <v>46000000</v>
      </c>
      <c r="I122" s="44"/>
      <c r="J122" s="137"/>
    </row>
    <row r="123" spans="1:24" s="102" customFormat="1" x14ac:dyDescent="0.2">
      <c r="A123" s="92"/>
      <c r="B123" s="103" t="s">
        <v>225</v>
      </c>
      <c r="C123" s="103">
        <v>20</v>
      </c>
      <c r="D123" s="103" t="s">
        <v>73</v>
      </c>
      <c r="E123" s="45">
        <v>460000</v>
      </c>
      <c r="F123" s="103"/>
      <c r="G123" s="103"/>
      <c r="H123" s="146">
        <f t="shared" si="18"/>
        <v>9200000</v>
      </c>
      <c r="I123" s="44"/>
      <c r="J123" s="137"/>
    </row>
    <row r="124" spans="1:24" s="102" customFormat="1" x14ac:dyDescent="0.2">
      <c r="B124" s="303" t="s">
        <v>229</v>
      </c>
      <c r="C124" s="103">
        <v>20</v>
      </c>
      <c r="D124" s="103" t="s">
        <v>65</v>
      </c>
      <c r="E124" s="45">
        <v>6000000</v>
      </c>
      <c r="F124" s="103"/>
      <c r="G124" s="103"/>
      <c r="H124" s="146">
        <f t="shared" si="18"/>
        <v>120000000</v>
      </c>
      <c r="I124" s="44"/>
      <c r="J124" s="137"/>
    </row>
    <row r="125" spans="1:24" s="102" customFormat="1" x14ac:dyDescent="0.2">
      <c r="B125" s="303" t="s">
        <v>77</v>
      </c>
      <c r="C125" s="103">
        <v>20</v>
      </c>
      <c r="D125" s="103" t="s">
        <v>65</v>
      </c>
      <c r="E125" s="45">
        <v>1800000</v>
      </c>
      <c r="F125" s="103"/>
      <c r="G125" s="103"/>
      <c r="H125" s="146">
        <f t="shared" si="18"/>
        <v>36000000</v>
      </c>
      <c r="I125" s="44"/>
      <c r="J125" s="137"/>
    </row>
    <row r="126" spans="1:24" s="102" customFormat="1" x14ac:dyDescent="0.2">
      <c r="A126" s="92"/>
      <c r="B126" s="103" t="s">
        <v>231</v>
      </c>
      <c r="C126" s="104">
        <v>20</v>
      </c>
      <c r="D126" s="103" t="s">
        <v>73</v>
      </c>
      <c r="E126" s="45">
        <v>3000000</v>
      </c>
      <c r="F126" s="103"/>
      <c r="G126" s="103"/>
      <c r="H126" s="146">
        <f t="shared" si="18"/>
        <v>60000000</v>
      </c>
      <c r="I126" s="83"/>
      <c r="J126" s="137"/>
    </row>
    <row r="127" spans="1:24" s="102" customFormat="1" x14ac:dyDescent="0.2">
      <c r="A127" s="92"/>
      <c r="B127" s="103" t="s">
        <v>232</v>
      </c>
      <c r="C127" s="104">
        <v>20</v>
      </c>
      <c r="D127" s="103" t="s">
        <v>73</v>
      </c>
      <c r="E127" s="45">
        <v>900000</v>
      </c>
      <c r="F127" s="103"/>
      <c r="G127" s="103"/>
      <c r="H127" s="146">
        <f t="shared" si="18"/>
        <v>18000000</v>
      </c>
      <c r="I127" s="83"/>
      <c r="J127" s="137"/>
    </row>
    <row r="128" spans="1:24" x14ac:dyDescent="0.2">
      <c r="B128" s="103" t="s">
        <v>172</v>
      </c>
      <c r="C128" s="104">
        <v>10</v>
      </c>
      <c r="D128" s="103" t="s">
        <v>73</v>
      </c>
      <c r="E128" s="108">
        <v>14500000</v>
      </c>
      <c r="F128" s="97"/>
      <c r="G128" s="103"/>
      <c r="H128" s="146">
        <f t="shared" si="18"/>
        <v>145000000</v>
      </c>
      <c r="I128" s="44"/>
      <c r="J128" s="137"/>
    </row>
    <row r="129" spans="1:10" x14ac:dyDescent="0.2">
      <c r="B129" s="103" t="s">
        <v>212</v>
      </c>
      <c r="C129" s="103">
        <v>10</v>
      </c>
      <c r="D129" s="103" t="s">
        <v>73</v>
      </c>
      <c r="E129" s="45">
        <v>5000000</v>
      </c>
      <c r="F129" s="103"/>
      <c r="G129" s="103"/>
      <c r="H129" s="146">
        <f t="shared" si="18"/>
        <v>50000000</v>
      </c>
      <c r="I129" s="44"/>
      <c r="J129" s="52"/>
    </row>
    <row r="130" spans="1:10" s="102" customFormat="1" x14ac:dyDescent="0.2">
      <c r="A130" s="92"/>
      <c r="B130" s="103" t="s">
        <v>245</v>
      </c>
      <c r="C130" s="104">
        <v>10</v>
      </c>
      <c r="D130" s="103" t="s">
        <v>73</v>
      </c>
      <c r="E130" s="45">
        <v>52200000</v>
      </c>
      <c r="F130" s="103"/>
      <c r="G130" s="103"/>
      <c r="H130" s="146">
        <f t="shared" si="18"/>
        <v>522000000</v>
      </c>
      <c r="I130" s="44"/>
      <c r="J130" s="52"/>
    </row>
    <row r="131" spans="1:10" s="102" customFormat="1" x14ac:dyDescent="0.2">
      <c r="A131" s="92"/>
      <c r="B131" s="103" t="s">
        <v>83</v>
      </c>
      <c r="C131" s="104">
        <v>20</v>
      </c>
      <c r="D131" s="103" t="s">
        <v>73</v>
      </c>
      <c r="E131" s="45">
        <v>20000000</v>
      </c>
      <c r="F131" s="103"/>
      <c r="G131" s="103"/>
      <c r="H131" s="146">
        <f t="shared" si="18"/>
        <v>400000000</v>
      </c>
      <c r="I131" s="44"/>
      <c r="J131" s="137"/>
    </row>
    <row r="132" spans="1:10" s="102" customFormat="1" x14ac:dyDescent="0.2">
      <c r="A132" s="92"/>
      <c r="B132" s="303" t="s">
        <v>236</v>
      </c>
      <c r="C132" s="104">
        <v>6</v>
      </c>
      <c r="D132" s="103" t="s">
        <v>246</v>
      </c>
      <c r="E132" s="45">
        <v>8954882.5200000014</v>
      </c>
      <c r="F132" s="103"/>
      <c r="G132" s="103"/>
      <c r="H132" s="146">
        <f>E132*C132</f>
        <v>53729295.120000005</v>
      </c>
      <c r="I132" s="44"/>
      <c r="J132" s="137"/>
    </row>
    <row r="133" spans="1:10" s="102" customFormat="1" x14ac:dyDescent="0.2">
      <c r="A133" s="92"/>
      <c r="B133" s="303" t="s">
        <v>237</v>
      </c>
      <c r="C133" s="104">
        <v>4</v>
      </c>
      <c r="D133" s="103" t="s">
        <v>246</v>
      </c>
      <c r="E133" s="45">
        <v>19476574.949999999</v>
      </c>
      <c r="F133" s="103"/>
      <c r="G133" s="103"/>
      <c r="H133" s="146">
        <f>C133*E133</f>
        <v>77906299.799999997</v>
      </c>
      <c r="I133" s="44"/>
      <c r="J133" s="137"/>
    </row>
    <row r="134" spans="1:10" s="102" customFormat="1" x14ac:dyDescent="0.2">
      <c r="A134" s="92"/>
      <c r="B134" s="303" t="s">
        <v>238</v>
      </c>
      <c r="C134" s="104">
        <v>2</v>
      </c>
      <c r="D134" s="103" t="s">
        <v>246</v>
      </c>
      <c r="E134" s="45">
        <v>39597849.755999997</v>
      </c>
      <c r="F134" s="103"/>
      <c r="G134" s="103"/>
      <c r="H134" s="146">
        <f t="shared" ref="H134:H136" si="19">C134*E134</f>
        <v>79195699.511999995</v>
      </c>
      <c r="I134" s="44"/>
      <c r="J134" s="137"/>
    </row>
    <row r="135" spans="1:10" s="102" customFormat="1" x14ac:dyDescent="0.2">
      <c r="A135" s="92"/>
      <c r="B135" s="303" t="s">
        <v>210</v>
      </c>
      <c r="C135" s="103">
        <v>2</v>
      </c>
      <c r="D135" s="103" t="s">
        <v>244</v>
      </c>
      <c r="E135" s="45">
        <v>8963563</v>
      </c>
      <c r="F135" s="97"/>
      <c r="G135" s="103">
        <v>10</v>
      </c>
      <c r="H135" s="146">
        <f>C135*E135*G135</f>
        <v>179271260</v>
      </c>
      <c r="I135" s="44"/>
      <c r="J135" s="137"/>
    </row>
    <row r="136" spans="1:10" s="102" customFormat="1" x14ac:dyDescent="0.2">
      <c r="A136" s="92"/>
      <c r="B136" s="103" t="s">
        <v>227</v>
      </c>
      <c r="C136" s="104">
        <f>+(2*2*4)</f>
        <v>16</v>
      </c>
      <c r="D136" s="103" t="s">
        <v>244</v>
      </c>
      <c r="E136" s="45">
        <v>856561</v>
      </c>
      <c r="F136" s="103"/>
      <c r="G136" s="103"/>
      <c r="H136" s="146">
        <f t="shared" si="19"/>
        <v>13704976</v>
      </c>
      <c r="I136" s="44"/>
      <c r="J136" s="137"/>
    </row>
    <row r="137" spans="1:10" s="102" customFormat="1" x14ac:dyDescent="0.2">
      <c r="B137" s="103" t="s">
        <v>228</v>
      </c>
      <c r="C137" s="104">
        <v>10</v>
      </c>
      <c r="D137" s="103" t="s">
        <v>244</v>
      </c>
      <c r="E137" s="45">
        <v>6604729</v>
      </c>
      <c r="F137" s="97">
        <v>0.5</v>
      </c>
      <c r="G137" s="103">
        <v>10</v>
      </c>
      <c r="H137" s="146">
        <f>+E137*C137*G137*F137</f>
        <v>330236450</v>
      </c>
      <c r="I137" s="83"/>
      <c r="J137" s="137"/>
    </row>
    <row r="138" spans="1:10" x14ac:dyDescent="0.2">
      <c r="B138" s="81" t="s">
        <v>56</v>
      </c>
      <c r="C138" s="104">
        <v>10</v>
      </c>
      <c r="D138" s="103" t="s">
        <v>244</v>
      </c>
      <c r="E138" s="108">
        <v>1300000</v>
      </c>
      <c r="F138" s="97">
        <v>0.5</v>
      </c>
      <c r="G138" s="103">
        <v>10</v>
      </c>
      <c r="H138" s="146">
        <f t="shared" ref="H138:H139" si="20">+E138*C138*G138*F138</f>
        <v>65000000</v>
      </c>
      <c r="I138" s="44"/>
      <c r="J138" s="137"/>
    </row>
    <row r="139" spans="1:10" ht="15" x14ac:dyDescent="0.25">
      <c r="B139" s="81" t="s">
        <v>178</v>
      </c>
      <c r="C139" s="104">
        <v>10</v>
      </c>
      <c r="D139" s="103" t="s">
        <v>244</v>
      </c>
      <c r="E139" s="108">
        <v>155000</v>
      </c>
      <c r="F139" s="97">
        <v>0.5</v>
      </c>
      <c r="G139" s="103">
        <v>10</v>
      </c>
      <c r="H139" s="146">
        <f t="shared" si="20"/>
        <v>7750000</v>
      </c>
      <c r="I139" s="98" t="s">
        <v>159</v>
      </c>
      <c r="J139" s="52"/>
    </row>
    <row r="140" spans="1:10" ht="15" x14ac:dyDescent="0.25">
      <c r="B140" s="85" t="s">
        <v>247</v>
      </c>
      <c r="C140" s="86"/>
      <c r="D140" s="86"/>
      <c r="E140" s="87"/>
      <c r="F140" s="87"/>
      <c r="G140" s="86"/>
      <c r="H140" s="98">
        <f>SUM(H120:H139)</f>
        <v>2224993980.4320002</v>
      </c>
      <c r="I140" s="98">
        <f>H140/12</f>
        <v>185416165.03600001</v>
      </c>
      <c r="J140" s="52"/>
    </row>
    <row r="141" spans="1:10" s="102" customFormat="1" ht="15" x14ac:dyDescent="0.25">
      <c r="B141" s="141" t="s">
        <v>248</v>
      </c>
      <c r="C141" s="150"/>
      <c r="D141" s="150"/>
      <c r="E141" s="150"/>
      <c r="F141" s="150"/>
      <c r="G141" s="151"/>
      <c r="H141" s="152">
        <f>+H130+H131+H132</f>
        <v>975729295.12</v>
      </c>
      <c r="I141" s="101"/>
      <c r="J141" s="52"/>
    </row>
    <row r="142" spans="1:10" ht="297" customHeight="1" x14ac:dyDescent="0.2">
      <c r="B142" s="207" t="s">
        <v>381</v>
      </c>
    </row>
    <row r="143" spans="1:10" x14ac:dyDescent="0.2">
      <c r="B143" s="207"/>
    </row>
    <row r="144" spans="1:10" s="102" customFormat="1" ht="14.45" customHeight="1" x14ac:dyDescent="0.25">
      <c r="A144" s="91"/>
      <c r="B144" s="850" t="str">
        <f>+B11</f>
        <v>3.5. Mejora del entorno productivo para las grandes inversiones en las regiones maiceras.</v>
      </c>
      <c r="C144" s="850"/>
      <c r="D144" s="850"/>
      <c r="E144" s="850"/>
      <c r="F144" s="850"/>
      <c r="G144" s="850"/>
      <c r="H144" s="850"/>
    </row>
    <row r="145" spans="1:24" hidden="1" x14ac:dyDescent="0.2">
      <c r="B145" s="302"/>
      <c r="C145" s="302"/>
      <c r="D145" s="302"/>
      <c r="E145" s="302"/>
      <c r="F145" s="302"/>
      <c r="G145" s="302"/>
      <c r="H145" s="302"/>
    </row>
    <row r="146" spans="1:24" s="102" customFormat="1" ht="35.450000000000003" customHeight="1" x14ac:dyDescent="0.25">
      <c r="B146" s="860" t="str">
        <f>Portafolio_Cadena_Maíz!H53</f>
        <v>3.5.1. Brindar acompañamiento técnico a los empresarios para facilitar la importación de maquinaria y equipos de alta tecnología, nuevos o usados, destinados a la producción de maíz a mediana y gran escala, considerando el inventario actual de maquinaria y equipos, los oferentes del servicio, los mecanismos de renovación y modernización, los impuestos y aranceles, entre otros, estimulando la constitución de bancos de maquinaría de alta tecnología.</v>
      </c>
      <c r="C146" s="861"/>
      <c r="D146" s="861"/>
      <c r="E146" s="861"/>
      <c r="F146" s="861"/>
      <c r="G146" s="861"/>
      <c r="H146" s="861"/>
      <c r="I146" s="414"/>
      <c r="X146" s="77"/>
    </row>
    <row r="147" spans="1:24" s="102" customFormat="1" ht="14.45" customHeight="1" x14ac:dyDescent="0.25">
      <c r="B147" s="860" t="str">
        <f>Portafolio_Cadena_Maíz!H54</f>
        <v>3.5.2. Promover la financiación, cofinanciación, incentivos, alianzas público - privadas, inversión directa, estructuración de proyectos, entre otras, que impulsen iniciativas de almacenamiento de granos a escala (elevadores en puertos secos).</v>
      </c>
      <c r="C147" s="861"/>
      <c r="D147" s="861"/>
      <c r="E147" s="861"/>
      <c r="F147" s="861"/>
      <c r="G147" s="861"/>
      <c r="H147" s="861"/>
      <c r="I147" s="414"/>
      <c r="X147" s="77"/>
    </row>
    <row r="148" spans="1:24" s="102" customFormat="1" ht="33.6" customHeight="1" x14ac:dyDescent="0.25">
      <c r="B148" s="860" t="str">
        <f>Portafolio_Cadena_Maíz!H55</f>
        <v>3.5.3. Orientar y promover la integración y las alianzas estratégicas regionales en modelos agroempresariales integrales (maíz – soya) y/o (maíz - soya - gramíneas - proteína), impulsando la vinculación con la producción pecuaria y con negocios de extracción de aceite y torta de soya.</v>
      </c>
      <c r="C148" s="861"/>
      <c r="D148" s="861"/>
      <c r="E148" s="861"/>
      <c r="F148" s="861"/>
      <c r="G148" s="861"/>
      <c r="H148" s="861"/>
      <c r="I148" s="414"/>
      <c r="X148" s="77"/>
    </row>
    <row r="149" spans="1:24" ht="30.6" customHeight="1" x14ac:dyDescent="0.25">
      <c r="B149" s="860" t="str">
        <f>Portafolio_Cadena_Maíz!H56</f>
        <v xml:space="preserve">3.5.4. Orientar y promover, a través de instrumentos financieros e incentivos, el desarrollo de la industria de cal y otras enmiendas requeridas en los procesos de adecuación, mejoramiento y sostenimiento de la fertilidad de los suelos, que favorezcan el desarrollo competitivo de los modelos agroempresariales.    </v>
      </c>
      <c r="C149" s="861"/>
      <c r="D149" s="861"/>
      <c r="E149" s="861"/>
      <c r="F149" s="861"/>
      <c r="G149" s="861"/>
      <c r="H149" s="861"/>
    </row>
    <row r="150" spans="1:24" ht="33" customHeight="1" x14ac:dyDescent="0.25">
      <c r="B150" s="860" t="str">
        <f>Portafolio_Cadena_Maíz!H57</f>
        <v>3.5.5. Promover dentro del sector minero energético, el desarrollo de proyectos que consideren la exploración, explotación y aprovechamiento de recursos como gas natural y minerales de fósforo y potasio, para la producción de materias primas requeridas en la fabricación de fertilizantes simples.</v>
      </c>
      <c r="C150" s="861"/>
      <c r="D150" s="861"/>
      <c r="E150" s="861"/>
      <c r="F150" s="861"/>
      <c r="G150" s="861"/>
      <c r="H150" s="861"/>
    </row>
    <row r="151" spans="1:24" ht="14.45" customHeight="1" x14ac:dyDescent="0.25">
      <c r="B151" s="860" t="str">
        <f>Portafolio_Cadena_Maíz!H58</f>
        <v>3.5.6. Incentivar la suscripción e implementación de contratos de futuros y otros instrumentos específicos de comercialización de maíz, de acuerdo con los avances de la actividad 9.3.7.</v>
      </c>
      <c r="C151" s="861"/>
      <c r="D151" s="861"/>
      <c r="E151" s="861"/>
      <c r="F151" s="861"/>
      <c r="G151" s="861"/>
      <c r="H151" s="861"/>
    </row>
    <row r="152" spans="1:24" ht="14.45" customHeight="1" x14ac:dyDescent="0.25">
      <c r="B152" s="860" t="str">
        <f>Portafolio_Cadena_Maíz!H59</f>
        <v>3.5.7. Orientar y brindar acompañamiento a los empresarios, para la constitución y uso de Zonas francas, como instrumento de promoción de grandes inversiones en la cadena de maíz.</v>
      </c>
      <c r="C152" s="861"/>
      <c r="D152" s="861"/>
      <c r="E152" s="861"/>
      <c r="F152" s="861"/>
      <c r="G152" s="861"/>
      <c r="H152" s="861"/>
    </row>
    <row r="153" spans="1:24" ht="14.45" customHeight="1" x14ac:dyDescent="0.25">
      <c r="B153" s="666"/>
      <c r="C153" s="667"/>
      <c r="D153" s="667"/>
      <c r="E153" s="667"/>
      <c r="F153" s="667"/>
      <c r="G153" s="667"/>
      <c r="H153" s="667"/>
    </row>
    <row r="154" spans="1:24" ht="14.45" customHeight="1" x14ac:dyDescent="0.25">
      <c r="B154" s="854"/>
      <c r="C154" s="855"/>
      <c r="D154" s="855"/>
      <c r="E154" s="855"/>
      <c r="F154" s="855"/>
      <c r="G154" s="855"/>
      <c r="H154" s="855"/>
    </row>
    <row r="155" spans="1:24" ht="15" x14ac:dyDescent="0.25">
      <c r="B155" s="857" t="s">
        <v>595</v>
      </c>
      <c r="C155" s="857"/>
      <c r="D155" s="857"/>
      <c r="E155" s="857"/>
      <c r="F155" s="857"/>
      <c r="G155" s="857"/>
      <c r="H155" s="857"/>
    </row>
    <row r="156" spans="1:24" ht="15" x14ac:dyDescent="0.25">
      <c r="B156" s="78" t="s">
        <v>68</v>
      </c>
      <c r="C156" s="78" t="s">
        <v>58</v>
      </c>
      <c r="D156" s="78" t="s">
        <v>55</v>
      </c>
      <c r="E156" s="78" t="s">
        <v>54</v>
      </c>
      <c r="F156" s="78" t="s">
        <v>69</v>
      </c>
      <c r="G156" s="78" t="s">
        <v>70</v>
      </c>
      <c r="H156" s="78" t="s">
        <v>71</v>
      </c>
      <c r="J156" s="52"/>
    </row>
    <row r="157" spans="1:24" s="102" customFormat="1" x14ac:dyDescent="0.2">
      <c r="A157" s="92"/>
      <c r="B157" s="103" t="s">
        <v>72</v>
      </c>
      <c r="C157" s="103">
        <v>6</v>
      </c>
      <c r="D157" s="103"/>
      <c r="E157" s="45">
        <v>500000</v>
      </c>
      <c r="F157" s="103"/>
      <c r="G157" s="103"/>
      <c r="H157" s="146">
        <f>+E157*C157</f>
        <v>3000000</v>
      </c>
      <c r="I157" s="84"/>
      <c r="J157" s="137"/>
    </row>
    <row r="158" spans="1:24" s="102" customFormat="1" x14ac:dyDescent="0.2">
      <c r="A158" s="92"/>
      <c r="B158" s="103" t="s">
        <v>74</v>
      </c>
      <c r="C158" s="103">
        <v>6</v>
      </c>
      <c r="D158" s="103"/>
      <c r="E158" s="45">
        <v>100000</v>
      </c>
      <c r="F158" s="103"/>
      <c r="G158" s="103"/>
      <c r="H158" s="146">
        <f t="shared" ref="H158:H163" si="21">+E158*C158</f>
        <v>600000</v>
      </c>
      <c r="I158" s="84"/>
      <c r="J158" s="137"/>
    </row>
    <row r="159" spans="1:24" s="102" customFormat="1" x14ac:dyDescent="0.2">
      <c r="A159" s="92"/>
      <c r="B159" s="103" t="s">
        <v>90</v>
      </c>
      <c r="C159" s="103">
        <v>6</v>
      </c>
      <c r="D159" s="103"/>
      <c r="E159" s="45">
        <v>2300000</v>
      </c>
      <c r="F159" s="103"/>
      <c r="G159" s="103"/>
      <c r="H159" s="146">
        <f t="shared" si="21"/>
        <v>13800000</v>
      </c>
      <c r="I159" s="44"/>
      <c r="J159" s="137"/>
    </row>
    <row r="160" spans="1:24" s="102" customFormat="1" x14ac:dyDescent="0.2">
      <c r="A160" s="92"/>
      <c r="B160" s="103" t="s">
        <v>91</v>
      </c>
      <c r="C160" s="103">
        <v>6</v>
      </c>
      <c r="D160" s="103"/>
      <c r="E160" s="45">
        <v>460000</v>
      </c>
      <c r="F160" s="103"/>
      <c r="G160" s="103"/>
      <c r="H160" s="146">
        <f t="shared" si="21"/>
        <v>2760000</v>
      </c>
      <c r="I160" s="44"/>
      <c r="J160" s="137"/>
    </row>
    <row r="161" spans="1:10" s="102" customFormat="1" x14ac:dyDescent="0.2">
      <c r="A161" s="92"/>
      <c r="B161" s="303" t="s">
        <v>238</v>
      </c>
      <c r="C161" s="103">
        <v>2</v>
      </c>
      <c r="D161" s="103"/>
      <c r="E161" s="45">
        <v>39597849.755999997</v>
      </c>
      <c r="F161" s="103"/>
      <c r="G161" s="103"/>
      <c r="H161" s="146">
        <f t="shared" si="21"/>
        <v>79195699.511999995</v>
      </c>
      <c r="I161" s="44"/>
      <c r="J161" s="137"/>
    </row>
    <row r="162" spans="1:10" s="102" customFormat="1" x14ac:dyDescent="0.2">
      <c r="A162" s="92"/>
      <c r="B162" s="103" t="s">
        <v>341</v>
      </c>
      <c r="C162" s="103">
        <v>5</v>
      </c>
      <c r="D162" s="103"/>
      <c r="E162" s="108">
        <v>9907096</v>
      </c>
      <c r="F162" s="103"/>
      <c r="G162" s="103">
        <v>10</v>
      </c>
      <c r="H162" s="146">
        <f>+E162*C162*G162</f>
        <v>495354800</v>
      </c>
      <c r="I162" s="83"/>
      <c r="J162" s="137"/>
    </row>
    <row r="163" spans="1:10" ht="15" x14ac:dyDescent="0.25">
      <c r="B163" s="103" t="s">
        <v>342</v>
      </c>
      <c r="C163" s="103">
        <v>4</v>
      </c>
      <c r="D163" s="103"/>
      <c r="E163" s="108">
        <v>1313122</v>
      </c>
      <c r="F163" s="97"/>
      <c r="G163" s="103"/>
      <c r="H163" s="146">
        <f t="shared" si="21"/>
        <v>5252488</v>
      </c>
      <c r="I163" s="98" t="s">
        <v>159</v>
      </c>
      <c r="J163" s="52"/>
    </row>
    <row r="164" spans="1:10" ht="15" x14ac:dyDescent="0.25">
      <c r="B164" s="103" t="s">
        <v>346</v>
      </c>
      <c r="C164" s="103"/>
      <c r="D164" s="103"/>
      <c r="E164" s="108"/>
      <c r="F164" s="97"/>
      <c r="G164" s="103"/>
      <c r="H164" s="146" t="s">
        <v>67</v>
      </c>
      <c r="I164" s="98"/>
      <c r="J164" s="52"/>
    </row>
    <row r="165" spans="1:10" s="102" customFormat="1" ht="15" x14ac:dyDescent="0.25">
      <c r="A165" s="92"/>
      <c r="B165" s="312" t="s">
        <v>344</v>
      </c>
      <c r="C165" s="312"/>
      <c r="D165" s="312"/>
      <c r="E165" s="312"/>
      <c r="F165" s="312"/>
      <c r="G165" s="312"/>
      <c r="H165" s="313">
        <f>SUM(H157:H163)</f>
        <v>599962987.51199996</v>
      </c>
      <c r="I165" s="98">
        <f>H165/12</f>
        <v>49996915.625999995</v>
      </c>
      <c r="J165" s="137"/>
    </row>
    <row r="166" spans="1:10" s="102" customFormat="1" ht="15" x14ac:dyDescent="0.25">
      <c r="A166" s="92"/>
      <c r="B166" s="314" t="s">
        <v>345</v>
      </c>
      <c r="C166" s="314"/>
      <c r="D166" s="314"/>
      <c r="E166" s="314"/>
      <c r="F166" s="314"/>
      <c r="G166" s="314"/>
      <c r="H166" s="315">
        <f>+H165-H161</f>
        <v>520767288</v>
      </c>
      <c r="I166" s="44"/>
      <c r="J166" s="137"/>
    </row>
    <row r="167" spans="1:10" s="102" customFormat="1" ht="108.6" customHeight="1" x14ac:dyDescent="0.2">
      <c r="A167" s="92"/>
      <c r="B167" s="319" t="s">
        <v>382</v>
      </c>
      <c r="C167" s="302"/>
      <c r="D167" s="140"/>
      <c r="E167" s="140"/>
      <c r="F167" s="101"/>
      <c r="G167" s="101"/>
      <c r="H167" s="316">
        <f>E167*C167</f>
        <v>0</v>
      </c>
      <c r="I167" s="44"/>
    </row>
  </sheetData>
  <sheetProtection algorithmName="SHA-512" hashValue="KV3DBeawvcfNEBhsdCsr6Nl24mDrRFZDdd2fPewDzUpSMiumZZmQM/VVfciLXkjPb/vfZquJoZJOw4DGhu7nAQ==" saltValue="NBvlrae85d7yxnUJyxANuQ==" spinCount="100000" sheet="1" objects="1" scenarios="1"/>
  <mergeCells count="37">
    <mergeCell ref="B14:H15"/>
    <mergeCell ref="B44:H44"/>
    <mergeCell ref="B76:H76"/>
    <mergeCell ref="B109:H109"/>
    <mergeCell ref="B50:H50"/>
    <mergeCell ref="B47:H47"/>
    <mergeCell ref="B48:H48"/>
    <mergeCell ref="B78:H78"/>
    <mergeCell ref="B79:H79"/>
    <mergeCell ref="B82:H82"/>
    <mergeCell ref="B46:H46"/>
    <mergeCell ref="B21:H21"/>
    <mergeCell ref="B16:H16"/>
    <mergeCell ref="B17:H17"/>
    <mergeCell ref="B18:H18"/>
    <mergeCell ref="B19:H19"/>
    <mergeCell ref="B22:H22"/>
    <mergeCell ref="B84:H84"/>
    <mergeCell ref="B112:H112"/>
    <mergeCell ref="B113:H113"/>
    <mergeCell ref="B154:H154"/>
    <mergeCell ref="B118:H118"/>
    <mergeCell ref="B144:H144"/>
    <mergeCell ref="B151:H151"/>
    <mergeCell ref="B115:H115"/>
    <mergeCell ref="B116:H116"/>
    <mergeCell ref="B111:H111"/>
    <mergeCell ref="B80:H80"/>
    <mergeCell ref="B81:H81"/>
    <mergeCell ref="B114:H114"/>
    <mergeCell ref="B155:H155"/>
    <mergeCell ref="B146:H146"/>
    <mergeCell ref="B147:H147"/>
    <mergeCell ref="B148:H148"/>
    <mergeCell ref="B149:H149"/>
    <mergeCell ref="B150:H150"/>
    <mergeCell ref="B152:H15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19"/>
  <sheetViews>
    <sheetView showGridLines="0" zoomScale="60" zoomScaleNormal="60" workbookViewId="0">
      <selection activeCell="B75" sqref="B75"/>
    </sheetView>
  </sheetViews>
  <sheetFormatPr baseColWidth="10" defaultColWidth="10.7109375" defaultRowHeight="14.25" x14ac:dyDescent="0.2"/>
  <cols>
    <col min="1" max="1" width="13.42578125" style="101" customWidth="1"/>
    <col min="2" max="2" width="67.42578125" style="101" customWidth="1"/>
    <col min="3" max="3" width="29.85546875" style="101" customWidth="1"/>
    <col min="4" max="4" width="23.85546875" style="101" customWidth="1"/>
    <col min="5" max="5" width="22.42578125" style="101" customWidth="1"/>
    <col min="6" max="6" width="23" style="101" bestFit="1" customWidth="1"/>
    <col min="7" max="7" width="24.42578125" style="101" bestFit="1" customWidth="1"/>
    <col min="8" max="8" width="24.5703125" style="101" bestFit="1" customWidth="1"/>
    <col min="9" max="9" width="23.140625" style="101" bestFit="1" customWidth="1"/>
    <col min="10" max="10" width="24.5703125" style="101" bestFit="1" customWidth="1"/>
    <col min="11" max="11" width="22.42578125" style="101" customWidth="1"/>
    <col min="12" max="12" width="24.5703125" style="101" bestFit="1" customWidth="1"/>
    <col min="13" max="13" width="23.140625" style="101" bestFit="1" customWidth="1"/>
    <col min="14" max="14" width="24.5703125" style="101" bestFit="1" customWidth="1"/>
    <col min="15" max="24" width="23.140625" style="101" bestFit="1" customWidth="1"/>
    <col min="25" max="25" width="26.85546875" style="101" bestFit="1" customWidth="1"/>
    <col min="26" max="26" width="19.28515625" style="101" bestFit="1" customWidth="1"/>
    <col min="27" max="27" width="17.5703125" style="101" bestFit="1" customWidth="1"/>
    <col min="28" max="28" width="17.85546875" style="101" customWidth="1"/>
    <col min="29" max="16384" width="10.7109375" style="101"/>
  </cols>
  <sheetData>
    <row r="2" spans="1:26" ht="15" x14ac:dyDescent="0.25">
      <c r="B2" s="57" t="s">
        <v>87</v>
      </c>
    </row>
    <row r="3" spans="1:26" s="102" customFormat="1" ht="15" x14ac:dyDescent="0.25">
      <c r="A3" s="49"/>
    </row>
    <row r="4" spans="1:26" ht="21.6" customHeight="1" x14ac:dyDescent="0.25">
      <c r="A4" s="58"/>
      <c r="B4" s="162" t="str">
        <f>Portafolio_Cadena_Maíz!C60</f>
        <v xml:space="preserve">4. Mejora de la gestión del agua y del suelo en el cultivo de maíz. </v>
      </c>
      <c r="C4" s="60"/>
      <c r="D4" s="102"/>
    </row>
    <row r="5" spans="1:26" ht="26.1" customHeight="1" x14ac:dyDescent="0.2">
      <c r="D5" s="102"/>
    </row>
    <row r="6" spans="1:26" ht="15" x14ac:dyDescent="0.25">
      <c r="D6" s="102"/>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166" customFormat="1" ht="26.25" customHeight="1" x14ac:dyDescent="0.25">
      <c r="A7" s="105"/>
      <c r="B7" s="163" t="s">
        <v>28</v>
      </c>
      <c r="C7" s="64" t="s">
        <v>66</v>
      </c>
      <c r="D7" s="64" t="s">
        <v>350</v>
      </c>
      <c r="E7" s="164">
        <f t="shared" ref="E7" si="0">SUM(E8:E9)</f>
        <v>706550282.5</v>
      </c>
      <c r="F7" s="164">
        <f>SUM(F8:F9)</f>
        <v>6375818191.2975283</v>
      </c>
      <c r="G7" s="164">
        <f t="shared" ref="G7:X7" si="1">SUM(G8:G9)</f>
        <v>5072797180.9921579</v>
      </c>
      <c r="H7" s="164">
        <f t="shared" si="1"/>
        <v>5106307181.5659819</v>
      </c>
      <c r="I7" s="164">
        <f t="shared" si="1"/>
        <v>5398523848.1008797</v>
      </c>
      <c r="J7" s="164">
        <f t="shared" si="1"/>
        <v>6414271734.3160105</v>
      </c>
      <c r="K7" s="164">
        <f t="shared" si="1"/>
        <v>7449962910.3792124</v>
      </c>
      <c r="L7" s="164">
        <f t="shared" si="1"/>
        <v>9145924801.4550552</v>
      </c>
      <c r="M7" s="164">
        <f t="shared" si="1"/>
        <v>10727946590.946068</v>
      </c>
      <c r="N7" s="164">
        <f t="shared" si="1"/>
        <v>13079505218.135281</v>
      </c>
      <c r="O7" s="164">
        <f t="shared" si="1"/>
        <v>10727946590.946068</v>
      </c>
      <c r="P7" s="164">
        <f t="shared" si="1"/>
        <v>8788326581.756855</v>
      </c>
      <c r="Q7" s="164">
        <f t="shared" si="1"/>
        <v>6865885818.2054834</v>
      </c>
      <c r="R7" s="164">
        <f t="shared" si="1"/>
        <v>5492708654.5643864</v>
      </c>
      <c r="S7" s="164">
        <f t="shared" si="1"/>
        <v>4394166923.6515093</v>
      </c>
      <c r="T7" s="164">
        <f t="shared" si="1"/>
        <v>3515333538.9212074</v>
      </c>
      <c r="U7" s="164">
        <f t="shared" si="1"/>
        <v>2812266831.1369658</v>
      </c>
      <c r="V7" s="164">
        <f t="shared" si="1"/>
        <v>2249813464.9095731</v>
      </c>
      <c r="W7" s="164">
        <f t="shared" si="1"/>
        <v>1799850771.9276586</v>
      </c>
      <c r="X7" s="164">
        <f t="shared" si="1"/>
        <v>1439880617.5421269</v>
      </c>
      <c r="Y7" s="164">
        <f>SUM(E7:X7)</f>
        <v>117563787733.25002</v>
      </c>
      <c r="Z7" s="165"/>
    </row>
    <row r="8" spans="1:26" s="70" customFormat="1" ht="45.75" customHeight="1" x14ac:dyDescent="0.2">
      <c r="A8" s="67"/>
      <c r="B8" s="68" t="str">
        <f>Portafolio_Cadena_Maíz!D60</f>
        <v>4.1. Contribución a la gestión del ordenamiento ambiental, fuera de la frontera agrícola.</v>
      </c>
      <c r="C8" s="143" t="s">
        <v>215</v>
      </c>
      <c r="D8" s="327" t="s">
        <v>351</v>
      </c>
      <c r="E8" s="69">
        <f>+H34*3</f>
        <v>205969309</v>
      </c>
      <c r="F8" s="69">
        <f>+H33</f>
        <v>823877236</v>
      </c>
      <c r="G8" s="69">
        <f>+H33</f>
        <v>823877236</v>
      </c>
      <c r="H8" s="69">
        <f>+H34*6</f>
        <v>411938618</v>
      </c>
      <c r="I8" s="69">
        <v>0</v>
      </c>
      <c r="J8" s="69">
        <f>+H34*3</f>
        <v>205969309</v>
      </c>
      <c r="K8" s="69">
        <v>0</v>
      </c>
      <c r="L8" s="69">
        <f>+H34*3</f>
        <v>205969309</v>
      </c>
      <c r="M8" s="69">
        <v>0</v>
      </c>
      <c r="N8" s="69">
        <f>+H34*3</f>
        <v>205969309</v>
      </c>
      <c r="O8" s="69">
        <v>0</v>
      </c>
      <c r="P8" s="69">
        <f>+H34*3</f>
        <v>205969309</v>
      </c>
      <c r="Q8" s="69"/>
      <c r="R8" s="69"/>
      <c r="S8" s="69"/>
      <c r="T8" s="69"/>
      <c r="U8" s="69"/>
      <c r="V8" s="69"/>
      <c r="W8" s="69"/>
      <c r="X8" s="69"/>
      <c r="Y8" s="69">
        <f>SUM(E8:X8)</f>
        <v>3089539635</v>
      </c>
      <c r="Z8" s="66"/>
    </row>
    <row r="9" spans="1:26" s="70" customFormat="1" ht="42.95" customHeight="1" x14ac:dyDescent="0.2">
      <c r="A9" s="67"/>
      <c r="B9" s="68" t="str">
        <f>Portafolio_Cadena_Maíz!D63</f>
        <v>4.2. Promoción del manejo eficiente del suelo y del agua, en la producción de maíz.</v>
      </c>
      <c r="C9" s="143" t="s">
        <v>215</v>
      </c>
      <c r="D9" s="327" t="s">
        <v>161</v>
      </c>
      <c r="E9" s="145">
        <f>I70*3</f>
        <v>500580973.5</v>
      </c>
      <c r="F9" s="69">
        <f>H70+I72+I73+I74</f>
        <v>5551940955.2975283</v>
      </c>
      <c r="G9" s="69">
        <f t="shared" ref="G9:X9" si="2">I70+J72+J73+J74</f>
        <v>4248919944.9921579</v>
      </c>
      <c r="H9" s="69">
        <f t="shared" si="2"/>
        <v>4694368563.5659819</v>
      </c>
      <c r="I9" s="69">
        <f t="shared" si="2"/>
        <v>5398523848.1008797</v>
      </c>
      <c r="J9" s="69">
        <f t="shared" si="2"/>
        <v>6208302425.3160105</v>
      </c>
      <c r="K9" s="69">
        <f t="shared" si="2"/>
        <v>7449962910.3792124</v>
      </c>
      <c r="L9" s="69">
        <f t="shared" si="2"/>
        <v>8939955492.4550552</v>
      </c>
      <c r="M9" s="69">
        <f t="shared" si="2"/>
        <v>10727946590.946068</v>
      </c>
      <c r="N9" s="69">
        <f t="shared" si="2"/>
        <v>12873535909.135281</v>
      </c>
      <c r="O9" s="69">
        <f t="shared" si="2"/>
        <v>10727946590.946068</v>
      </c>
      <c r="P9" s="69">
        <f t="shared" si="2"/>
        <v>8582357272.7568541</v>
      </c>
      <c r="Q9" s="69">
        <f t="shared" si="2"/>
        <v>6865885818.2054834</v>
      </c>
      <c r="R9" s="69">
        <f t="shared" si="2"/>
        <v>5492708654.5643864</v>
      </c>
      <c r="S9" s="69">
        <f t="shared" si="2"/>
        <v>4394166923.6515093</v>
      </c>
      <c r="T9" s="69">
        <f t="shared" si="2"/>
        <v>3515333538.9212074</v>
      </c>
      <c r="U9" s="69">
        <f t="shared" si="2"/>
        <v>2812266831.1369658</v>
      </c>
      <c r="V9" s="69">
        <f t="shared" si="2"/>
        <v>2249813464.9095731</v>
      </c>
      <c r="W9" s="69">
        <f t="shared" si="2"/>
        <v>1799850771.9276586</v>
      </c>
      <c r="X9" s="69">
        <f t="shared" si="2"/>
        <v>1439880617.5421269</v>
      </c>
      <c r="Y9" s="69">
        <f>SUM(E9:X9)</f>
        <v>114474248098.25002</v>
      </c>
      <c r="Z9" s="66"/>
    </row>
    <row r="10" spans="1:26" s="166" customFormat="1" ht="24.6" customHeight="1" x14ac:dyDescent="0.25">
      <c r="A10" s="105"/>
      <c r="B10" s="163" t="s">
        <v>32</v>
      </c>
      <c r="C10" s="163"/>
      <c r="D10" s="163"/>
      <c r="E10" s="167"/>
      <c r="F10" s="167"/>
      <c r="G10" s="167"/>
      <c r="H10" s="167"/>
      <c r="I10" s="167"/>
      <c r="J10" s="167"/>
      <c r="K10" s="167"/>
      <c r="L10" s="167"/>
      <c r="M10" s="167"/>
      <c r="N10" s="167"/>
      <c r="O10" s="167"/>
      <c r="P10" s="167"/>
      <c r="Q10" s="167"/>
      <c r="R10" s="167"/>
      <c r="S10" s="167"/>
      <c r="T10" s="167"/>
      <c r="U10" s="167"/>
      <c r="V10" s="167"/>
      <c r="W10" s="167"/>
      <c r="X10" s="167"/>
      <c r="Y10" s="167"/>
      <c r="Z10" s="165"/>
    </row>
    <row r="11" spans="1:26" s="75" customFormat="1" ht="24.6" customHeight="1" x14ac:dyDescent="0.25">
      <c r="A11" s="102"/>
      <c r="B11" s="72"/>
      <c r="C11" s="72"/>
      <c r="D11" s="72"/>
      <c r="E11" s="72"/>
      <c r="F11" s="73"/>
      <c r="G11" s="74"/>
      <c r="H11" s="73"/>
      <c r="I11" s="73"/>
      <c r="J11" s="73"/>
      <c r="K11" s="73"/>
      <c r="L11" s="73"/>
      <c r="M11" s="73"/>
      <c r="N11" s="73"/>
      <c r="O11" s="73"/>
      <c r="P11" s="73"/>
      <c r="Q11" s="73"/>
      <c r="R11" s="73"/>
      <c r="S11" s="73"/>
      <c r="T11" s="73"/>
      <c r="U11" s="73"/>
      <c r="V11" s="73"/>
      <c r="W11" s="73"/>
      <c r="X11" s="73"/>
      <c r="Y11" s="73"/>
      <c r="Z11" s="73"/>
    </row>
    <row r="13" spans="1:26" s="102" customFormat="1" ht="14.45" customHeight="1" x14ac:dyDescent="0.25">
      <c r="B13" s="862" t="str">
        <f>B8</f>
        <v>4.1. Contribución a la gestión del ordenamiento ambiental, fuera de la frontera agrícola.</v>
      </c>
      <c r="C13" s="863"/>
      <c r="D13" s="863"/>
      <c r="E13" s="863"/>
      <c r="F13" s="863"/>
      <c r="G13" s="863"/>
      <c r="H13" s="863"/>
      <c r="I13" s="326"/>
      <c r="X13" s="77"/>
    </row>
    <row r="14" spans="1:26" s="102" customFormat="1" ht="14.45" customHeight="1" x14ac:dyDescent="0.25">
      <c r="B14" s="863"/>
      <c r="C14" s="863"/>
      <c r="D14" s="863"/>
      <c r="E14" s="863"/>
      <c r="F14" s="863"/>
      <c r="G14" s="863"/>
      <c r="H14" s="863"/>
      <c r="I14" s="326"/>
      <c r="X14" s="77"/>
    </row>
    <row r="15" spans="1:26" s="102" customFormat="1" ht="15" x14ac:dyDescent="0.25">
      <c r="B15" s="854" t="str">
        <f>Portafolio_Cadena_Maíz!H60</f>
        <v>4.1.1. Realizar campañas de sensibilización y divulgación de la normatividad relacionada con las áreas protegidas y de exclusión, a los productores de maíz con cultivos ubicados en estas áreas de importancia ambiental, fuera de la frontera agrícola.</v>
      </c>
      <c r="C15" s="855"/>
      <c r="D15" s="855"/>
      <c r="E15" s="855"/>
      <c r="F15" s="855"/>
      <c r="G15" s="855"/>
      <c r="H15" s="855"/>
      <c r="I15" s="414"/>
      <c r="X15" s="77"/>
    </row>
    <row r="16" spans="1:26" s="102" customFormat="1" ht="14.45" customHeight="1" x14ac:dyDescent="0.25">
      <c r="B16" s="854" t="str">
        <f>Portafolio_Cadena_Maíz!H61</f>
        <v>4.1.2.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v>
      </c>
      <c r="C16" s="855"/>
      <c r="D16" s="855"/>
      <c r="E16" s="855"/>
      <c r="F16" s="855"/>
      <c r="G16" s="855"/>
      <c r="H16" s="855"/>
      <c r="I16" s="414"/>
      <c r="X16" s="77"/>
    </row>
    <row r="17" spans="2:24" s="102" customFormat="1" ht="33.6" customHeight="1" x14ac:dyDescent="0.25">
      <c r="B17" s="854" t="str">
        <f>Portafolio_Cadena_Maíz!H62</f>
        <v>4.1.3. Promover la formalización de acuerdos entre las autoridades ambientales y los productores de maíz, para el desarrollo de procesos graduales de sustitución en áreas de importancia ambiental fuera de la frontera agrícola en las cuales se desarrolle la producción de maíz, considerando las recomendaciones establecidas en los Planes Maestros de Reconversión Productiva que se formulen para esta cadena.</v>
      </c>
      <c r="C17" s="855"/>
      <c r="D17" s="855"/>
      <c r="E17" s="855"/>
      <c r="F17" s="855"/>
      <c r="G17" s="855"/>
      <c r="H17" s="855"/>
      <c r="I17" s="414"/>
      <c r="X17" s="77"/>
    </row>
    <row r="18" spans="2:24" ht="30.6" customHeight="1" x14ac:dyDescent="0.25">
      <c r="B18" s="854" t="str">
        <f>Portafolio_Cadena_Maíz!H63</f>
        <v>4.2.1. Realizar capacitaciones y brindar asistencia técnica a los productores de maíz, para la adopción de buenas prácticas de recuperación, uso y manejo del suelo, tales como: labranza de conservación, rotación de cultivos, descompactación, reincorporación de residuos del cultivo, desarrollo de sistemas integrados con coberturas y pasturas, recuperación de áreas degradadas, intensificación sostenible de la producción, uso de bioinsumos, entre otras, de acuerdo con las características y necesidades de las regiones maiceras.</v>
      </c>
      <c r="C18" s="855"/>
      <c r="D18" s="855"/>
      <c r="E18" s="855"/>
      <c r="F18" s="855"/>
      <c r="G18" s="855"/>
      <c r="H18" s="855"/>
    </row>
    <row r="19" spans="2:24" ht="15" x14ac:dyDescent="0.25">
      <c r="B19" s="396"/>
      <c r="C19" s="415"/>
      <c r="D19" s="415"/>
      <c r="E19" s="415"/>
      <c r="F19" s="415"/>
      <c r="G19" s="415"/>
      <c r="H19" s="415"/>
    </row>
    <row r="20" spans="2:24" ht="15" x14ac:dyDescent="0.25">
      <c r="B20" s="854"/>
      <c r="C20" s="855"/>
      <c r="D20" s="855"/>
      <c r="E20" s="855"/>
      <c r="F20" s="855"/>
      <c r="G20" s="855"/>
      <c r="H20" s="855"/>
    </row>
    <row r="21" spans="2:24" ht="14.45" customHeight="1" x14ac:dyDescent="0.25">
      <c r="B21" s="858" t="s">
        <v>595</v>
      </c>
      <c r="C21" s="859"/>
      <c r="D21" s="859"/>
      <c r="E21" s="859"/>
      <c r="F21" s="859"/>
      <c r="G21" s="859"/>
      <c r="H21" s="859"/>
    </row>
    <row r="22" spans="2:24" s="105" customFormat="1" ht="22.5" customHeight="1" x14ac:dyDescent="0.25">
      <c r="B22" s="168" t="s">
        <v>68</v>
      </c>
      <c r="C22" s="168" t="s">
        <v>58</v>
      </c>
      <c r="D22" s="168" t="s">
        <v>55</v>
      </c>
      <c r="E22" s="168" t="s">
        <v>54</v>
      </c>
      <c r="F22" s="169" t="s">
        <v>96</v>
      </c>
      <c r="G22" s="168" t="s">
        <v>70</v>
      </c>
      <c r="H22" s="168" t="s">
        <v>71</v>
      </c>
      <c r="X22" s="170"/>
    </row>
    <row r="23" spans="2:24" x14ac:dyDescent="0.2">
      <c r="B23" s="171" t="s">
        <v>72</v>
      </c>
      <c r="C23" s="103">
        <v>7</v>
      </c>
      <c r="D23" s="103" t="s">
        <v>73</v>
      </c>
      <c r="E23" s="45">
        <v>500000</v>
      </c>
      <c r="F23" s="103"/>
      <c r="G23" s="103"/>
      <c r="H23" s="81">
        <f t="shared" ref="H23:H28" si="3">+C23*E23</f>
        <v>3500000</v>
      </c>
      <c r="I23" s="52"/>
    </row>
    <row r="24" spans="2:24" x14ac:dyDescent="0.2">
      <c r="B24" s="171" t="s">
        <v>74</v>
      </c>
      <c r="C24" s="103">
        <v>21</v>
      </c>
      <c r="D24" s="103" t="s">
        <v>73</v>
      </c>
      <c r="E24" s="45">
        <v>100000</v>
      </c>
      <c r="F24" s="103"/>
      <c r="G24" s="103"/>
      <c r="H24" s="81">
        <f t="shared" si="3"/>
        <v>2100000</v>
      </c>
      <c r="I24" s="52"/>
    </row>
    <row r="25" spans="2:24" x14ac:dyDescent="0.2">
      <c r="B25" s="171" t="s">
        <v>267</v>
      </c>
      <c r="C25" s="103">
        <v>7</v>
      </c>
      <c r="D25" s="103" t="s">
        <v>73</v>
      </c>
      <c r="E25" s="45">
        <v>2300000</v>
      </c>
      <c r="F25" s="103"/>
      <c r="G25" s="103"/>
      <c r="H25" s="81">
        <f t="shared" si="3"/>
        <v>16100000</v>
      </c>
      <c r="I25" s="52"/>
    </row>
    <row r="26" spans="2:24" x14ac:dyDescent="0.2">
      <c r="B26" s="171" t="s">
        <v>259</v>
      </c>
      <c r="C26" s="103">
        <v>21</v>
      </c>
      <c r="D26" s="103" t="s">
        <v>73</v>
      </c>
      <c r="E26" s="108">
        <v>460000</v>
      </c>
      <c r="F26" s="103"/>
      <c r="G26" s="103"/>
      <c r="H26" s="81">
        <f t="shared" si="3"/>
        <v>9660000</v>
      </c>
      <c r="I26" s="52"/>
    </row>
    <row r="27" spans="2:24" x14ac:dyDescent="0.2">
      <c r="B27" s="172" t="s">
        <v>60</v>
      </c>
      <c r="C27" s="48">
        <v>7</v>
      </c>
      <c r="D27" s="48" t="s">
        <v>73</v>
      </c>
      <c r="E27" s="148">
        <v>14500000</v>
      </c>
      <c r="F27" s="103"/>
      <c r="G27" s="103"/>
      <c r="H27" s="81">
        <f t="shared" si="3"/>
        <v>101500000</v>
      </c>
      <c r="I27" s="52"/>
    </row>
    <row r="28" spans="2:24" x14ac:dyDescent="0.2">
      <c r="B28" s="172" t="s">
        <v>268</v>
      </c>
      <c r="C28" s="48">
        <v>7</v>
      </c>
      <c r="D28" s="48" t="s">
        <v>73</v>
      </c>
      <c r="E28" s="148">
        <v>2000000</v>
      </c>
      <c r="F28" s="103"/>
      <c r="G28" s="103"/>
      <c r="H28" s="81">
        <f t="shared" si="3"/>
        <v>14000000</v>
      </c>
      <c r="I28" s="52"/>
    </row>
    <row r="29" spans="2:24" x14ac:dyDescent="0.2">
      <c r="B29" s="172" t="s">
        <v>228</v>
      </c>
      <c r="C29" s="48">
        <v>7</v>
      </c>
      <c r="D29" s="48" t="s">
        <v>180</v>
      </c>
      <c r="E29" s="148">
        <v>6604729</v>
      </c>
      <c r="F29" s="97">
        <v>1</v>
      </c>
      <c r="G29" s="103">
        <v>12</v>
      </c>
      <c r="H29" s="81">
        <f>+C29*E29*G29*F29</f>
        <v>554797236</v>
      </c>
      <c r="I29" s="52"/>
    </row>
    <row r="30" spans="2:24" x14ac:dyDescent="0.2">
      <c r="B30" s="172" t="s">
        <v>56</v>
      </c>
      <c r="C30" s="48">
        <v>7</v>
      </c>
      <c r="D30" s="48" t="s">
        <v>169</v>
      </c>
      <c r="E30" s="148">
        <v>1300000</v>
      </c>
      <c r="F30" s="97"/>
      <c r="G30" s="103">
        <v>12</v>
      </c>
      <c r="H30" s="81">
        <f>+C30*E30*G30</f>
        <v>109200000</v>
      </c>
      <c r="I30" s="52"/>
    </row>
    <row r="31" spans="2:24" x14ac:dyDescent="0.2">
      <c r="B31" s="172" t="s">
        <v>178</v>
      </c>
      <c r="C31" s="48">
        <v>7</v>
      </c>
      <c r="D31" s="48" t="s">
        <v>169</v>
      </c>
      <c r="E31" s="148">
        <v>155000</v>
      </c>
      <c r="F31" s="97"/>
      <c r="G31" s="103">
        <v>12</v>
      </c>
      <c r="H31" s="81">
        <f>+C31*E31*G31</f>
        <v>13020000</v>
      </c>
      <c r="I31" s="52"/>
    </row>
    <row r="32" spans="2:24" x14ac:dyDescent="0.2">
      <c r="B32" s="172" t="s">
        <v>177</v>
      </c>
      <c r="C32" s="48"/>
      <c r="D32" s="48"/>
      <c r="E32" s="148"/>
      <c r="F32" s="103"/>
      <c r="G32" s="103"/>
      <c r="H32" s="139" t="s">
        <v>67</v>
      </c>
      <c r="I32" s="52"/>
    </row>
    <row r="33" spans="1:24" s="105" customFormat="1" ht="15" x14ac:dyDescent="0.25">
      <c r="B33" s="173" t="s">
        <v>32</v>
      </c>
      <c r="C33" s="174"/>
      <c r="D33" s="174"/>
      <c r="E33" s="174"/>
      <c r="F33" s="175"/>
      <c r="G33" s="175"/>
      <c r="H33" s="176">
        <f>SUM(H23:H32)</f>
        <v>823877236</v>
      </c>
      <c r="J33" s="177"/>
    </row>
    <row r="34" spans="1:24" s="105" customFormat="1" ht="15" x14ac:dyDescent="0.2">
      <c r="B34" s="173" t="s">
        <v>269</v>
      </c>
      <c r="C34" s="356"/>
      <c r="D34" s="356"/>
      <c r="E34" s="356"/>
      <c r="F34" s="356"/>
      <c r="G34" s="356"/>
      <c r="H34" s="176">
        <f>+H33/12</f>
        <v>68656436.333333328</v>
      </c>
      <c r="I34" s="101"/>
      <c r="J34" s="177"/>
    </row>
    <row r="35" spans="1:24" s="102" customFormat="1" ht="155.25" customHeight="1" x14ac:dyDescent="0.2">
      <c r="B35" s="178" t="s">
        <v>270</v>
      </c>
      <c r="C35" s="325"/>
      <c r="D35" s="325"/>
      <c r="E35" s="325"/>
      <c r="F35" s="325"/>
      <c r="G35" s="325"/>
      <c r="H35" s="325"/>
    </row>
    <row r="36" spans="1:24" s="102" customFormat="1" ht="27" customHeight="1" x14ac:dyDescent="0.2">
      <c r="A36" s="91"/>
      <c r="B36" s="862" t="str">
        <f>B9</f>
        <v>4.2. Promoción del manejo eficiente del suelo y del agua, en la producción de maíz.</v>
      </c>
      <c r="C36" s="863"/>
      <c r="D36" s="863"/>
      <c r="E36" s="863"/>
      <c r="F36" s="863"/>
      <c r="G36" s="863"/>
      <c r="H36" s="863"/>
    </row>
    <row r="37" spans="1:24" s="102" customFormat="1" ht="15" x14ac:dyDescent="0.25">
      <c r="B37" s="854" t="str">
        <f>Portafolio_Cadena_Maíz!H63</f>
        <v>4.2.1. Realizar capacitaciones y brindar asistencia técnica a los productores de maíz, para la adopción de buenas prácticas de recuperación, uso y manejo del suelo, tales como: labranza de conservación, rotación de cultivos, descompactación, reincorporación de residuos del cultivo, desarrollo de sistemas integrados con coberturas y pasturas, recuperación de áreas degradadas, intensificación sostenible de la producción, uso de bioinsumos, entre otras, de acuerdo con las características y necesidades de las regiones maiceras.</v>
      </c>
      <c r="C37" s="855"/>
      <c r="D37" s="855"/>
      <c r="E37" s="855"/>
      <c r="F37" s="855"/>
      <c r="G37" s="855"/>
      <c r="H37" s="855"/>
      <c r="I37" s="414"/>
      <c r="X37" s="77"/>
    </row>
    <row r="38" spans="1:24" s="102" customFormat="1" ht="14.45" customHeight="1" x14ac:dyDescent="0.25">
      <c r="B38" s="854" t="str">
        <f>Portafolio_Cadena_Maíz!H64</f>
        <v>4.2.2. Realizar acompañamiento técnico a los productores en la implementación de los Planes Maestros de Reconversión Productiva - PMRP que se formulen para la cadena de maíz, en áreas con condicionantes ambientales para la producción, al interior de la frontera agrícola.</v>
      </c>
      <c r="C38" s="855"/>
      <c r="D38" s="855"/>
      <c r="E38" s="855"/>
      <c r="F38" s="855"/>
      <c r="G38" s="855"/>
      <c r="H38" s="855"/>
      <c r="I38" s="414"/>
      <c r="X38" s="77"/>
    </row>
    <row r="39" spans="1:24" s="102" customFormat="1" ht="33.6" customHeight="1" x14ac:dyDescent="0.25">
      <c r="B39" s="854" t="str">
        <f>Portafolio_Cadena_Maíz!H65</f>
        <v>4.2.3. Promover mecanismos financieros y no financieros dirigidos a la incorporación de buenas prácticas para la regeneración, uso y manejo sostenible, así como para el aumento de la fertilidad del suelo, en la producción de maíz.</v>
      </c>
      <c r="C39" s="855"/>
      <c r="D39" s="855"/>
      <c r="E39" s="855"/>
      <c r="F39" s="855"/>
      <c r="G39" s="855"/>
      <c r="H39" s="855"/>
      <c r="I39" s="414"/>
      <c r="X39" s="77"/>
    </row>
    <row r="40" spans="1:24" ht="30.6" customHeight="1" x14ac:dyDescent="0.25">
      <c r="B40" s="854" t="str">
        <f>Portafolio_Cadena_Maíz!H66</f>
        <v>4.2.4. Realizar el acompañamiento técnico a los productores de maíz en la adopción de prácticas y tecnologías de manejo agronómico que optimicen el uso del recurso y la productividad hídrica, de acuerdo con la normatividad ambiental aplicable al acceso y aprovechamiento del agua, las demandas del cultivo, y la disponibilidad y capacidad de regulación hídrica, de las fuentes de abastecimiento.</v>
      </c>
      <c r="C40" s="855"/>
      <c r="D40" s="855"/>
      <c r="E40" s="855"/>
      <c r="F40" s="855"/>
      <c r="G40" s="855"/>
      <c r="H40" s="855"/>
    </row>
    <row r="41" spans="1:24" ht="30.6" customHeight="1" x14ac:dyDescent="0.25">
      <c r="B41" s="854" t="str">
        <f>Portafolio_Cadena_Maíz!H67</f>
        <v xml:space="preserve">4.2.5. Fomentar la financiación y cofinanciación requerida en el aumento de la capacidad de captación, almacenamiento y aprovechamiento del agua en soluciones individuales o colectivas (reservorios, reutilización, pozos profundos, pivotes, riego por goteo y aspersión, entre otros) de acuerdo con las características de las regiones maiceras. </v>
      </c>
      <c r="C41" s="855"/>
      <c r="D41" s="855"/>
      <c r="E41" s="855"/>
      <c r="F41" s="855"/>
      <c r="G41" s="855"/>
      <c r="H41" s="855"/>
    </row>
    <row r="42" spans="1:24" ht="30.6" customHeight="1" x14ac:dyDescent="0.25">
      <c r="B42" s="854" t="str">
        <f>Portafolio_Cadena_Maíz!H68</f>
        <v xml:space="preserve">4.2.6. Promover la implementación del instrumento de Pago por Servicios Ambientales - PSA, en el marco de alianzas o acuerdos público - privados o entre privados, a través de procesos de divulgación y capacitación. </v>
      </c>
      <c r="C42" s="855"/>
      <c r="D42" s="855"/>
      <c r="E42" s="855"/>
      <c r="F42" s="855"/>
      <c r="G42" s="855"/>
      <c r="H42" s="855"/>
    </row>
    <row r="43" spans="1:24" ht="30.6" customHeight="1" x14ac:dyDescent="0.25">
      <c r="B43" s="854" t="str">
        <f>Portafolio_Cadena_Maíz!H69</f>
        <v>4.2.7. Implementar un mecanismo de monitoreo y reporte, del nivel de adopción e impacto de las buenas prácticas en el uso y manejo del suelo, y desarrollar mecanismos de monitoreo de la productividad hídrica en el cultivo de maíz, evaluando la eficiencia en el uso del agua.</v>
      </c>
      <c r="C43" s="855"/>
      <c r="D43" s="855"/>
      <c r="E43" s="855"/>
      <c r="F43" s="855"/>
      <c r="G43" s="855"/>
      <c r="H43" s="855"/>
    </row>
    <row r="44" spans="1:24" ht="30.6" customHeight="1" x14ac:dyDescent="0.25">
      <c r="B44" s="396"/>
      <c r="C44" s="415"/>
      <c r="D44" s="415"/>
      <c r="E44" s="415"/>
      <c r="F44" s="415"/>
      <c r="G44" s="415"/>
      <c r="H44" s="415"/>
    </row>
    <row r="45" spans="1:24" ht="15" x14ac:dyDescent="0.25">
      <c r="B45" s="858" t="s">
        <v>595</v>
      </c>
      <c r="C45" s="859"/>
      <c r="D45" s="859"/>
      <c r="E45" s="859"/>
      <c r="F45" s="859"/>
      <c r="G45" s="859"/>
      <c r="H45" s="859"/>
    </row>
    <row r="46" spans="1:24" s="105" customFormat="1" ht="18.75" customHeight="1" x14ac:dyDescent="0.25">
      <c r="B46" s="168" t="s">
        <v>68</v>
      </c>
      <c r="C46" s="168" t="s">
        <v>58</v>
      </c>
      <c r="D46" s="168" t="s">
        <v>55</v>
      </c>
      <c r="E46" s="168" t="s">
        <v>54</v>
      </c>
      <c r="F46" s="168" t="s">
        <v>69</v>
      </c>
      <c r="G46" s="168" t="s">
        <v>70</v>
      </c>
      <c r="H46" s="168" t="s">
        <v>71</v>
      </c>
    </row>
    <row r="47" spans="1:24" s="102" customFormat="1" x14ac:dyDescent="0.2">
      <c r="A47" s="92"/>
      <c r="B47" s="171" t="s">
        <v>72</v>
      </c>
      <c r="C47" s="103">
        <v>4</v>
      </c>
      <c r="D47" s="103" t="s">
        <v>73</v>
      </c>
      <c r="E47" s="179">
        <v>500000</v>
      </c>
      <c r="F47" s="103"/>
      <c r="G47" s="103"/>
      <c r="H47" s="81">
        <f t="shared" ref="H47:H61" si="4">+C47*E47</f>
        <v>2000000</v>
      </c>
      <c r="I47" s="44"/>
      <c r="J47" s="358"/>
    </row>
    <row r="48" spans="1:24" s="102" customFormat="1" x14ac:dyDescent="0.2">
      <c r="B48" s="171" t="s">
        <v>74</v>
      </c>
      <c r="C48" s="103">
        <v>19</v>
      </c>
      <c r="D48" s="103" t="s">
        <v>73</v>
      </c>
      <c r="E48" s="179">
        <v>100000</v>
      </c>
      <c r="F48" s="103"/>
      <c r="G48" s="103"/>
      <c r="H48" s="81">
        <f t="shared" si="4"/>
        <v>1900000</v>
      </c>
      <c r="I48" s="44"/>
      <c r="J48" s="358"/>
    </row>
    <row r="49" spans="1:10" s="102" customFormat="1" x14ac:dyDescent="0.2">
      <c r="A49" s="92"/>
      <c r="B49" s="171" t="s">
        <v>271</v>
      </c>
      <c r="C49" s="104">
        <v>4</v>
      </c>
      <c r="D49" s="103" t="s">
        <v>73</v>
      </c>
      <c r="E49" s="179">
        <v>2300000</v>
      </c>
      <c r="F49" s="103"/>
      <c r="G49" s="103"/>
      <c r="H49" s="81">
        <f t="shared" si="4"/>
        <v>9200000</v>
      </c>
      <c r="I49" s="83"/>
      <c r="J49" s="358"/>
    </row>
    <row r="50" spans="1:10" s="102" customFormat="1" x14ac:dyDescent="0.2">
      <c r="A50" s="92"/>
      <c r="B50" s="171" t="s">
        <v>267</v>
      </c>
      <c r="C50" s="104">
        <v>19</v>
      </c>
      <c r="D50" s="103" t="s">
        <v>73</v>
      </c>
      <c r="E50" s="179">
        <v>2300000</v>
      </c>
      <c r="F50" s="103"/>
      <c r="G50" s="103"/>
      <c r="H50" s="81">
        <f t="shared" si="4"/>
        <v>43700000</v>
      </c>
      <c r="I50" s="84"/>
      <c r="J50" s="358"/>
    </row>
    <row r="51" spans="1:10" s="102" customFormat="1" x14ac:dyDescent="0.2">
      <c r="B51" s="171" t="s">
        <v>259</v>
      </c>
      <c r="C51" s="104">
        <v>19</v>
      </c>
      <c r="D51" s="103" t="s">
        <v>73</v>
      </c>
      <c r="E51" s="179">
        <v>460000</v>
      </c>
      <c r="F51" s="103"/>
      <c r="G51" s="103"/>
      <c r="H51" s="81">
        <f t="shared" si="4"/>
        <v>8740000</v>
      </c>
      <c r="I51" s="83"/>
      <c r="J51" s="358"/>
    </row>
    <row r="52" spans="1:10" s="102" customFormat="1" x14ac:dyDescent="0.2">
      <c r="B52" s="171" t="s">
        <v>272</v>
      </c>
      <c r="C52" s="46">
        <v>10</v>
      </c>
      <c r="D52" s="103" t="s">
        <v>73</v>
      </c>
      <c r="E52" s="179">
        <v>5170000</v>
      </c>
      <c r="F52" s="103"/>
      <c r="G52" s="103"/>
      <c r="H52" s="81">
        <f t="shared" si="4"/>
        <v>51700000</v>
      </c>
      <c r="I52" s="83"/>
      <c r="J52" s="358"/>
    </row>
    <row r="53" spans="1:10" s="102" customFormat="1" x14ac:dyDescent="0.2">
      <c r="B53" s="171" t="s">
        <v>60</v>
      </c>
      <c r="C53" s="104">
        <v>4</v>
      </c>
      <c r="D53" s="103" t="s">
        <v>73</v>
      </c>
      <c r="E53" s="179">
        <v>14500000</v>
      </c>
      <c r="F53" s="103"/>
      <c r="G53" s="103"/>
      <c r="H53" s="81">
        <f t="shared" si="4"/>
        <v>58000000</v>
      </c>
      <c r="I53" s="83"/>
      <c r="J53" s="358"/>
    </row>
    <row r="54" spans="1:10" s="102" customFormat="1" x14ac:dyDescent="0.2">
      <c r="B54" s="171" t="s">
        <v>192</v>
      </c>
      <c r="C54" s="104">
        <v>4</v>
      </c>
      <c r="D54" s="103" t="s">
        <v>73</v>
      </c>
      <c r="E54" s="179">
        <v>2000000</v>
      </c>
      <c r="F54" s="103"/>
      <c r="G54" s="103"/>
      <c r="H54" s="81">
        <f t="shared" si="4"/>
        <v>8000000</v>
      </c>
      <c r="I54" s="83"/>
      <c r="J54" s="358"/>
    </row>
    <row r="55" spans="1:10" x14ac:dyDescent="0.2">
      <c r="B55" s="171" t="s">
        <v>273</v>
      </c>
      <c r="C55" s="104">
        <f>10*6</f>
        <v>60</v>
      </c>
      <c r="D55" s="103" t="s">
        <v>73</v>
      </c>
      <c r="E55" s="179">
        <v>3270000</v>
      </c>
      <c r="F55" s="103"/>
      <c r="G55" s="103"/>
      <c r="H55" s="81">
        <f t="shared" si="4"/>
        <v>196200000</v>
      </c>
      <c r="I55" s="44"/>
      <c r="J55" s="52"/>
    </row>
    <row r="56" spans="1:10" x14ac:dyDescent="0.2">
      <c r="B56" s="171" t="s">
        <v>76</v>
      </c>
      <c r="C56" s="103">
        <v>4</v>
      </c>
      <c r="D56" s="103" t="s">
        <v>274</v>
      </c>
      <c r="E56" s="179">
        <v>6000000</v>
      </c>
      <c r="F56" s="93"/>
      <c r="G56" s="103"/>
      <c r="H56" s="81">
        <f t="shared" si="4"/>
        <v>24000000</v>
      </c>
      <c r="I56" s="44"/>
      <c r="J56" s="52"/>
    </row>
    <row r="57" spans="1:10" x14ac:dyDescent="0.2">
      <c r="B57" s="171" t="s">
        <v>77</v>
      </c>
      <c r="C57" s="103">
        <v>10</v>
      </c>
      <c r="D57" s="103" t="s">
        <v>73</v>
      </c>
      <c r="E57" s="179">
        <v>1800000</v>
      </c>
      <c r="F57" s="96"/>
      <c r="G57" s="103"/>
      <c r="H57" s="81">
        <f t="shared" si="4"/>
        <v>18000000</v>
      </c>
      <c r="I57" s="44"/>
      <c r="J57" s="358"/>
    </row>
    <row r="58" spans="1:10" x14ac:dyDescent="0.2">
      <c r="B58" s="171" t="s">
        <v>162</v>
      </c>
      <c r="C58" s="103">
        <v>4</v>
      </c>
      <c r="D58" s="103" t="s">
        <v>275</v>
      </c>
      <c r="E58" s="179">
        <v>1500000</v>
      </c>
      <c r="F58" s="96"/>
      <c r="G58" s="103"/>
      <c r="H58" s="81">
        <f t="shared" si="4"/>
        <v>6000000</v>
      </c>
      <c r="I58" s="44"/>
      <c r="J58" s="358"/>
    </row>
    <row r="59" spans="1:10" x14ac:dyDescent="0.2">
      <c r="B59" s="171" t="s">
        <v>78</v>
      </c>
      <c r="C59" s="103">
        <v>10</v>
      </c>
      <c r="D59" s="103" t="s">
        <v>275</v>
      </c>
      <c r="E59" s="179">
        <v>450000</v>
      </c>
      <c r="F59" s="96"/>
      <c r="G59" s="103"/>
      <c r="H59" s="81">
        <f t="shared" si="4"/>
        <v>4500000</v>
      </c>
      <c r="I59" s="44"/>
      <c r="J59" s="358"/>
    </row>
    <row r="60" spans="1:10" x14ac:dyDescent="0.2">
      <c r="B60" s="368" t="s">
        <v>175</v>
      </c>
      <c r="C60" s="104">
        <v>4</v>
      </c>
      <c r="D60" s="104" t="s">
        <v>275</v>
      </c>
      <c r="E60" s="369">
        <v>3000000</v>
      </c>
      <c r="F60" s="363"/>
      <c r="G60" s="104"/>
      <c r="H60" s="81">
        <f t="shared" si="4"/>
        <v>12000000</v>
      </c>
      <c r="I60" s="44"/>
      <c r="J60" s="358"/>
    </row>
    <row r="61" spans="1:10" x14ac:dyDescent="0.2">
      <c r="B61" s="368" t="s">
        <v>176</v>
      </c>
      <c r="C61" s="104">
        <v>10</v>
      </c>
      <c r="D61" s="104" t="s">
        <v>275</v>
      </c>
      <c r="E61" s="369">
        <v>900000</v>
      </c>
      <c r="F61" s="200"/>
      <c r="G61" s="104"/>
      <c r="H61" s="81">
        <f t="shared" si="4"/>
        <v>9000000</v>
      </c>
      <c r="I61" s="44"/>
      <c r="J61" s="358"/>
    </row>
    <row r="62" spans="1:10" x14ac:dyDescent="0.2">
      <c r="B62" s="368" t="s">
        <v>210</v>
      </c>
      <c r="C62" s="104">
        <v>2</v>
      </c>
      <c r="D62" s="104" t="s">
        <v>180</v>
      </c>
      <c r="E62" s="369">
        <v>7862772</v>
      </c>
      <c r="F62" s="200">
        <v>1</v>
      </c>
      <c r="G62" s="104">
        <v>12</v>
      </c>
      <c r="H62" s="81">
        <f>+C62*E62*F62*G62</f>
        <v>188706528</v>
      </c>
      <c r="I62" s="44"/>
      <c r="J62" s="358"/>
    </row>
    <row r="63" spans="1:10" x14ac:dyDescent="0.2">
      <c r="B63" s="370" t="s">
        <v>80</v>
      </c>
      <c r="C63" s="46">
        <v>2</v>
      </c>
      <c r="D63" s="46" t="s">
        <v>73</v>
      </c>
      <c r="E63" s="371">
        <v>2682805</v>
      </c>
      <c r="F63" s="46"/>
      <c r="G63" s="46">
        <v>3</v>
      </c>
      <c r="H63" s="180">
        <f>+C63*E63*G63</f>
        <v>16096830</v>
      </c>
      <c r="I63" s="44"/>
      <c r="J63" s="358"/>
    </row>
    <row r="64" spans="1:10" x14ac:dyDescent="0.2">
      <c r="A64" s="42"/>
      <c r="B64" s="370" t="s">
        <v>228</v>
      </c>
      <c r="C64" s="46">
        <v>10</v>
      </c>
      <c r="D64" s="46" t="s">
        <v>180</v>
      </c>
      <c r="E64" s="371">
        <v>6604729</v>
      </c>
      <c r="F64" s="363">
        <v>1</v>
      </c>
      <c r="G64" s="46">
        <v>12</v>
      </c>
      <c r="H64" s="180">
        <f>+C64*E64*F64*G64</f>
        <v>792567480</v>
      </c>
      <c r="I64" s="44"/>
      <c r="J64" s="359"/>
    </row>
    <row r="65" spans="1:28" x14ac:dyDescent="0.2">
      <c r="A65" s="42"/>
      <c r="B65" s="370" t="s">
        <v>56</v>
      </c>
      <c r="C65" s="46">
        <v>10</v>
      </c>
      <c r="D65" s="46" t="s">
        <v>169</v>
      </c>
      <c r="E65" s="371">
        <v>1300000</v>
      </c>
      <c r="F65" s="363"/>
      <c r="G65" s="46">
        <v>12</v>
      </c>
      <c r="H65" s="149">
        <f>+C65*E65*G65</f>
        <v>156000000</v>
      </c>
      <c r="I65" s="44"/>
      <c r="J65" s="359"/>
    </row>
    <row r="66" spans="1:28" x14ac:dyDescent="0.2">
      <c r="A66" s="42"/>
      <c r="B66" s="370" t="s">
        <v>178</v>
      </c>
      <c r="C66" s="46">
        <v>10</v>
      </c>
      <c r="D66" s="46" t="s">
        <v>169</v>
      </c>
      <c r="E66" s="180">
        <v>155000</v>
      </c>
      <c r="F66" s="200"/>
      <c r="G66" s="104">
        <v>12</v>
      </c>
      <c r="H66" s="81">
        <f>+C66*E66*G66</f>
        <v>18600000</v>
      </c>
      <c r="I66" s="44"/>
      <c r="J66" s="359"/>
    </row>
    <row r="67" spans="1:28" x14ac:dyDescent="0.2">
      <c r="B67" s="370" t="s">
        <v>276</v>
      </c>
      <c r="C67" s="46">
        <v>4</v>
      </c>
      <c r="D67" s="46" t="s">
        <v>180</v>
      </c>
      <c r="E67" s="371">
        <v>7862772</v>
      </c>
      <c r="F67" s="363">
        <v>1</v>
      </c>
      <c r="G67" s="46">
        <v>12</v>
      </c>
      <c r="H67" s="180">
        <f>+C67*E67*F67*G67</f>
        <v>377413056</v>
      </c>
      <c r="I67" s="44"/>
      <c r="J67" s="359"/>
    </row>
    <row r="68" spans="1:28" x14ac:dyDescent="0.2">
      <c r="B68" s="368" t="s">
        <v>277</v>
      </c>
      <c r="C68" s="104"/>
      <c r="D68" s="104"/>
      <c r="E68" s="81"/>
      <c r="F68" s="104"/>
      <c r="G68" s="104"/>
      <c r="H68" s="181" t="s">
        <v>67</v>
      </c>
      <c r="I68" s="44"/>
      <c r="J68" s="52"/>
    </row>
    <row r="69" spans="1:28" ht="15" x14ac:dyDescent="0.2">
      <c r="B69" s="104" t="s">
        <v>171</v>
      </c>
      <c r="C69" s="104"/>
      <c r="D69" s="104"/>
      <c r="E69" s="81"/>
      <c r="F69" s="104"/>
      <c r="G69" s="104"/>
      <c r="H69" s="43" t="s">
        <v>67</v>
      </c>
      <c r="I69" s="182" t="s">
        <v>159</v>
      </c>
      <c r="J69" s="52"/>
    </row>
    <row r="70" spans="1:28" s="105" customFormat="1" ht="20.25" customHeight="1" x14ac:dyDescent="0.25">
      <c r="B70" s="173" t="s">
        <v>243</v>
      </c>
      <c r="C70" s="174"/>
      <c r="D70" s="174"/>
      <c r="E70" s="175"/>
      <c r="F70" s="175"/>
      <c r="G70" s="174"/>
      <c r="H70" s="182">
        <f>SUM(H47:H67)</f>
        <v>2002323894</v>
      </c>
      <c r="I70" s="408">
        <f>H70/12</f>
        <v>166860324.5</v>
      </c>
    </row>
    <row r="71" spans="1:28" s="105" customFormat="1" ht="20.25" customHeight="1" x14ac:dyDescent="0.25">
      <c r="B71" s="173" t="s">
        <v>598</v>
      </c>
      <c r="C71" s="183"/>
      <c r="D71" s="183"/>
      <c r="E71" s="183"/>
      <c r="F71" s="183"/>
      <c r="G71" s="183"/>
      <c r="H71" s="183"/>
      <c r="I71" s="409">
        <v>2</v>
      </c>
      <c r="J71" s="409">
        <v>3</v>
      </c>
      <c r="K71" s="409">
        <v>4</v>
      </c>
      <c r="L71" s="409">
        <v>5</v>
      </c>
      <c r="M71" s="409">
        <v>6</v>
      </c>
      <c r="N71" s="409">
        <v>7</v>
      </c>
      <c r="O71" s="409">
        <v>8</v>
      </c>
      <c r="P71" s="409">
        <v>9</v>
      </c>
      <c r="Q71" s="409">
        <v>10</v>
      </c>
      <c r="R71" s="409">
        <v>11</v>
      </c>
      <c r="S71" s="409">
        <v>12</v>
      </c>
      <c r="T71" s="409">
        <v>13</v>
      </c>
      <c r="U71" s="409">
        <v>14</v>
      </c>
      <c r="V71" s="409">
        <v>15</v>
      </c>
      <c r="W71" s="409">
        <v>16</v>
      </c>
      <c r="X71" s="409">
        <v>17</v>
      </c>
      <c r="Y71" s="409">
        <v>18</v>
      </c>
      <c r="Z71" s="409">
        <v>19</v>
      </c>
      <c r="AA71" s="409">
        <v>20</v>
      </c>
      <c r="AB71" s="409" t="s">
        <v>32</v>
      </c>
    </row>
    <row r="72" spans="1:28" s="105" customFormat="1" ht="20.25" customHeight="1" x14ac:dyDescent="0.25">
      <c r="B72" s="407" t="s">
        <v>597</v>
      </c>
      <c r="C72" s="102"/>
      <c r="D72" s="102"/>
      <c r="E72" s="102"/>
      <c r="F72" s="102"/>
      <c r="G72" s="102"/>
      <c r="H72" s="102"/>
      <c r="I72" s="405">
        <v>1017934112.0273621</v>
      </c>
      <c r="J72" s="405">
        <v>1170624228.8314667</v>
      </c>
      <c r="K72" s="405">
        <v>1346217863.1561868</v>
      </c>
      <c r="L72" s="405">
        <v>1548150542.6296148</v>
      </c>
      <c r="M72" s="405">
        <v>1780373124.0240569</v>
      </c>
      <c r="N72" s="405">
        <v>2136447748.8288679</v>
      </c>
      <c r="O72" s="405">
        <v>2563737298.5946422</v>
      </c>
      <c r="P72" s="405">
        <v>3076484758.3135705</v>
      </c>
      <c r="Q72" s="405">
        <v>3691781709.9762845</v>
      </c>
      <c r="R72" s="405">
        <v>3076484758.3135705</v>
      </c>
      <c r="S72" s="405">
        <v>2461187806.6508565</v>
      </c>
      <c r="T72" s="405">
        <v>1968950245.3206854</v>
      </c>
      <c r="U72" s="405">
        <v>1575160196.2565482</v>
      </c>
      <c r="V72" s="405">
        <v>1260128157.0052385</v>
      </c>
      <c r="W72" s="405">
        <v>1008102525.6041908</v>
      </c>
      <c r="X72" s="405">
        <v>806482020.48335266</v>
      </c>
      <c r="Y72" s="405">
        <v>645185616.38668227</v>
      </c>
      <c r="Z72" s="405">
        <v>516148493.10934573</v>
      </c>
      <c r="AA72" s="405">
        <v>412918794.48747665</v>
      </c>
      <c r="AB72" s="405">
        <v>32062500000</v>
      </c>
    </row>
    <row r="73" spans="1:28" s="105" customFormat="1" ht="20.25" customHeight="1" x14ac:dyDescent="0.25">
      <c r="B73" s="410" t="s">
        <v>599</v>
      </c>
      <c r="C73" s="102"/>
      <c r="D73" s="102"/>
      <c r="E73" s="102"/>
      <c r="F73" s="102"/>
      <c r="G73" s="102"/>
      <c r="H73" s="102"/>
      <c r="I73" s="410">
        <v>1808344963.7644041</v>
      </c>
      <c r="J73" s="410">
        <v>2079596708.3290651</v>
      </c>
      <c r="K73" s="410">
        <v>2391536214.5784245</v>
      </c>
      <c r="L73" s="410">
        <v>2750266646.7651887</v>
      </c>
      <c r="M73" s="410">
        <v>3162806643.7799668</v>
      </c>
      <c r="N73" s="410">
        <v>3795367972.5359597</v>
      </c>
      <c r="O73" s="410">
        <v>4554441567.0431528</v>
      </c>
      <c r="P73" s="410">
        <v>5465329880.4517841</v>
      </c>
      <c r="Q73" s="410">
        <v>6558395856.54214</v>
      </c>
      <c r="R73" s="410">
        <v>5465329880.4517841</v>
      </c>
      <c r="S73" s="410">
        <v>4372263904.3614264</v>
      </c>
      <c r="T73" s="410">
        <v>3497811123.4891415</v>
      </c>
      <c r="U73" s="410">
        <v>2798248898.7913127</v>
      </c>
      <c r="V73" s="410">
        <v>2238599119.0330505</v>
      </c>
      <c r="W73" s="410">
        <v>1790879295.2264402</v>
      </c>
      <c r="X73" s="410">
        <v>1432703436.1811523</v>
      </c>
      <c r="Y73" s="410">
        <v>1146162748.944922</v>
      </c>
      <c r="Z73" s="410">
        <v>916930199.15593767</v>
      </c>
      <c r="AA73" s="410">
        <v>733544159.32475007</v>
      </c>
      <c r="AB73" s="410">
        <v>56958559218.75</v>
      </c>
    </row>
    <row r="74" spans="1:28" s="105" customFormat="1" ht="20.25" customHeight="1" x14ac:dyDescent="0.25">
      <c r="B74" s="411" t="s">
        <v>600</v>
      </c>
      <c r="C74" s="102"/>
      <c r="D74" s="102"/>
      <c r="E74" s="102"/>
      <c r="F74" s="102"/>
      <c r="G74" s="102"/>
      <c r="H74" s="102"/>
      <c r="I74" s="411">
        <v>723337985.50576174</v>
      </c>
      <c r="J74" s="411">
        <v>831838683.33162606</v>
      </c>
      <c r="K74" s="411">
        <v>956614485.83137</v>
      </c>
      <c r="L74" s="411">
        <v>1100106658.7060757</v>
      </c>
      <c r="M74" s="411">
        <v>1265122657.511987</v>
      </c>
      <c r="N74" s="411">
        <v>1518147189.014384</v>
      </c>
      <c r="O74" s="411">
        <v>1821776626.8172612</v>
      </c>
      <c r="P74" s="411">
        <v>2186131952.1807141</v>
      </c>
      <c r="Q74" s="411">
        <v>2623358342.6168561</v>
      </c>
      <c r="R74" s="411">
        <v>2186131952.1807141</v>
      </c>
      <c r="S74" s="411">
        <v>1748905561.744571</v>
      </c>
      <c r="T74" s="411">
        <v>1399124449.3956568</v>
      </c>
      <c r="U74" s="411">
        <v>1119299559.5165253</v>
      </c>
      <c r="V74" s="411">
        <v>895439647.61322033</v>
      </c>
      <c r="W74" s="411">
        <v>716351718.09057617</v>
      </c>
      <c r="X74" s="411">
        <v>573081374.47246099</v>
      </c>
      <c r="Y74" s="411">
        <v>458465099.57796884</v>
      </c>
      <c r="Z74" s="411">
        <v>366772079.66237509</v>
      </c>
      <c r="AA74" s="411">
        <v>293417663.72990012</v>
      </c>
      <c r="AB74" s="411">
        <v>22783423687.500004</v>
      </c>
    </row>
    <row r="75" spans="1:28" ht="356.45" customHeight="1" x14ac:dyDescent="0.2">
      <c r="B75" s="416" t="s">
        <v>606</v>
      </c>
      <c r="C75" s="102"/>
      <c r="D75" s="102"/>
      <c r="E75" s="102"/>
      <c r="F75" s="102"/>
      <c r="G75" s="102"/>
    </row>
    <row r="77" spans="1:28" x14ac:dyDescent="0.2">
      <c r="G77" s="184"/>
    </row>
    <row r="78" spans="1:28" x14ac:dyDescent="0.2">
      <c r="B78" s="42"/>
      <c r="C78" s="185"/>
      <c r="D78" s="186"/>
      <c r="E78" s="185"/>
      <c r="F78" s="185"/>
      <c r="G78" s="185"/>
      <c r="H78" s="115"/>
    </row>
    <row r="79" spans="1:28" x14ac:dyDescent="0.2">
      <c r="B79" s="42"/>
    </row>
    <row r="81" spans="4:8" x14ac:dyDescent="0.2">
      <c r="F81" s="52"/>
      <c r="H81" s="115"/>
    </row>
    <row r="82" spans="4:8" x14ac:dyDescent="0.2">
      <c r="F82" s="52"/>
      <c r="H82" s="52"/>
    </row>
    <row r="83" spans="4:8" x14ac:dyDescent="0.2">
      <c r="D83" s="52"/>
    </row>
    <row r="84" spans="4:8" x14ac:dyDescent="0.2">
      <c r="D84" s="52"/>
    </row>
    <row r="85" spans="4:8" x14ac:dyDescent="0.2">
      <c r="F85" s="115"/>
    </row>
    <row r="88" spans="4:8" x14ac:dyDescent="0.2">
      <c r="D88" s="52"/>
      <c r="E88" s="52"/>
    </row>
    <row r="96" spans="4:8" x14ac:dyDescent="0.2">
      <c r="F96" s="52"/>
      <c r="G96" s="52"/>
    </row>
    <row r="97" spans="6:7" x14ac:dyDescent="0.2">
      <c r="F97" s="52"/>
      <c r="G97" s="52"/>
    </row>
    <row r="98" spans="6:7" x14ac:dyDescent="0.2">
      <c r="F98" s="52"/>
      <c r="G98" s="52"/>
    </row>
    <row r="99" spans="6:7" x14ac:dyDescent="0.2">
      <c r="F99" s="52"/>
      <c r="G99" s="52"/>
    </row>
    <row r="100" spans="6:7" x14ac:dyDescent="0.2">
      <c r="F100" s="52"/>
      <c r="G100" s="52"/>
    </row>
    <row r="101" spans="6:7" x14ac:dyDescent="0.2">
      <c r="F101" s="52"/>
      <c r="G101" s="52"/>
    </row>
    <row r="102" spans="6:7" x14ac:dyDescent="0.2">
      <c r="F102" s="52"/>
      <c r="G102" s="52"/>
    </row>
    <row r="103" spans="6:7" x14ac:dyDescent="0.2">
      <c r="F103" s="52"/>
      <c r="G103" s="52"/>
    </row>
    <row r="104" spans="6:7" x14ac:dyDescent="0.2">
      <c r="F104" s="52"/>
      <c r="G104" s="52"/>
    </row>
    <row r="105" spans="6:7" x14ac:dyDescent="0.2">
      <c r="F105" s="52"/>
      <c r="G105" s="52"/>
    </row>
    <row r="106" spans="6:7" x14ac:dyDescent="0.2">
      <c r="F106" s="52"/>
      <c r="G106" s="52"/>
    </row>
    <row r="107" spans="6:7" x14ac:dyDescent="0.2">
      <c r="F107" s="52"/>
      <c r="G107" s="52"/>
    </row>
    <row r="108" spans="6:7" x14ac:dyDescent="0.2">
      <c r="F108" s="52"/>
      <c r="G108" s="52"/>
    </row>
    <row r="109" spans="6:7" x14ac:dyDescent="0.2">
      <c r="F109" s="52"/>
      <c r="G109" s="52"/>
    </row>
    <row r="110" spans="6:7" x14ac:dyDescent="0.2">
      <c r="F110" s="52"/>
      <c r="G110" s="52"/>
    </row>
    <row r="111" spans="6:7" x14ac:dyDescent="0.2">
      <c r="F111" s="52"/>
      <c r="G111" s="52"/>
    </row>
    <row r="112" spans="6:7" x14ac:dyDescent="0.2">
      <c r="F112" s="52"/>
      <c r="G112" s="52"/>
    </row>
    <row r="113" spans="6:7" x14ac:dyDescent="0.2">
      <c r="F113" s="52"/>
      <c r="G113" s="52"/>
    </row>
    <row r="114" spans="6:7" x14ac:dyDescent="0.2">
      <c r="F114" s="52"/>
      <c r="G114" s="52"/>
    </row>
    <row r="115" spans="6:7" x14ac:dyDescent="0.2">
      <c r="F115" s="52"/>
      <c r="G115" s="52"/>
    </row>
    <row r="116" spans="6:7" x14ac:dyDescent="0.2">
      <c r="F116" s="52"/>
      <c r="G116" s="52"/>
    </row>
    <row r="119" spans="6:7" x14ac:dyDescent="0.2">
      <c r="G119" s="52"/>
    </row>
  </sheetData>
  <sheetProtection algorithmName="SHA-512" hashValue="ZQHRFCd9XviUCEqLh4Gwc9XzM5KoTOIV5KRpQXakNjlNB48sZ+ToYrCHz8Glk1RtEAKfxHvVF+AyszrslQyYQA==" saltValue="QZfBZBJiiEVs2oMUPa9zoA==" spinCount="100000" sheet="1" objects="1" scenarios="1"/>
  <mergeCells count="16">
    <mergeCell ref="B13:H14"/>
    <mergeCell ref="B36:H36"/>
    <mergeCell ref="B15:H15"/>
    <mergeCell ref="B16:H16"/>
    <mergeCell ref="B17:H17"/>
    <mergeCell ref="B18:H18"/>
    <mergeCell ref="B20:H20"/>
    <mergeCell ref="B21:H21"/>
    <mergeCell ref="B42:H42"/>
    <mergeCell ref="B43:H43"/>
    <mergeCell ref="B45:H45"/>
    <mergeCell ref="B37:H37"/>
    <mergeCell ref="B38:H38"/>
    <mergeCell ref="B39:H39"/>
    <mergeCell ref="B40:H40"/>
    <mergeCell ref="B41:H4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1"/>
  <sheetViews>
    <sheetView showGridLines="0" zoomScale="60" zoomScaleNormal="60" workbookViewId="0">
      <selection activeCell="I44" sqref="I44"/>
    </sheetView>
  </sheetViews>
  <sheetFormatPr baseColWidth="10" defaultColWidth="10.7109375" defaultRowHeight="14.25" x14ac:dyDescent="0.2"/>
  <cols>
    <col min="1" max="1" width="13.42578125" style="101" customWidth="1"/>
    <col min="2" max="2" width="67.42578125" style="101" customWidth="1"/>
    <col min="3" max="3" width="29.85546875" style="101" customWidth="1"/>
    <col min="4" max="4" width="22.28515625" style="101" customWidth="1"/>
    <col min="5" max="5" width="22.42578125" style="101" customWidth="1"/>
    <col min="6" max="6" width="19.85546875" style="101" bestFit="1" customWidth="1"/>
    <col min="7" max="7" width="18.42578125" style="101" bestFit="1" customWidth="1"/>
    <col min="8" max="8" width="23" style="101" bestFit="1" customWidth="1"/>
    <col min="9" max="9" width="19.7109375" style="101" customWidth="1"/>
    <col min="10" max="10" width="17.42578125" style="101" bestFit="1" customWidth="1"/>
    <col min="11" max="11" width="18.28515625" style="101" bestFit="1" customWidth="1"/>
    <col min="12" max="12" width="19.140625" style="101" bestFit="1" customWidth="1"/>
    <col min="13" max="13" width="17.42578125" style="101" bestFit="1" customWidth="1"/>
    <col min="14" max="14" width="18.5703125" style="101" bestFit="1" customWidth="1"/>
    <col min="15" max="15" width="17.42578125" style="101" bestFit="1" customWidth="1"/>
    <col min="16" max="16" width="17.5703125" style="101" customWidth="1"/>
    <col min="17" max="17" width="18.5703125" style="101" bestFit="1" customWidth="1"/>
    <col min="18" max="18" width="17.42578125" style="101" bestFit="1" customWidth="1"/>
    <col min="19" max="19" width="17.5703125" style="101" bestFit="1" customWidth="1"/>
    <col min="20" max="20" width="18.42578125" style="101" bestFit="1" customWidth="1"/>
    <col min="21" max="22" width="17.42578125" style="101" bestFit="1" customWidth="1"/>
    <col min="23" max="23" width="18.5703125" style="101" bestFit="1" customWidth="1"/>
    <col min="24" max="24" width="19.140625" style="101" bestFit="1" customWidth="1"/>
    <col min="25" max="25" width="19" style="101" bestFit="1" customWidth="1"/>
    <col min="26" max="26" width="19.140625" style="101" bestFit="1" customWidth="1"/>
    <col min="27" max="27" width="17" style="101" bestFit="1" customWidth="1"/>
    <col min="28" max="28" width="17.85546875" style="101" customWidth="1"/>
    <col min="29" max="16384" width="10.7109375" style="101"/>
  </cols>
  <sheetData>
    <row r="2" spans="1:26" ht="15" x14ac:dyDescent="0.25">
      <c r="B2" s="57" t="s">
        <v>87</v>
      </c>
    </row>
    <row r="3" spans="1:26" s="102" customFormat="1" ht="15" x14ac:dyDescent="0.25">
      <c r="A3" s="49"/>
    </row>
    <row r="4" spans="1:26" ht="21.6" customHeight="1" x14ac:dyDescent="0.25">
      <c r="A4" s="58"/>
      <c r="B4" s="162" t="str">
        <f>Portafolio_Cadena_Maíz!C70</f>
        <v>5. Fortalecimiento de la gestión ambiental en la cadena maicera.</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350</v>
      </c>
      <c r="E7" s="65">
        <f t="shared" ref="E7:X7" si="0">SUM(E8:E8)</f>
        <v>674788448.37700009</v>
      </c>
      <c r="F7" s="65">
        <f t="shared" si="0"/>
        <v>2699153793.5080004</v>
      </c>
      <c r="G7" s="65">
        <f t="shared" si="0"/>
        <v>2699153793.5080004</v>
      </c>
      <c r="H7" s="65">
        <f t="shared" si="0"/>
        <v>2024365345.1310003</v>
      </c>
      <c r="I7" s="65">
        <f t="shared" si="0"/>
        <v>0</v>
      </c>
      <c r="J7" s="65">
        <f t="shared" si="0"/>
        <v>0</v>
      </c>
      <c r="K7" s="65">
        <f t="shared" si="0"/>
        <v>2699153793.5080004</v>
      </c>
      <c r="L7" s="65">
        <f t="shared" si="0"/>
        <v>0</v>
      </c>
      <c r="M7" s="65">
        <f t="shared" si="0"/>
        <v>0</v>
      </c>
      <c r="N7" s="65">
        <f t="shared" si="0"/>
        <v>2699153793.5080004</v>
      </c>
      <c r="O7" s="65">
        <f t="shared" si="0"/>
        <v>0</v>
      </c>
      <c r="P7" s="65">
        <f t="shared" si="0"/>
        <v>0</v>
      </c>
      <c r="Q7" s="65">
        <f t="shared" si="0"/>
        <v>2699153793.5080004</v>
      </c>
      <c r="R7" s="65">
        <f t="shared" si="0"/>
        <v>0</v>
      </c>
      <c r="S7" s="65">
        <f t="shared" si="0"/>
        <v>0</v>
      </c>
      <c r="T7" s="65">
        <f t="shared" si="0"/>
        <v>2699153793.5080004</v>
      </c>
      <c r="U7" s="65">
        <f t="shared" si="0"/>
        <v>0</v>
      </c>
      <c r="V7" s="65">
        <f t="shared" si="0"/>
        <v>0</v>
      </c>
      <c r="W7" s="65">
        <f t="shared" si="0"/>
        <v>2699153793.5080004</v>
      </c>
      <c r="X7" s="65">
        <f t="shared" si="0"/>
        <v>0</v>
      </c>
      <c r="Y7" s="65">
        <f>SUM(E7:X7)</f>
        <v>21593230348.063999</v>
      </c>
      <c r="Z7" s="66"/>
    </row>
    <row r="8" spans="1:26" s="70" customFormat="1" ht="45.75" customHeight="1" x14ac:dyDescent="0.2">
      <c r="A8" s="67"/>
      <c r="B8" s="68" t="str">
        <f>Portafolio_Cadena_Maíz!D70</f>
        <v>5.1. Mejora del desempeño ambiental de la cadena de maíz.</v>
      </c>
      <c r="C8" s="143" t="s">
        <v>215</v>
      </c>
      <c r="D8" s="70" t="s">
        <v>161</v>
      </c>
      <c r="E8" s="69">
        <f>+H47*3</f>
        <v>674788448.37700009</v>
      </c>
      <c r="F8" s="69">
        <f>+H46</f>
        <v>2699153793.5080004</v>
      </c>
      <c r="G8" s="69">
        <f>+H46</f>
        <v>2699153793.5080004</v>
      </c>
      <c r="H8" s="69">
        <f>+H47*9</f>
        <v>2024365345.1310003</v>
      </c>
      <c r="I8" s="69" t="str">
        <f>+H45</f>
        <v>Por definir</v>
      </c>
      <c r="J8" s="69" t="str">
        <f>+H45</f>
        <v>Por definir</v>
      </c>
      <c r="K8" s="69">
        <f>+H46</f>
        <v>2699153793.5080004</v>
      </c>
      <c r="L8" s="69" t="str">
        <f>+H45</f>
        <v>Por definir</v>
      </c>
      <c r="M8" s="69" t="str">
        <f>+H45</f>
        <v>Por definir</v>
      </c>
      <c r="N8" s="69">
        <f>+H46</f>
        <v>2699153793.5080004</v>
      </c>
      <c r="O8" s="69" t="str">
        <f>+H45</f>
        <v>Por definir</v>
      </c>
      <c r="P8" s="69" t="str">
        <f>+H45</f>
        <v>Por definir</v>
      </c>
      <c r="Q8" s="69">
        <f>+H46</f>
        <v>2699153793.5080004</v>
      </c>
      <c r="R8" s="69" t="str">
        <f>+H45</f>
        <v>Por definir</v>
      </c>
      <c r="S8" s="69" t="str">
        <f>+H45</f>
        <v>Por definir</v>
      </c>
      <c r="T8" s="69">
        <f>+H46</f>
        <v>2699153793.5080004</v>
      </c>
      <c r="U8" s="69" t="str">
        <f>+H45</f>
        <v>Por definir</v>
      </c>
      <c r="V8" s="69" t="str">
        <f>+H45</f>
        <v>Por definir</v>
      </c>
      <c r="W8" s="69">
        <f>+H46</f>
        <v>2699153793.5080004</v>
      </c>
      <c r="X8" s="69" t="str">
        <f>+H45</f>
        <v>Por definir</v>
      </c>
      <c r="Y8" s="69">
        <f>SUM(E8:X8)</f>
        <v>21593230348.063999</v>
      </c>
      <c r="Z8" s="66"/>
    </row>
    <row r="9" spans="1:26" s="166" customFormat="1" ht="24.6" customHeight="1" x14ac:dyDescent="0.25">
      <c r="A9" s="105"/>
      <c r="B9" s="163" t="s">
        <v>32</v>
      </c>
      <c r="C9" s="163"/>
      <c r="D9" s="163"/>
      <c r="E9" s="167"/>
      <c r="F9" s="167"/>
      <c r="G9" s="167"/>
      <c r="H9" s="167"/>
      <c r="I9" s="167"/>
      <c r="J9" s="167"/>
      <c r="K9" s="167"/>
      <c r="L9" s="167"/>
      <c r="M9" s="167"/>
      <c r="N9" s="167"/>
      <c r="O9" s="167"/>
      <c r="P9" s="167"/>
      <c r="Q9" s="167"/>
      <c r="R9" s="167"/>
      <c r="S9" s="167"/>
      <c r="T9" s="167"/>
      <c r="U9" s="167"/>
      <c r="V9" s="167"/>
      <c r="W9" s="167"/>
      <c r="X9" s="167"/>
      <c r="Y9" s="167"/>
      <c r="Z9" s="165"/>
    </row>
    <row r="10" spans="1:26" s="75" customFormat="1" ht="24.6" customHeight="1" x14ac:dyDescent="0.25">
      <c r="A10" s="102"/>
      <c r="B10" s="72"/>
      <c r="C10" s="72"/>
      <c r="D10" s="72"/>
      <c r="E10" s="72"/>
      <c r="F10" s="73"/>
      <c r="G10" s="74"/>
      <c r="H10" s="73"/>
      <c r="I10" s="73"/>
      <c r="J10" s="73"/>
      <c r="K10" s="73"/>
      <c r="L10" s="73"/>
      <c r="M10" s="73"/>
      <c r="N10" s="73"/>
      <c r="O10" s="73"/>
      <c r="P10" s="73"/>
      <c r="Q10" s="73"/>
      <c r="R10" s="73"/>
      <c r="S10" s="73"/>
      <c r="T10" s="73"/>
      <c r="U10" s="73"/>
      <c r="V10" s="73"/>
      <c r="W10" s="73"/>
      <c r="X10" s="73"/>
      <c r="Y10" s="73"/>
      <c r="Z10" s="73"/>
    </row>
    <row r="12" spans="1:26" s="102" customFormat="1" ht="14.45" customHeight="1" x14ac:dyDescent="0.25">
      <c r="B12" s="853" t="str">
        <f>B8</f>
        <v>5.1. Mejora del desempeño ambiental de la cadena de maíz.</v>
      </c>
      <c r="C12" s="852"/>
      <c r="D12" s="852"/>
      <c r="E12" s="852"/>
      <c r="F12" s="852"/>
      <c r="G12" s="852"/>
      <c r="H12" s="852"/>
      <c r="I12" s="326"/>
      <c r="X12" s="77"/>
    </row>
    <row r="13" spans="1:26" s="102" customFormat="1" ht="14.45" customHeight="1" x14ac:dyDescent="0.25">
      <c r="B13" s="852"/>
      <c r="C13" s="852"/>
      <c r="D13" s="852"/>
      <c r="E13" s="852"/>
      <c r="F13" s="852"/>
      <c r="G13" s="852"/>
      <c r="H13" s="852"/>
      <c r="I13" s="326"/>
      <c r="X13" s="77"/>
    </row>
    <row r="14" spans="1:26" s="102" customFormat="1" ht="15" x14ac:dyDescent="0.25">
      <c r="B14" s="854" t="str">
        <f>Portafolio_Cadena_Maíz!H70</f>
        <v>5.1.1. Promover la incorporación de los escenarios de variabilidad y cambio climático, en el desarrollo especializado de las regiones maiceras, a través de los instrumentos de política nacional y regional.</v>
      </c>
      <c r="C14" s="855"/>
      <c r="D14" s="855"/>
      <c r="E14" s="855"/>
      <c r="F14" s="855"/>
      <c r="G14" s="855"/>
      <c r="H14" s="855"/>
      <c r="I14" s="414"/>
      <c r="X14" s="77"/>
    </row>
    <row r="15" spans="1:26" s="102" customFormat="1" ht="28.5" customHeight="1" x14ac:dyDescent="0.25">
      <c r="B15" s="854" t="str">
        <f>Portafolio_Cadena_Maíz!H71</f>
        <v>5.1.2. Socializar, difundir y capacitar a los productores sobre el uso adecuado de la información agroclimática disponible y actualizada, de acuerdo con las proyecciones climáticas, características de las regiones maiceras, y los riesgos climáticos, para orientar y favorecer la planificación de la actividad productiva.</v>
      </c>
      <c r="C15" s="855"/>
      <c r="D15" s="855"/>
      <c r="E15" s="855"/>
      <c r="F15" s="855"/>
      <c r="G15" s="855"/>
      <c r="H15" s="855"/>
      <c r="I15" s="414"/>
      <c r="X15" s="77"/>
    </row>
    <row r="16" spans="1:26" s="102" customFormat="1" ht="15" x14ac:dyDescent="0.25">
      <c r="B16" s="854" t="str">
        <f>Portafolio_Cadena_Maíz!H72</f>
        <v xml:space="preserve">5.1.3. Promover el desarrollo y la adopción de semillas mejoradas en su tolerancia a las variaciones climáticas, de forma articulada con instrumentos financieros e incentivos. </v>
      </c>
      <c r="C16" s="855"/>
      <c r="D16" s="855"/>
      <c r="E16" s="855"/>
      <c r="F16" s="855"/>
      <c r="G16" s="855"/>
      <c r="H16" s="855"/>
      <c r="I16" s="414"/>
      <c r="X16" s="77"/>
    </row>
    <row r="17" spans="2:24" ht="30.6" customHeight="1" x14ac:dyDescent="0.25">
      <c r="B17" s="854" t="str">
        <f>Portafolio_Cadena_Maíz!H73</f>
        <v xml:space="preserve">5.1.4. Realizar procesos de capacitación y divulgación sobre instrumentos financieros y no financieros dirigidos a la sostenibilidad ambiental en la producción de maíz, como líneas de crédito especiales, reconocimiento económico por captura de GEI, bonos de carbono, entre otros. </v>
      </c>
      <c r="C17" s="855"/>
      <c r="D17" s="855"/>
      <c r="E17" s="855"/>
      <c r="F17" s="855"/>
      <c r="G17" s="855"/>
      <c r="H17" s="855"/>
    </row>
    <row r="18" spans="2:24" s="102" customFormat="1" ht="14.45" customHeight="1" x14ac:dyDescent="0.25">
      <c r="B18" s="854" t="str">
        <f>Portafolio_Cadena_Maíz!H74</f>
        <v>5.1.5. Identificar y divulgar los desarrollos en tecnologías de producción bajas en carbono, modelos de economía circular y energías alternativas, aplicables a la cadena de maíz.</v>
      </c>
      <c r="C18" s="855"/>
      <c r="D18" s="855"/>
      <c r="E18" s="855"/>
      <c r="F18" s="855"/>
      <c r="G18" s="855"/>
      <c r="H18" s="855"/>
      <c r="I18" s="414"/>
      <c r="X18" s="77"/>
    </row>
    <row r="19" spans="2:24" s="102" customFormat="1" ht="14.45" customHeight="1" x14ac:dyDescent="0.25">
      <c r="B19" s="854" t="str">
        <f>Portafolio_Cadena_Maíz!H75</f>
        <v>5.1.6. Realizar el acompañamiento técnico y financiero para mejorar la infraestructura y equipamiento requeridos en la incorporación de tecnologías de producción bajas en carbono, modelos de economía circular, y energías alternativas, a lo largo de la cadena de maíz.</v>
      </c>
      <c r="C19" s="855"/>
      <c r="D19" s="855"/>
      <c r="E19" s="855"/>
      <c r="F19" s="855"/>
      <c r="G19" s="855"/>
      <c r="H19" s="855"/>
      <c r="I19" s="414"/>
      <c r="X19" s="77"/>
    </row>
    <row r="20" spans="2:24" s="102" customFormat="1" ht="15" x14ac:dyDescent="0.25">
      <c r="B20" s="860" t="str">
        <f>Portafolio_Cadena_Maíz!H76</f>
        <v>5.1.7. Establecer la línea base y el sistema de monitoreo y medición del desempeño ambiental de la cadena de maíz.</v>
      </c>
      <c r="C20" s="861"/>
      <c r="D20" s="861"/>
      <c r="E20" s="861"/>
      <c r="F20" s="861"/>
      <c r="G20" s="861"/>
      <c r="H20" s="861"/>
      <c r="I20" s="414"/>
      <c r="X20" s="77"/>
    </row>
    <row r="21" spans="2:24" s="102" customFormat="1" ht="15" x14ac:dyDescent="0.25">
      <c r="B21" s="659"/>
      <c r="C21" s="660"/>
      <c r="D21" s="660"/>
      <c r="E21" s="660"/>
      <c r="F21" s="660"/>
      <c r="G21" s="660"/>
      <c r="H21" s="660"/>
      <c r="I21" s="658"/>
      <c r="X21" s="77"/>
    </row>
    <row r="22" spans="2:24" ht="15" x14ac:dyDescent="0.25">
      <c r="B22" s="858" t="s">
        <v>595</v>
      </c>
      <c r="C22" s="859"/>
      <c r="D22" s="859"/>
      <c r="E22" s="859"/>
      <c r="F22" s="859"/>
      <c r="G22" s="859"/>
      <c r="H22" s="859"/>
    </row>
    <row r="23" spans="2:24" ht="15" x14ac:dyDescent="0.25">
      <c r="B23" s="78" t="s">
        <v>68</v>
      </c>
      <c r="C23" s="78" t="s">
        <v>58</v>
      </c>
      <c r="D23" s="78" t="s">
        <v>55</v>
      </c>
      <c r="E23" s="78" t="s">
        <v>54</v>
      </c>
      <c r="F23" s="79" t="s">
        <v>96</v>
      </c>
      <c r="G23" s="78" t="s">
        <v>70</v>
      </c>
      <c r="H23" s="78" t="s">
        <v>71</v>
      </c>
      <c r="X23" s="80"/>
    </row>
    <row r="24" spans="2:24" x14ac:dyDescent="0.2">
      <c r="B24" s="171" t="s">
        <v>72</v>
      </c>
      <c r="C24" s="103">
        <v>4</v>
      </c>
      <c r="D24" s="103" t="s">
        <v>73</v>
      </c>
      <c r="E24" s="45">
        <v>500000</v>
      </c>
      <c r="F24" s="103"/>
      <c r="G24" s="103"/>
      <c r="H24" s="81">
        <f t="shared" ref="H24:H36" si="1">+C24*E24</f>
        <v>2000000</v>
      </c>
      <c r="J24" s="52"/>
    </row>
    <row r="25" spans="2:24" x14ac:dyDescent="0.2">
      <c r="B25" s="172" t="s">
        <v>74</v>
      </c>
      <c r="C25" s="48">
        <v>19</v>
      </c>
      <c r="D25" s="48" t="s">
        <v>73</v>
      </c>
      <c r="E25" s="187">
        <v>100000</v>
      </c>
      <c r="F25" s="48"/>
      <c r="G25" s="48"/>
      <c r="H25" s="149">
        <f t="shared" si="1"/>
        <v>1900000</v>
      </c>
      <c r="J25" s="52"/>
    </row>
    <row r="26" spans="2:24" x14ac:dyDescent="0.2">
      <c r="B26" s="172" t="s">
        <v>271</v>
      </c>
      <c r="C26" s="48">
        <v>4</v>
      </c>
      <c r="D26" s="48" t="s">
        <v>73</v>
      </c>
      <c r="E26" s="187">
        <v>2300000</v>
      </c>
      <c r="F26" s="48"/>
      <c r="G26" s="48"/>
      <c r="H26" s="149">
        <f t="shared" si="1"/>
        <v>9200000</v>
      </c>
      <c r="J26" s="52"/>
    </row>
    <row r="27" spans="2:24" x14ac:dyDescent="0.2">
      <c r="B27" s="172" t="s">
        <v>267</v>
      </c>
      <c r="C27" s="48">
        <v>7</v>
      </c>
      <c r="D27" s="48" t="s">
        <v>73</v>
      </c>
      <c r="E27" s="187">
        <v>2300000</v>
      </c>
      <c r="F27" s="48"/>
      <c r="G27" s="48"/>
      <c r="H27" s="149">
        <f t="shared" si="1"/>
        <v>16100000</v>
      </c>
      <c r="J27" s="52"/>
    </row>
    <row r="28" spans="2:24" x14ac:dyDescent="0.2">
      <c r="B28" s="172" t="s">
        <v>278</v>
      </c>
      <c r="C28" s="48">
        <v>19</v>
      </c>
      <c r="D28" s="48" t="s">
        <v>73</v>
      </c>
      <c r="E28" s="148">
        <v>460000</v>
      </c>
      <c r="F28" s="48"/>
      <c r="G28" s="48"/>
      <c r="H28" s="149">
        <f t="shared" si="1"/>
        <v>8740000</v>
      </c>
      <c r="J28" s="52"/>
    </row>
    <row r="29" spans="2:24" x14ac:dyDescent="0.2">
      <c r="B29" s="172" t="s">
        <v>76</v>
      </c>
      <c r="C29" s="48">
        <v>7</v>
      </c>
      <c r="D29" s="48" t="s">
        <v>274</v>
      </c>
      <c r="E29" s="148">
        <v>6000000</v>
      </c>
      <c r="F29" s="48"/>
      <c r="G29" s="48"/>
      <c r="H29" s="149">
        <f t="shared" si="1"/>
        <v>42000000</v>
      </c>
      <c r="J29" s="52"/>
    </row>
    <row r="30" spans="2:24" x14ac:dyDescent="0.2">
      <c r="B30" s="172" t="s">
        <v>77</v>
      </c>
      <c r="C30" s="48">
        <v>19</v>
      </c>
      <c r="D30" s="48" t="s">
        <v>73</v>
      </c>
      <c r="E30" s="148">
        <v>1800000</v>
      </c>
      <c r="F30" s="48"/>
      <c r="G30" s="48"/>
      <c r="H30" s="149">
        <f t="shared" si="1"/>
        <v>34200000</v>
      </c>
      <c r="J30" s="52"/>
    </row>
    <row r="31" spans="2:24" x14ac:dyDescent="0.2">
      <c r="B31" s="172" t="s">
        <v>162</v>
      </c>
      <c r="C31" s="48">
        <v>7</v>
      </c>
      <c r="D31" s="48" t="s">
        <v>275</v>
      </c>
      <c r="E31" s="148">
        <v>1500000</v>
      </c>
      <c r="F31" s="96"/>
      <c r="G31" s="48"/>
      <c r="H31" s="149">
        <f t="shared" si="1"/>
        <v>10500000</v>
      </c>
      <c r="J31" s="52"/>
    </row>
    <row r="32" spans="2:24" x14ac:dyDescent="0.2">
      <c r="B32" s="172" t="s">
        <v>174</v>
      </c>
      <c r="C32" s="48">
        <v>19</v>
      </c>
      <c r="D32" s="48" t="s">
        <v>73</v>
      </c>
      <c r="E32" s="148">
        <v>450000</v>
      </c>
      <c r="F32" s="48"/>
      <c r="G32" s="48"/>
      <c r="H32" s="149">
        <f t="shared" si="1"/>
        <v>8550000</v>
      </c>
      <c r="J32" s="52"/>
    </row>
    <row r="33" spans="2:10" x14ac:dyDescent="0.2">
      <c r="B33" s="172" t="s">
        <v>279</v>
      </c>
      <c r="C33" s="48">
        <v>19</v>
      </c>
      <c r="D33" s="48" t="s">
        <v>280</v>
      </c>
      <c r="E33" s="187">
        <v>3270000</v>
      </c>
      <c r="F33" s="48"/>
      <c r="G33" s="48"/>
      <c r="H33" s="149">
        <f t="shared" si="1"/>
        <v>62130000</v>
      </c>
      <c r="I33" s="83"/>
      <c r="J33" s="137"/>
    </row>
    <row r="34" spans="2:10" x14ac:dyDescent="0.2">
      <c r="B34" s="172" t="s">
        <v>281</v>
      </c>
      <c r="C34" s="48">
        <v>19</v>
      </c>
      <c r="D34" s="48" t="s">
        <v>73</v>
      </c>
      <c r="E34" s="187">
        <v>5170000</v>
      </c>
      <c r="F34" s="48"/>
      <c r="G34" s="48"/>
      <c r="H34" s="149">
        <f t="shared" si="1"/>
        <v>98230000</v>
      </c>
      <c r="I34" s="83"/>
      <c r="J34" s="137"/>
    </row>
    <row r="35" spans="2:10" x14ac:dyDescent="0.2">
      <c r="B35" s="172" t="s">
        <v>282</v>
      </c>
      <c r="C35" s="48">
        <v>7</v>
      </c>
      <c r="D35" s="48" t="s">
        <v>275</v>
      </c>
      <c r="E35" s="187">
        <v>3000000</v>
      </c>
      <c r="F35" s="48"/>
      <c r="G35" s="48"/>
      <c r="H35" s="149">
        <f t="shared" si="1"/>
        <v>21000000</v>
      </c>
      <c r="I35" s="83"/>
      <c r="J35" s="137"/>
    </row>
    <row r="36" spans="2:10" x14ac:dyDescent="0.2">
      <c r="B36" s="172" t="s">
        <v>283</v>
      </c>
      <c r="C36" s="48">
        <v>19</v>
      </c>
      <c r="D36" s="48" t="s">
        <v>73</v>
      </c>
      <c r="E36" s="187">
        <v>900000</v>
      </c>
      <c r="F36" s="48"/>
      <c r="G36" s="48"/>
      <c r="H36" s="149">
        <f t="shared" si="1"/>
        <v>17100000</v>
      </c>
      <c r="I36" s="83"/>
      <c r="J36" s="137"/>
    </row>
    <row r="37" spans="2:10" x14ac:dyDescent="0.2">
      <c r="B37" s="172" t="s">
        <v>210</v>
      </c>
      <c r="C37" s="48">
        <v>2</v>
      </c>
      <c r="D37" s="48" t="s">
        <v>284</v>
      </c>
      <c r="E37" s="187">
        <v>7233751</v>
      </c>
      <c r="F37" s="96">
        <v>1</v>
      </c>
      <c r="G37" s="48">
        <v>12</v>
      </c>
      <c r="H37" s="149">
        <f>+C37*E37*F37*G37</f>
        <v>173610024</v>
      </c>
      <c r="I37" s="100"/>
      <c r="J37" s="137"/>
    </row>
    <row r="38" spans="2:10" x14ac:dyDescent="0.2">
      <c r="B38" s="172" t="s">
        <v>80</v>
      </c>
      <c r="C38" s="48">
        <v>2</v>
      </c>
      <c r="D38" s="48" t="s">
        <v>73</v>
      </c>
      <c r="E38" s="187">
        <v>2682805</v>
      </c>
      <c r="F38" s="48"/>
      <c r="G38" s="48">
        <v>3</v>
      </c>
      <c r="H38" s="149">
        <f>+C38*E38*G38</f>
        <v>16096830</v>
      </c>
      <c r="I38" s="100"/>
      <c r="J38" s="137"/>
    </row>
    <row r="39" spans="2:10" x14ac:dyDescent="0.2">
      <c r="B39" s="172" t="s">
        <v>228</v>
      </c>
      <c r="C39" s="48">
        <v>19</v>
      </c>
      <c r="D39" s="48" t="s">
        <v>73</v>
      </c>
      <c r="E39" s="187">
        <v>6604729</v>
      </c>
      <c r="F39" s="96">
        <v>1</v>
      </c>
      <c r="G39" s="48">
        <v>12</v>
      </c>
      <c r="H39" s="149">
        <f>+C39*E39*F39*G39</f>
        <v>1505878212</v>
      </c>
      <c r="I39" s="100"/>
      <c r="J39" s="137"/>
    </row>
    <row r="40" spans="2:10" x14ac:dyDescent="0.2">
      <c r="B40" s="172" t="s">
        <v>56</v>
      </c>
      <c r="C40" s="48">
        <f>+C39</f>
        <v>19</v>
      </c>
      <c r="D40" s="48" t="s">
        <v>169</v>
      </c>
      <c r="E40" s="187">
        <v>1300000</v>
      </c>
      <c r="F40" s="48"/>
      <c r="G40" s="48"/>
      <c r="H40" s="149">
        <f>+C40*E40</f>
        <v>24700000</v>
      </c>
      <c r="I40" s="100"/>
      <c r="J40" s="137"/>
    </row>
    <row r="41" spans="2:10" x14ac:dyDescent="0.2">
      <c r="B41" s="172" t="s">
        <v>178</v>
      </c>
      <c r="C41" s="48">
        <f>+C39</f>
        <v>19</v>
      </c>
      <c r="D41" s="48" t="s">
        <v>169</v>
      </c>
      <c r="E41" s="148">
        <v>155000</v>
      </c>
      <c r="F41" s="97"/>
      <c r="G41" s="103">
        <v>12</v>
      </c>
      <c r="H41" s="81">
        <f>+C41*E41*G41</f>
        <v>35340000</v>
      </c>
      <c r="I41" s="100"/>
      <c r="J41" s="137"/>
    </row>
    <row r="42" spans="2:10" x14ac:dyDescent="0.2">
      <c r="B42" s="172" t="s">
        <v>285</v>
      </c>
      <c r="C42" s="48">
        <v>7</v>
      </c>
      <c r="D42" s="48" t="s">
        <v>73</v>
      </c>
      <c r="E42" s="187">
        <v>10745859.024</v>
      </c>
      <c r="F42" s="48"/>
      <c r="G42" s="48"/>
      <c r="H42" s="149">
        <f>+C42*E42</f>
        <v>75221013.167999998</v>
      </c>
      <c r="I42" s="44"/>
      <c r="J42" s="52"/>
    </row>
    <row r="43" spans="2:10" x14ac:dyDescent="0.2">
      <c r="B43" s="172" t="s">
        <v>286</v>
      </c>
      <c r="C43" s="48">
        <v>7</v>
      </c>
      <c r="D43" s="48" t="s">
        <v>73</v>
      </c>
      <c r="E43" s="187">
        <v>38953149.899999999</v>
      </c>
      <c r="F43" s="48"/>
      <c r="G43" s="48"/>
      <c r="H43" s="149">
        <f>+C43*E43</f>
        <v>272672049.30000001</v>
      </c>
      <c r="I43" s="44"/>
      <c r="J43" s="52"/>
    </row>
    <row r="44" spans="2:10" x14ac:dyDescent="0.2">
      <c r="B44" s="172" t="s">
        <v>287</v>
      </c>
      <c r="C44" s="48">
        <v>4</v>
      </c>
      <c r="D44" s="48" t="s">
        <v>73</v>
      </c>
      <c r="E44" s="187">
        <v>65996416.260000005</v>
      </c>
      <c r="F44" s="48"/>
      <c r="G44" s="48"/>
      <c r="H44" s="149">
        <f>+C44*E44</f>
        <v>263985665.04000002</v>
      </c>
      <c r="I44" s="44"/>
      <c r="J44" s="52"/>
    </row>
    <row r="45" spans="2:10" x14ac:dyDescent="0.2">
      <c r="B45" s="172" t="s">
        <v>187</v>
      </c>
      <c r="C45" s="48"/>
      <c r="D45" s="48"/>
      <c r="E45" s="187"/>
      <c r="F45" s="48"/>
      <c r="G45" s="48"/>
      <c r="H45" s="149" t="s">
        <v>67</v>
      </c>
      <c r="I45" s="44"/>
      <c r="J45" s="52"/>
    </row>
    <row r="46" spans="2:10" ht="15" x14ac:dyDescent="0.25">
      <c r="B46" s="85" t="s">
        <v>32</v>
      </c>
      <c r="C46" s="86"/>
      <c r="D46" s="86"/>
      <c r="E46" s="86"/>
      <c r="F46" s="87"/>
      <c r="G46" s="87"/>
      <c r="H46" s="114">
        <f>SUM(H24:H45)</f>
        <v>2699153793.5080004</v>
      </c>
      <c r="I46" s="83"/>
      <c r="J46" s="102"/>
    </row>
    <row r="47" spans="2:10" ht="15" x14ac:dyDescent="0.25">
      <c r="B47" s="85" t="s">
        <v>269</v>
      </c>
      <c r="C47" s="86"/>
      <c r="D47" s="86"/>
      <c r="E47" s="86"/>
      <c r="F47" s="87"/>
      <c r="G47" s="87"/>
      <c r="H47" s="114">
        <f>+H46/12</f>
        <v>224929482.79233336</v>
      </c>
      <c r="I47" s="83"/>
      <c r="J47" s="102"/>
    </row>
    <row r="48" spans="2:10" s="102" customFormat="1" ht="266.25" customHeight="1" x14ac:dyDescent="0.2">
      <c r="B48" s="188" t="s">
        <v>352</v>
      </c>
      <c r="C48" s="89"/>
      <c r="D48" s="89"/>
      <c r="E48" s="89"/>
      <c r="F48" s="89"/>
      <c r="G48" s="89"/>
      <c r="H48" s="89"/>
    </row>
    <row r="49" spans="2:9" ht="15" x14ac:dyDescent="0.25">
      <c r="B49" s="325"/>
      <c r="C49" s="325"/>
      <c r="D49" s="325"/>
      <c r="E49" s="325"/>
      <c r="F49" s="325"/>
      <c r="G49" s="325"/>
      <c r="H49" s="325"/>
      <c r="I49" s="90"/>
    </row>
    <row r="50" spans="2:9" ht="15" x14ac:dyDescent="0.25">
      <c r="B50" s="325"/>
      <c r="C50" s="325"/>
      <c r="D50" s="325"/>
      <c r="E50" s="325"/>
      <c r="F50" s="325"/>
      <c r="G50" s="325"/>
      <c r="H50" s="325"/>
      <c r="I50" s="90"/>
    </row>
    <row r="51" spans="2:9" x14ac:dyDescent="0.2">
      <c r="B51" s="102"/>
      <c r="C51" s="102"/>
      <c r="D51" s="102"/>
      <c r="E51" s="102"/>
      <c r="F51" s="102"/>
      <c r="G51" s="102"/>
    </row>
  </sheetData>
  <sheetProtection algorithmName="SHA-512" hashValue="3N7wFhNBVChewwvJfT3e2g/FTieaNz3vq3a7LN32DT25aycK+LUa9B/js1sldSlXQULaxnpdEqEOmWefQccDaA==" saltValue="WD99tjZZ2/09fhhNZQwd2w==" spinCount="100000" sheet="1" objects="1" scenarios="1"/>
  <mergeCells count="9">
    <mergeCell ref="B18:H18"/>
    <mergeCell ref="B19:H19"/>
    <mergeCell ref="B20:H20"/>
    <mergeCell ref="B22:H22"/>
    <mergeCell ref="B12:H13"/>
    <mergeCell ref="B14:H14"/>
    <mergeCell ref="B15:H15"/>
    <mergeCell ref="B16:H16"/>
    <mergeCell ref="B17:H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31"/>
  <sheetViews>
    <sheetView showGridLines="0" zoomScale="60" zoomScaleNormal="60" workbookViewId="0">
      <selection activeCell="B123" sqref="B123"/>
    </sheetView>
  </sheetViews>
  <sheetFormatPr baseColWidth="10" defaultColWidth="10.7109375" defaultRowHeight="14.25" x14ac:dyDescent="0.2"/>
  <cols>
    <col min="1" max="1" width="13.42578125" style="101" customWidth="1"/>
    <col min="2" max="2" width="71.42578125" style="101" customWidth="1"/>
    <col min="3" max="3" width="26.5703125" style="101" customWidth="1"/>
    <col min="4" max="4" width="28.140625" style="101" customWidth="1"/>
    <col min="5" max="5" width="22.42578125" style="101" customWidth="1"/>
    <col min="6" max="7" width="19.7109375" style="101" bestFit="1" customWidth="1"/>
    <col min="8" max="8" width="24.140625" style="101" bestFit="1" customWidth="1"/>
    <col min="9" max="9" width="22.85546875" style="101" customWidth="1"/>
    <col min="10" max="10" width="19.7109375" style="101" bestFit="1" customWidth="1"/>
    <col min="11" max="11" width="20.42578125" style="101" bestFit="1" customWidth="1"/>
    <col min="12" max="12" width="20.140625" style="101" bestFit="1" customWidth="1"/>
    <col min="13" max="22" width="19.7109375" style="101" bestFit="1" customWidth="1"/>
    <col min="23" max="24" width="20.42578125" style="101" bestFit="1" customWidth="1"/>
    <col min="25" max="25" width="21.42578125" style="101" bestFit="1" customWidth="1"/>
    <col min="26" max="26" width="19.140625" style="101" bestFit="1" customWidth="1"/>
    <col min="27" max="27" width="17" style="101" bestFit="1" customWidth="1"/>
    <col min="28" max="28" width="17.85546875" style="101" customWidth="1"/>
    <col min="29" max="16384" width="10.7109375" style="101"/>
  </cols>
  <sheetData>
    <row r="2" spans="1:26" ht="15" x14ac:dyDescent="0.25">
      <c r="A2" s="57" t="s">
        <v>87</v>
      </c>
    </row>
    <row r="3" spans="1:26" s="102" customFormat="1" ht="15" x14ac:dyDescent="0.25">
      <c r="A3" s="49"/>
    </row>
    <row r="4" spans="1:26" ht="21.6" customHeight="1" x14ac:dyDescent="0.25">
      <c r="A4" s="58"/>
      <c r="B4" s="59" t="str">
        <f>Portafolio_Cadena_Maíz!C77</f>
        <v xml:space="preserve">6. Contribución al mejoramiento en las condiciones de vida de la población vinculada a la cadena de maíz. </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160</v>
      </c>
      <c r="E7" s="65">
        <f t="shared" ref="E7:Y7" si="0">SUM(E8:E11)</f>
        <v>1782446860.0999999</v>
      </c>
      <c r="F7" s="65">
        <f t="shared" si="0"/>
        <v>7129787440.3999996</v>
      </c>
      <c r="G7" s="65">
        <f t="shared" si="0"/>
        <v>7129787440.3999996</v>
      </c>
      <c r="H7" s="65">
        <f t="shared" si="0"/>
        <v>6531012754.3999996</v>
      </c>
      <c r="I7" s="65">
        <f t="shared" si="0"/>
        <v>6531012754.3999996</v>
      </c>
      <c r="J7" s="65">
        <f t="shared" si="0"/>
        <v>6531012754.3999996</v>
      </c>
      <c r="K7" s="65">
        <f t="shared" si="0"/>
        <v>7129787440.3999996</v>
      </c>
      <c r="L7" s="65">
        <f t="shared" si="0"/>
        <v>6531012754.3999996</v>
      </c>
      <c r="M7" s="65">
        <f t="shared" si="0"/>
        <v>6531012754.3999996</v>
      </c>
      <c r="N7" s="65">
        <f t="shared" si="0"/>
        <v>6531012754.3999996</v>
      </c>
      <c r="O7" s="65">
        <f t="shared" si="0"/>
        <v>7129787440.3999996</v>
      </c>
      <c r="P7" s="65">
        <f t="shared" si="0"/>
        <v>6531012754.3999996</v>
      </c>
      <c r="Q7" s="65">
        <f t="shared" si="0"/>
        <v>6531012754.3999996</v>
      </c>
      <c r="R7" s="65">
        <f t="shared" si="0"/>
        <v>6531012754.3999996</v>
      </c>
      <c r="S7" s="65">
        <f t="shared" si="0"/>
        <v>7129787440.3999996</v>
      </c>
      <c r="T7" s="65">
        <f t="shared" si="0"/>
        <v>6531012754.3999996</v>
      </c>
      <c r="U7" s="65">
        <f t="shared" si="0"/>
        <v>6531012754.3999996</v>
      </c>
      <c r="V7" s="65">
        <f t="shared" si="0"/>
        <v>6531012754.3999996</v>
      </c>
      <c r="W7" s="65">
        <f t="shared" si="0"/>
        <v>7129787440.3999996</v>
      </c>
      <c r="X7" s="65">
        <f t="shared" si="0"/>
        <v>4064258048</v>
      </c>
      <c r="Y7" s="65">
        <f t="shared" si="0"/>
        <v>126997582603.30002</v>
      </c>
      <c r="Z7" s="66"/>
    </row>
    <row r="8" spans="1:26" s="70" customFormat="1" ht="60" customHeight="1" x14ac:dyDescent="0.2">
      <c r="A8" s="67"/>
      <c r="B8" s="68" t="str">
        <f>Portafolio_Cadena_Maíz!D77</f>
        <v>6.1  Promoción de la atención de las necesidades básicas de los actores vinculados a la cadena.</v>
      </c>
      <c r="C8" s="113" t="s">
        <v>358</v>
      </c>
      <c r="D8" s="113" t="s">
        <v>185</v>
      </c>
      <c r="E8" s="69">
        <f>I46*3</f>
        <v>839055476</v>
      </c>
      <c r="F8" s="69">
        <f>H46</f>
        <v>3356221904</v>
      </c>
      <c r="G8" s="69">
        <f t="shared" ref="G8:X8" si="1">F8</f>
        <v>3356221904</v>
      </c>
      <c r="H8" s="69">
        <f t="shared" si="1"/>
        <v>3356221904</v>
      </c>
      <c r="I8" s="69">
        <f t="shared" si="1"/>
        <v>3356221904</v>
      </c>
      <c r="J8" s="69">
        <f t="shared" si="1"/>
        <v>3356221904</v>
      </c>
      <c r="K8" s="69">
        <f t="shared" si="1"/>
        <v>3356221904</v>
      </c>
      <c r="L8" s="69">
        <f t="shared" si="1"/>
        <v>3356221904</v>
      </c>
      <c r="M8" s="69">
        <f t="shared" si="1"/>
        <v>3356221904</v>
      </c>
      <c r="N8" s="69">
        <f t="shared" si="1"/>
        <v>3356221904</v>
      </c>
      <c r="O8" s="69">
        <f t="shared" si="1"/>
        <v>3356221904</v>
      </c>
      <c r="P8" s="69">
        <f t="shared" si="1"/>
        <v>3356221904</v>
      </c>
      <c r="Q8" s="69">
        <f t="shared" si="1"/>
        <v>3356221904</v>
      </c>
      <c r="R8" s="69">
        <f t="shared" si="1"/>
        <v>3356221904</v>
      </c>
      <c r="S8" s="69">
        <f t="shared" si="1"/>
        <v>3356221904</v>
      </c>
      <c r="T8" s="69">
        <f t="shared" si="1"/>
        <v>3356221904</v>
      </c>
      <c r="U8" s="69">
        <f t="shared" si="1"/>
        <v>3356221904</v>
      </c>
      <c r="V8" s="69">
        <f t="shared" si="1"/>
        <v>3356221904</v>
      </c>
      <c r="W8" s="69">
        <f t="shared" si="1"/>
        <v>3356221904</v>
      </c>
      <c r="X8" s="69">
        <f t="shared" si="1"/>
        <v>3356221904</v>
      </c>
      <c r="Y8" s="69">
        <f>SUM(E8:X8)</f>
        <v>64607271652</v>
      </c>
      <c r="Z8" s="66"/>
    </row>
    <row r="9" spans="1:26" s="70" customFormat="1" ht="42.95" customHeight="1" x14ac:dyDescent="0.2">
      <c r="A9" s="67"/>
      <c r="B9" s="68" t="str">
        <f>Portafolio_Cadena_Maíz!D82</f>
        <v>6.2. Contribución al incremento del nivel educativo de los actores vinculados a la cadena.</v>
      </c>
      <c r="C9" s="113" t="s">
        <v>358</v>
      </c>
      <c r="D9" s="113" t="s">
        <v>185</v>
      </c>
      <c r="E9" s="69">
        <f>I73*3</f>
        <v>177009036</v>
      </c>
      <c r="F9" s="69">
        <f>H73</f>
        <v>708036144</v>
      </c>
      <c r="G9" s="69">
        <f t="shared" ref="G9:X9" si="2">F9</f>
        <v>708036144</v>
      </c>
      <c r="H9" s="69">
        <f t="shared" si="2"/>
        <v>708036144</v>
      </c>
      <c r="I9" s="69">
        <f t="shared" si="2"/>
        <v>708036144</v>
      </c>
      <c r="J9" s="69">
        <f t="shared" si="2"/>
        <v>708036144</v>
      </c>
      <c r="K9" s="69">
        <f t="shared" si="2"/>
        <v>708036144</v>
      </c>
      <c r="L9" s="69">
        <f t="shared" si="2"/>
        <v>708036144</v>
      </c>
      <c r="M9" s="69">
        <f t="shared" si="2"/>
        <v>708036144</v>
      </c>
      <c r="N9" s="69">
        <f t="shared" si="2"/>
        <v>708036144</v>
      </c>
      <c r="O9" s="69">
        <f t="shared" si="2"/>
        <v>708036144</v>
      </c>
      <c r="P9" s="69">
        <f t="shared" si="2"/>
        <v>708036144</v>
      </c>
      <c r="Q9" s="69">
        <f t="shared" si="2"/>
        <v>708036144</v>
      </c>
      <c r="R9" s="69">
        <f t="shared" si="2"/>
        <v>708036144</v>
      </c>
      <c r="S9" s="69">
        <f t="shared" si="2"/>
        <v>708036144</v>
      </c>
      <c r="T9" s="69">
        <f t="shared" si="2"/>
        <v>708036144</v>
      </c>
      <c r="U9" s="69">
        <f t="shared" si="2"/>
        <v>708036144</v>
      </c>
      <c r="V9" s="69">
        <f t="shared" si="2"/>
        <v>708036144</v>
      </c>
      <c r="W9" s="69">
        <f t="shared" si="2"/>
        <v>708036144</v>
      </c>
      <c r="X9" s="69">
        <f t="shared" si="2"/>
        <v>708036144</v>
      </c>
      <c r="Y9" s="69">
        <f t="shared" ref="Y9:Y11" si="3">SUM(E9:X9)</f>
        <v>13629695772</v>
      </c>
      <c r="Z9" s="66"/>
    </row>
    <row r="10" spans="1:26" s="70" customFormat="1" ht="42.95" customHeight="1" x14ac:dyDescent="0.2">
      <c r="A10" s="67"/>
      <c r="B10" s="68" t="str">
        <f>Portafolio_Cadena_Maíz!D86</f>
        <v>6.3. Promoción al  acceso en la seguridad social y mejora en las condiciones laborales a lo largo de la cadena</v>
      </c>
      <c r="C10" s="113" t="s">
        <v>358</v>
      </c>
      <c r="D10" s="113" t="s">
        <v>191</v>
      </c>
      <c r="E10" s="69">
        <f>I105*3</f>
        <v>616688676.60000002</v>
      </c>
      <c r="F10" s="69">
        <f>H105</f>
        <v>2466754706.4000001</v>
      </c>
      <c r="G10" s="69">
        <f>H105</f>
        <v>2466754706.4000001</v>
      </c>
      <c r="H10" s="69">
        <f t="shared" ref="H10:W10" si="4">G10</f>
        <v>2466754706.4000001</v>
      </c>
      <c r="I10" s="69">
        <f t="shared" si="4"/>
        <v>2466754706.4000001</v>
      </c>
      <c r="J10" s="69">
        <f t="shared" si="4"/>
        <v>2466754706.4000001</v>
      </c>
      <c r="K10" s="69">
        <f t="shared" si="4"/>
        <v>2466754706.4000001</v>
      </c>
      <c r="L10" s="69">
        <f t="shared" si="4"/>
        <v>2466754706.4000001</v>
      </c>
      <c r="M10" s="69">
        <f t="shared" si="4"/>
        <v>2466754706.4000001</v>
      </c>
      <c r="N10" s="69">
        <f t="shared" si="4"/>
        <v>2466754706.4000001</v>
      </c>
      <c r="O10" s="69">
        <f t="shared" si="4"/>
        <v>2466754706.4000001</v>
      </c>
      <c r="P10" s="69">
        <f t="shared" si="4"/>
        <v>2466754706.4000001</v>
      </c>
      <c r="Q10" s="69">
        <f t="shared" si="4"/>
        <v>2466754706.4000001</v>
      </c>
      <c r="R10" s="69">
        <f t="shared" si="4"/>
        <v>2466754706.4000001</v>
      </c>
      <c r="S10" s="69">
        <f t="shared" si="4"/>
        <v>2466754706.4000001</v>
      </c>
      <c r="T10" s="69">
        <f t="shared" si="4"/>
        <v>2466754706.4000001</v>
      </c>
      <c r="U10" s="69">
        <f t="shared" si="4"/>
        <v>2466754706.4000001</v>
      </c>
      <c r="V10" s="69">
        <f t="shared" si="4"/>
        <v>2466754706.4000001</v>
      </c>
      <c r="W10" s="69">
        <f t="shared" si="4"/>
        <v>2466754706.4000001</v>
      </c>
      <c r="X10" s="69"/>
      <c r="Y10" s="69">
        <f t="shared" si="3"/>
        <v>45018273391.800011</v>
      </c>
      <c r="Z10" s="66"/>
    </row>
    <row r="11" spans="1:26" s="70" customFormat="1" ht="42.95" customHeight="1" x14ac:dyDescent="0.2">
      <c r="A11" s="67"/>
      <c r="B11" s="68" t="str">
        <f>Portafolio_Cadena_Maíz!D90</f>
        <v>6.4. Contribución a la mejora de condiciones de conectividad vial y de servicios públicos, en las regiones maiceras.</v>
      </c>
      <c r="C11" s="113" t="s">
        <v>358</v>
      </c>
      <c r="D11" s="113" t="s">
        <v>191</v>
      </c>
      <c r="E11" s="69">
        <f>I129*3</f>
        <v>149693671.5</v>
      </c>
      <c r="F11" s="69">
        <f>H129</f>
        <v>598774686</v>
      </c>
      <c r="G11" s="69">
        <f>F11</f>
        <v>598774686</v>
      </c>
      <c r="H11" s="69"/>
      <c r="I11" s="69"/>
      <c r="J11" s="69"/>
      <c r="K11" s="69">
        <f>G11</f>
        <v>598774686</v>
      </c>
      <c r="L11" s="69"/>
      <c r="M11" s="69"/>
      <c r="N11" s="69"/>
      <c r="O11" s="69">
        <f>K11</f>
        <v>598774686</v>
      </c>
      <c r="P11" s="69"/>
      <c r="Q11" s="69"/>
      <c r="R11" s="69"/>
      <c r="S11" s="69">
        <f>O11</f>
        <v>598774686</v>
      </c>
      <c r="T11" s="69"/>
      <c r="U11" s="69"/>
      <c r="V11" s="69"/>
      <c r="W11" s="69">
        <f>S11</f>
        <v>598774686</v>
      </c>
      <c r="X11" s="69"/>
      <c r="Y11" s="69">
        <f t="shared" si="3"/>
        <v>3742341787.5</v>
      </c>
      <c r="Z11" s="66"/>
    </row>
    <row r="12" spans="1:26" s="40" customFormat="1" ht="24.6" customHeight="1" x14ac:dyDescent="0.25">
      <c r="A12" s="101"/>
      <c r="B12" s="63" t="s">
        <v>32</v>
      </c>
      <c r="C12" s="63"/>
      <c r="D12" s="63"/>
      <c r="E12" s="71">
        <f t="shared" ref="E12:Y12" si="5">SUM(E8:E11)</f>
        <v>1782446860.0999999</v>
      </c>
      <c r="F12" s="71">
        <f t="shared" si="5"/>
        <v>7129787440.3999996</v>
      </c>
      <c r="G12" s="71">
        <f t="shared" si="5"/>
        <v>7129787440.3999996</v>
      </c>
      <c r="H12" s="71">
        <f t="shared" si="5"/>
        <v>6531012754.3999996</v>
      </c>
      <c r="I12" s="71">
        <f t="shared" si="5"/>
        <v>6531012754.3999996</v>
      </c>
      <c r="J12" s="71">
        <f t="shared" si="5"/>
        <v>6531012754.3999996</v>
      </c>
      <c r="K12" s="71">
        <f t="shared" si="5"/>
        <v>7129787440.3999996</v>
      </c>
      <c r="L12" s="71">
        <f t="shared" si="5"/>
        <v>6531012754.3999996</v>
      </c>
      <c r="M12" s="71">
        <f t="shared" si="5"/>
        <v>6531012754.3999996</v>
      </c>
      <c r="N12" s="71">
        <f t="shared" si="5"/>
        <v>6531012754.3999996</v>
      </c>
      <c r="O12" s="71">
        <f t="shared" si="5"/>
        <v>7129787440.3999996</v>
      </c>
      <c r="P12" s="71">
        <f t="shared" si="5"/>
        <v>6531012754.3999996</v>
      </c>
      <c r="Q12" s="71">
        <f t="shared" si="5"/>
        <v>6531012754.3999996</v>
      </c>
      <c r="R12" s="71">
        <f t="shared" si="5"/>
        <v>6531012754.3999996</v>
      </c>
      <c r="S12" s="71">
        <f t="shared" si="5"/>
        <v>7129787440.3999996</v>
      </c>
      <c r="T12" s="71">
        <f t="shared" si="5"/>
        <v>6531012754.3999996</v>
      </c>
      <c r="U12" s="71">
        <f t="shared" si="5"/>
        <v>6531012754.3999996</v>
      </c>
      <c r="V12" s="71">
        <f t="shared" si="5"/>
        <v>6531012754.3999996</v>
      </c>
      <c r="W12" s="71">
        <f t="shared" si="5"/>
        <v>7129787440.3999996</v>
      </c>
      <c r="X12" s="71">
        <f t="shared" si="5"/>
        <v>4064258048</v>
      </c>
      <c r="Y12" s="71">
        <f t="shared" si="5"/>
        <v>126997582603.30002</v>
      </c>
      <c r="Z12" s="66"/>
    </row>
    <row r="13" spans="1:26" s="75" customFormat="1" ht="24.6" customHeight="1" x14ac:dyDescent="0.25">
      <c r="A13" s="102"/>
      <c r="B13" s="72"/>
      <c r="C13" s="72"/>
      <c r="D13" s="72"/>
      <c r="E13" s="72"/>
      <c r="F13" s="73"/>
      <c r="G13" s="74"/>
      <c r="H13" s="73"/>
      <c r="I13" s="73"/>
      <c r="J13" s="73"/>
      <c r="K13" s="73"/>
      <c r="L13" s="73"/>
      <c r="M13" s="73"/>
      <c r="N13" s="73"/>
      <c r="O13" s="73"/>
      <c r="P13" s="73"/>
      <c r="Q13" s="73"/>
      <c r="R13" s="73"/>
      <c r="S13" s="73"/>
      <c r="T13" s="73"/>
      <c r="U13" s="73"/>
      <c r="V13" s="73"/>
      <c r="W13" s="73"/>
      <c r="X13" s="73"/>
      <c r="Y13" s="73"/>
      <c r="Z13" s="73"/>
    </row>
    <row r="15" spans="1:26" s="102" customFormat="1" ht="14.45" customHeight="1" x14ac:dyDescent="0.25">
      <c r="B15" s="853" t="str">
        <f>B8</f>
        <v>6.1  Promoción de la atención de las necesidades básicas de los actores vinculados a la cadena.</v>
      </c>
      <c r="C15" s="852"/>
      <c r="D15" s="852"/>
      <c r="E15" s="852"/>
      <c r="F15" s="852"/>
      <c r="G15" s="852"/>
      <c r="H15" s="852"/>
      <c r="I15" s="110"/>
      <c r="X15" s="77"/>
    </row>
    <row r="16" spans="1:26" s="102" customFormat="1" ht="14.45" customHeight="1" x14ac:dyDescent="0.25">
      <c r="B16" s="852"/>
      <c r="C16" s="852"/>
      <c r="D16" s="852"/>
      <c r="E16" s="852"/>
      <c r="F16" s="852"/>
      <c r="G16" s="852"/>
      <c r="H16" s="852"/>
      <c r="I16" s="110"/>
      <c r="X16" s="77"/>
    </row>
    <row r="17" spans="2:24" s="102" customFormat="1" ht="15" x14ac:dyDescent="0.25">
      <c r="B17" s="854" t="str">
        <f>Portafolio_Cadena_Maíz!H77</f>
        <v>6.1.1. Priorizar y seleccionar productores de maíz y otros actores vinculados a la cadena, según su condición de vulnerabilidad, a partir de la caracterización subregional de la actividad 9.4.3.</v>
      </c>
      <c r="C17" s="855"/>
      <c r="D17" s="855"/>
      <c r="E17" s="855"/>
      <c r="F17" s="855"/>
      <c r="G17" s="855"/>
      <c r="H17" s="855"/>
      <c r="I17" s="414"/>
      <c r="X17" s="77"/>
    </row>
    <row r="18" spans="2:24" s="102" customFormat="1" ht="15" x14ac:dyDescent="0.25">
      <c r="B18" s="854" t="str">
        <f>Portafolio_Cadena_Maíz!H78</f>
        <v xml:space="preserve">6.1.2. Realizar acompañamiento a los pequeños productores de maíz tradicional y sus familias, con el fin de mejorar la seguridad alimentaria, enfatizando en el uso y aprovechamiento de los recursos de su unidad productiva.   </v>
      </c>
      <c r="C18" s="855"/>
      <c r="D18" s="855"/>
      <c r="E18" s="855"/>
      <c r="F18" s="855"/>
      <c r="G18" s="855"/>
      <c r="H18" s="855"/>
      <c r="I18" s="414"/>
      <c r="X18" s="77"/>
    </row>
    <row r="19" spans="2:24" s="102" customFormat="1" ht="35.450000000000003" customHeight="1" x14ac:dyDescent="0.25">
      <c r="B19" s="854" t="str">
        <f>Portafolio_Cadena_Maíz!H79</f>
        <v>6.1.3. Fomentar y aprovechar espacios alternativos para la comercialización rural de excedentes, tales como circuitos cortos de comercialización, mercados campesinos y comunitarios, compras públicas locales, entre otros, a escala local, regional y nacional, que beneficien especialmente a los pequeños productores de la cadena maicera.</v>
      </c>
      <c r="C19" s="855"/>
      <c r="D19" s="855"/>
      <c r="E19" s="855"/>
      <c r="F19" s="855"/>
      <c r="G19" s="855"/>
      <c r="H19" s="855"/>
      <c r="I19" s="414"/>
      <c r="X19" s="77"/>
    </row>
    <row r="20" spans="2:24" ht="30.6" customHeight="1" x14ac:dyDescent="0.25">
      <c r="B20" s="854" t="str">
        <f>Portafolio_Cadena_Maíz!H80</f>
        <v>6.1.4. Articular y fomentar los programas a nivel local, regional y nacional, relacionados con el mejoramiento de las condiciones de: acceso y calidad de la nutrición de la población, servicios públicos, vivienda, salud, conectividad, entre otros, de los pequeños productores de maíz y actores vinculados a la cadena con condiciones de vulnerabilidad.</v>
      </c>
      <c r="C20" s="855"/>
      <c r="D20" s="855"/>
      <c r="E20" s="855"/>
      <c r="F20" s="855"/>
      <c r="G20" s="855"/>
      <c r="H20" s="855"/>
    </row>
    <row r="21" spans="2:24" s="102" customFormat="1" ht="29.45" customHeight="1" x14ac:dyDescent="0.25">
      <c r="B21" s="854" t="str">
        <f>Portafolio_Cadena_Maíz!H81</f>
        <v>6.1.5. Diseñar, adoptar  e implementar, en conjunto con las entidades pertinentes,  indicadores de seguimiento a la mejora en las condiciones de nutrición, servicios públicos, viviendas y salud, con énfasis en los pequeños productores de la cadena maicera y actores vinculados a esta con condiciones de vulnerabilidad.</v>
      </c>
      <c r="C21" s="855"/>
      <c r="D21" s="855"/>
      <c r="E21" s="855"/>
      <c r="F21" s="855"/>
      <c r="G21" s="855"/>
      <c r="H21" s="855"/>
      <c r="I21" s="414"/>
      <c r="X21" s="77"/>
    </row>
    <row r="22" spans="2:24" s="102" customFormat="1" ht="14.45" customHeight="1" x14ac:dyDescent="0.25">
      <c r="B22" s="854"/>
      <c r="C22" s="855"/>
      <c r="D22" s="855"/>
      <c r="E22" s="855"/>
      <c r="F22" s="855"/>
      <c r="G22" s="855"/>
      <c r="H22" s="855"/>
      <c r="I22" s="414"/>
      <c r="X22" s="77"/>
    </row>
    <row r="23" spans="2:24" s="102" customFormat="1" ht="14.45" customHeight="1" x14ac:dyDescent="0.25">
      <c r="B23" s="858" t="s">
        <v>595</v>
      </c>
      <c r="C23" s="859"/>
      <c r="D23" s="859"/>
      <c r="E23" s="859"/>
      <c r="F23" s="859"/>
      <c r="G23" s="859"/>
      <c r="H23" s="859"/>
      <c r="I23" s="414"/>
      <c r="X23" s="77"/>
    </row>
    <row r="24" spans="2:24" ht="15" x14ac:dyDescent="0.25">
      <c r="B24" s="400" t="s">
        <v>68</v>
      </c>
      <c r="C24" s="400" t="s">
        <v>58</v>
      </c>
      <c r="D24" s="400" t="s">
        <v>55</v>
      </c>
      <c r="E24" s="400" t="s">
        <v>54</v>
      </c>
      <c r="F24" s="401" t="s">
        <v>96</v>
      </c>
      <c r="G24" s="400" t="s">
        <v>70</v>
      </c>
      <c r="H24" s="400" t="s">
        <v>71</v>
      </c>
      <c r="X24" s="80"/>
    </row>
    <row r="25" spans="2:24" x14ac:dyDescent="0.2">
      <c r="B25" s="104" t="s">
        <v>72</v>
      </c>
      <c r="C25" s="104">
        <v>15</v>
      </c>
      <c r="D25" s="104" t="s">
        <v>163</v>
      </c>
      <c r="E25" s="81">
        <v>500000</v>
      </c>
      <c r="F25" s="104"/>
      <c r="G25" s="104"/>
      <c r="H25" s="81">
        <f t="shared" ref="H25:H32" si="6">C25*E25</f>
        <v>7500000</v>
      </c>
      <c r="J25" s="357"/>
    </row>
    <row r="26" spans="2:24" x14ac:dyDescent="0.2">
      <c r="B26" s="104" t="s">
        <v>74</v>
      </c>
      <c r="C26" s="104">
        <v>15</v>
      </c>
      <c r="D26" s="104" t="s">
        <v>163</v>
      </c>
      <c r="E26" s="81">
        <v>100000</v>
      </c>
      <c r="F26" s="104"/>
      <c r="G26" s="104"/>
      <c r="H26" s="81">
        <f t="shared" si="6"/>
        <v>1500000</v>
      </c>
      <c r="J26" s="357"/>
    </row>
    <row r="27" spans="2:24" x14ac:dyDescent="0.2">
      <c r="B27" s="104" t="s">
        <v>266</v>
      </c>
      <c r="C27" s="104">
        <f>(39360*50%)/20</f>
        <v>984</v>
      </c>
      <c r="D27" s="104" t="s">
        <v>265</v>
      </c>
      <c r="E27" s="81">
        <v>483000</v>
      </c>
      <c r="F27" s="104"/>
      <c r="G27" s="104"/>
      <c r="H27" s="81">
        <f>C27*E27</f>
        <v>475272000</v>
      </c>
      <c r="J27" s="357"/>
    </row>
    <row r="28" spans="2:24" x14ac:dyDescent="0.2">
      <c r="B28" s="104" t="s">
        <v>156</v>
      </c>
      <c r="C28" s="104">
        <f>10*15</f>
        <v>150</v>
      </c>
      <c r="D28" s="104" t="s">
        <v>65</v>
      </c>
      <c r="E28" s="81">
        <v>6000000</v>
      </c>
      <c r="F28" s="104"/>
      <c r="G28" s="104"/>
      <c r="H28" s="81">
        <f t="shared" si="6"/>
        <v>900000000</v>
      </c>
      <c r="I28" s="100"/>
      <c r="J28" s="357"/>
    </row>
    <row r="29" spans="2:24" x14ac:dyDescent="0.2">
      <c r="B29" s="104" t="s">
        <v>77</v>
      </c>
      <c r="C29" s="104">
        <f>10*15</f>
        <v>150</v>
      </c>
      <c r="D29" s="104" t="s">
        <v>65</v>
      </c>
      <c r="E29" s="81">
        <v>1800000</v>
      </c>
      <c r="F29" s="104"/>
      <c r="G29" s="104"/>
      <c r="H29" s="81">
        <f t="shared" si="6"/>
        <v>270000000</v>
      </c>
      <c r="I29" s="100"/>
      <c r="J29" s="357"/>
    </row>
    <row r="30" spans="2:24" x14ac:dyDescent="0.2">
      <c r="B30" s="104" t="s">
        <v>90</v>
      </c>
      <c r="C30" s="104">
        <f>15*2</f>
        <v>30</v>
      </c>
      <c r="D30" s="104" t="s">
        <v>165</v>
      </c>
      <c r="E30" s="81">
        <v>2300000</v>
      </c>
      <c r="F30" s="104"/>
      <c r="G30" s="104"/>
      <c r="H30" s="81">
        <f t="shared" si="6"/>
        <v>69000000</v>
      </c>
      <c r="J30" s="357"/>
    </row>
    <row r="31" spans="2:24" x14ac:dyDescent="0.2">
      <c r="B31" s="104" t="s">
        <v>91</v>
      </c>
      <c r="C31" s="104">
        <f>15*2</f>
        <v>30</v>
      </c>
      <c r="D31" s="104" t="s">
        <v>165</v>
      </c>
      <c r="E31" s="81">
        <v>460000</v>
      </c>
      <c r="F31" s="104"/>
      <c r="G31" s="104"/>
      <c r="H31" s="81">
        <f t="shared" si="6"/>
        <v>13800000</v>
      </c>
      <c r="J31" s="357"/>
    </row>
    <row r="32" spans="2:24" ht="17.45" customHeight="1" x14ac:dyDescent="0.2">
      <c r="B32" s="104" t="s">
        <v>200</v>
      </c>
      <c r="C32" s="104">
        <f>15*2</f>
        <v>30</v>
      </c>
      <c r="D32" s="104" t="s">
        <v>170</v>
      </c>
      <c r="E32" s="94">
        <v>5000000</v>
      </c>
      <c r="F32" s="104"/>
      <c r="G32" s="104"/>
      <c r="H32" s="81">
        <f t="shared" si="6"/>
        <v>150000000</v>
      </c>
      <c r="J32" s="357"/>
    </row>
    <row r="33" spans="2:10" x14ac:dyDescent="0.2">
      <c r="B33" s="104" t="s">
        <v>166</v>
      </c>
      <c r="C33" s="104">
        <v>2</v>
      </c>
      <c r="D33" s="104" t="s">
        <v>102</v>
      </c>
      <c r="E33" s="81">
        <v>5032173</v>
      </c>
      <c r="F33" s="104"/>
      <c r="G33" s="104">
        <v>4</v>
      </c>
      <c r="H33" s="81">
        <f>C33*E33*G33</f>
        <v>40257384</v>
      </c>
      <c r="I33" s="83"/>
      <c r="J33" s="357"/>
    </row>
    <row r="34" spans="2:10" x14ac:dyDescent="0.2">
      <c r="B34" s="104" t="s">
        <v>172</v>
      </c>
      <c r="C34" s="104">
        <v>7</v>
      </c>
      <c r="D34" s="104" t="s">
        <v>57</v>
      </c>
      <c r="E34" s="81">
        <v>14500000</v>
      </c>
      <c r="F34" s="104"/>
      <c r="G34" s="104"/>
      <c r="H34" s="81">
        <f>C34*E34</f>
        <v>101500000</v>
      </c>
      <c r="I34" s="83"/>
      <c r="J34" s="357"/>
    </row>
    <row r="35" spans="2:10" x14ac:dyDescent="0.2">
      <c r="B35" s="104" t="s">
        <v>167</v>
      </c>
      <c r="C35" s="104">
        <v>7</v>
      </c>
      <c r="D35" s="104" t="s">
        <v>169</v>
      </c>
      <c r="E35" s="94">
        <v>21000000</v>
      </c>
      <c r="F35" s="104"/>
      <c r="G35" s="104"/>
      <c r="H35" s="81">
        <f>C35*E35</f>
        <v>147000000</v>
      </c>
      <c r="J35" s="357"/>
    </row>
    <row r="36" spans="2:10" x14ac:dyDescent="0.2">
      <c r="B36" s="104" t="s">
        <v>168</v>
      </c>
      <c r="C36" s="117">
        <f>(39360*30%)/20</f>
        <v>590.4</v>
      </c>
      <c r="D36" s="104" t="s">
        <v>169</v>
      </c>
      <c r="E36" s="118">
        <v>25000</v>
      </c>
      <c r="F36" s="104"/>
      <c r="G36" s="104">
        <v>6</v>
      </c>
      <c r="H36" s="118">
        <f>C36*E36*G36</f>
        <v>88560000</v>
      </c>
      <c r="J36" s="357"/>
    </row>
    <row r="37" spans="2:10" x14ac:dyDescent="0.2">
      <c r="B37" s="104" t="s">
        <v>182</v>
      </c>
      <c r="C37" s="117">
        <f>(39360*30%)/20</f>
        <v>590.4</v>
      </c>
      <c r="D37" s="104" t="s">
        <v>169</v>
      </c>
      <c r="E37" s="118">
        <v>300000</v>
      </c>
      <c r="F37" s="104"/>
      <c r="G37" s="104"/>
      <c r="H37" s="118">
        <f>C37*E37</f>
        <v>177120000</v>
      </c>
      <c r="J37" s="357"/>
    </row>
    <row r="38" spans="2:10" x14ac:dyDescent="0.2">
      <c r="B38" s="104" t="s">
        <v>183</v>
      </c>
      <c r="C38" s="117">
        <f>(39360*30%)/20</f>
        <v>590.4</v>
      </c>
      <c r="D38" s="104" t="s">
        <v>169</v>
      </c>
      <c r="E38" s="94">
        <v>600000</v>
      </c>
      <c r="F38" s="104"/>
      <c r="G38" s="104"/>
      <c r="H38" s="118">
        <f>C38*E38</f>
        <v>354240000</v>
      </c>
      <c r="J38" s="357"/>
    </row>
    <row r="39" spans="2:10" x14ac:dyDescent="0.2">
      <c r="B39" s="104" t="s">
        <v>173</v>
      </c>
      <c r="C39" s="117">
        <v>7</v>
      </c>
      <c r="D39" s="104" t="s">
        <v>170</v>
      </c>
      <c r="E39" s="94">
        <v>10000000</v>
      </c>
      <c r="F39" s="104"/>
      <c r="G39" s="104"/>
      <c r="H39" s="118">
        <f>C39*E39</f>
        <v>70000000</v>
      </c>
      <c r="J39" s="357"/>
    </row>
    <row r="40" spans="2:10" x14ac:dyDescent="0.2">
      <c r="B40" s="104" t="s">
        <v>172</v>
      </c>
      <c r="C40" s="104">
        <v>7</v>
      </c>
      <c r="D40" s="104" t="s">
        <v>73</v>
      </c>
      <c r="E40" s="94">
        <v>14500000</v>
      </c>
      <c r="F40" s="104"/>
      <c r="G40" s="104"/>
      <c r="H40" s="81">
        <f>C40*E40</f>
        <v>101500000</v>
      </c>
      <c r="J40" s="357"/>
    </row>
    <row r="41" spans="2:10" x14ac:dyDescent="0.2">
      <c r="B41" s="104" t="s">
        <v>79</v>
      </c>
      <c r="C41" s="104">
        <v>2</v>
      </c>
      <c r="D41" s="104" t="s">
        <v>145</v>
      </c>
      <c r="E41" s="81">
        <v>7862772</v>
      </c>
      <c r="F41" s="200"/>
      <c r="G41" s="104">
        <v>10</v>
      </c>
      <c r="H41" s="81">
        <f>C41*E41*G41</f>
        <v>157255440</v>
      </c>
      <c r="I41" s="44"/>
      <c r="J41" s="357"/>
    </row>
    <row r="42" spans="2:10" x14ac:dyDescent="0.2">
      <c r="B42" s="104" t="s">
        <v>158</v>
      </c>
      <c r="C42" s="104">
        <v>7</v>
      </c>
      <c r="D42" s="104" t="s">
        <v>145</v>
      </c>
      <c r="E42" s="81">
        <v>2682805</v>
      </c>
      <c r="F42" s="200"/>
      <c r="G42" s="104">
        <v>8</v>
      </c>
      <c r="H42" s="81">
        <f t="shared" ref="H42:H44" si="7">C42*E42*G42</f>
        <v>150237080</v>
      </c>
      <c r="J42" s="357"/>
    </row>
    <row r="43" spans="2:10" x14ac:dyDescent="0.2">
      <c r="B43" s="104" t="s">
        <v>56</v>
      </c>
      <c r="C43" s="104">
        <v>7</v>
      </c>
      <c r="D43" s="104" t="s">
        <v>145</v>
      </c>
      <c r="E43" s="81">
        <v>1300000</v>
      </c>
      <c r="F43" s="200"/>
      <c r="G43" s="104">
        <v>8</v>
      </c>
      <c r="H43" s="81">
        <f t="shared" si="7"/>
        <v>72800000</v>
      </c>
      <c r="J43" s="360"/>
    </row>
    <row r="44" spans="2:10" x14ac:dyDescent="0.2">
      <c r="B44" s="104" t="s">
        <v>178</v>
      </c>
      <c r="C44" s="104">
        <v>7</v>
      </c>
      <c r="D44" s="104" t="s">
        <v>179</v>
      </c>
      <c r="E44" s="81">
        <v>155000</v>
      </c>
      <c r="F44" s="200"/>
      <c r="G44" s="104">
        <v>8</v>
      </c>
      <c r="H44" s="81">
        <f t="shared" si="7"/>
        <v>8680000</v>
      </c>
      <c r="J44" s="360"/>
    </row>
    <row r="45" spans="2:10" ht="15" x14ac:dyDescent="0.25">
      <c r="B45" s="104" t="s">
        <v>171</v>
      </c>
      <c r="C45" s="104"/>
      <c r="D45" s="104"/>
      <c r="E45" s="104"/>
      <c r="F45" s="104"/>
      <c r="G45" s="104"/>
      <c r="H45" s="81" t="s">
        <v>67</v>
      </c>
      <c r="I45" s="114" t="s">
        <v>159</v>
      </c>
      <c r="J45" s="137"/>
    </row>
    <row r="46" spans="2:10" ht="15" x14ac:dyDescent="0.25">
      <c r="B46" s="85" t="s">
        <v>32</v>
      </c>
      <c r="C46" s="86"/>
      <c r="D46" s="86"/>
      <c r="E46" s="86"/>
      <c r="F46" s="87"/>
      <c r="G46" s="87"/>
      <c r="H46" s="88">
        <f>SUM(H25:H45)</f>
        <v>3356221904</v>
      </c>
      <c r="I46" s="114">
        <f>H46/12</f>
        <v>279685158.66666669</v>
      </c>
      <c r="J46" s="102"/>
    </row>
    <row r="47" spans="2:10" s="102" customFormat="1" ht="408.95" customHeight="1" x14ac:dyDescent="0.2">
      <c r="B47" s="131" t="s">
        <v>396</v>
      </c>
      <c r="C47" s="89"/>
      <c r="D47" s="121"/>
      <c r="E47" s="89"/>
      <c r="F47" s="116"/>
      <c r="G47" s="89"/>
      <c r="H47" s="89"/>
      <c r="I47" s="100"/>
    </row>
    <row r="48" spans="2:10" ht="15" x14ac:dyDescent="0.25">
      <c r="B48" s="109"/>
      <c r="C48" s="109"/>
      <c r="D48" s="109"/>
      <c r="E48" s="109"/>
      <c r="F48" s="109"/>
      <c r="G48" s="109"/>
      <c r="H48" s="109"/>
      <c r="I48" s="90"/>
    </row>
    <row r="49" spans="1:24" s="102" customFormat="1" ht="14.45" customHeight="1" x14ac:dyDescent="0.25">
      <c r="A49" s="91"/>
      <c r="B49" s="850" t="str">
        <f>B9</f>
        <v>6.2. Contribución al incremento del nivel educativo de los actores vinculados a la cadena.</v>
      </c>
      <c r="C49" s="851"/>
      <c r="D49" s="851"/>
      <c r="E49" s="851"/>
      <c r="F49" s="851"/>
      <c r="G49" s="851"/>
      <c r="H49" s="851"/>
    </row>
    <row r="50" spans="1:24" hidden="1" x14ac:dyDescent="0.2">
      <c r="B50" s="109"/>
      <c r="C50" s="109"/>
      <c r="D50" s="109"/>
      <c r="E50" s="109"/>
      <c r="F50" s="109"/>
      <c r="G50" s="109"/>
      <c r="H50" s="109"/>
    </row>
    <row r="51" spans="1:24" s="102" customFormat="1" ht="34.5" customHeight="1" x14ac:dyDescent="0.25">
      <c r="B51" s="854" t="str">
        <f>Portafolio_Cadena_Maíz!H82</f>
        <v>6.2.1. Identificar y actualizar las necesidades de acceso, cobertura y calidad de la educación básica primaria, secundaria y superior, de los actores ocupados en la cadena de maíz,  en el marco del proyecto 9.4 "Diseño y operación del Sistema nacional de Información para la cadena de maíz".</v>
      </c>
      <c r="C51" s="855"/>
      <c r="D51" s="855"/>
      <c r="E51" s="855"/>
      <c r="F51" s="855"/>
      <c r="G51" s="855"/>
      <c r="H51" s="855"/>
      <c r="I51" s="414"/>
      <c r="X51" s="77"/>
    </row>
    <row r="52" spans="1:24" s="102" customFormat="1" ht="14.45" customHeight="1" x14ac:dyDescent="0.25">
      <c r="B52" s="854" t="str">
        <f>Portafolio_Cadena_Maíz!H83</f>
        <v>6.2.2. Promover convenios con las entidades competentes y establecer una red colaborativa, para fomentar el acceso a programas de educación básica primaria, secundaria y superior de los actores ocupados en la cadena de maíz.</v>
      </c>
      <c r="C52" s="855"/>
      <c r="D52" s="855"/>
      <c r="E52" s="855"/>
      <c r="F52" s="855"/>
      <c r="G52" s="855"/>
      <c r="H52" s="855"/>
      <c r="I52" s="414"/>
      <c r="X52" s="77"/>
    </row>
    <row r="53" spans="1:24" s="102" customFormat="1" ht="15" x14ac:dyDescent="0.25">
      <c r="B53" s="854" t="str">
        <f>Portafolio_Cadena_Maíz!H84</f>
        <v>6.2.3. Articular programas y gestionar incentivos y mecanismos de financiación, dirigidos a contribuir con la mejora al acceso, cobertura y calidad de la educación de los actores vinculados a la cadena de maíz.</v>
      </c>
      <c r="C53" s="855"/>
      <c r="D53" s="855"/>
      <c r="E53" s="855"/>
      <c r="F53" s="855"/>
      <c r="G53" s="855"/>
      <c r="H53" s="855"/>
      <c r="I53" s="414"/>
      <c r="X53" s="77"/>
    </row>
    <row r="54" spans="1:24" ht="30.6" customHeight="1" x14ac:dyDescent="0.25">
      <c r="B54" s="854" t="str">
        <f>Portafolio_Cadena_Maíz!H85</f>
        <v>6.2.4. Fomentar y realizar articulación con entidades gubernamentales, del ámbito, local, regional y nacional para mejorar el acceso tanto a equipos de computo como a conectividad, con el fin de impulsar y fomentar el uso de las TIC por parte de los actores vinculados a la cadena de maíz.</v>
      </c>
      <c r="C54" s="855"/>
      <c r="D54" s="855"/>
      <c r="E54" s="855"/>
      <c r="F54" s="855"/>
      <c r="G54" s="855"/>
      <c r="H54" s="855"/>
    </row>
    <row r="55" spans="1:24" ht="30.6" customHeight="1" x14ac:dyDescent="0.25">
      <c r="B55" s="396"/>
      <c r="C55" s="415"/>
      <c r="D55" s="415"/>
      <c r="E55" s="415"/>
      <c r="F55" s="415"/>
      <c r="G55" s="415"/>
      <c r="H55" s="415"/>
    </row>
    <row r="56" spans="1:24" x14ac:dyDescent="0.2">
      <c r="B56" s="413"/>
      <c r="C56" s="413"/>
      <c r="D56" s="413"/>
      <c r="E56" s="413"/>
      <c r="F56" s="413"/>
      <c r="G56" s="413"/>
      <c r="H56" s="413"/>
    </row>
    <row r="57" spans="1:24" ht="15" x14ac:dyDescent="0.25">
      <c r="B57" s="858" t="s">
        <v>595</v>
      </c>
      <c r="C57" s="859"/>
      <c r="D57" s="859"/>
      <c r="E57" s="859"/>
      <c r="F57" s="859"/>
      <c r="G57" s="859"/>
      <c r="H57" s="859"/>
    </row>
    <row r="58" spans="1:24" ht="15" x14ac:dyDescent="0.25">
      <c r="B58" s="78" t="s">
        <v>68</v>
      </c>
      <c r="C58" s="78" t="s">
        <v>58</v>
      </c>
      <c r="D58" s="78" t="s">
        <v>55</v>
      </c>
      <c r="E58" s="78" t="s">
        <v>54</v>
      </c>
      <c r="F58" s="78" t="s">
        <v>69</v>
      </c>
      <c r="G58" s="78" t="s">
        <v>70</v>
      </c>
      <c r="H58" s="78" t="s">
        <v>71</v>
      </c>
    </row>
    <row r="59" spans="1:24" s="102" customFormat="1" x14ac:dyDescent="0.2">
      <c r="A59" s="92"/>
      <c r="B59" s="119" t="s">
        <v>72</v>
      </c>
      <c r="C59" s="119">
        <v>15</v>
      </c>
      <c r="D59" s="103" t="s">
        <v>73</v>
      </c>
      <c r="E59" s="45">
        <v>500000</v>
      </c>
      <c r="F59" s="103"/>
      <c r="G59" s="103"/>
      <c r="H59" s="81">
        <f>C59*E59</f>
        <v>7500000</v>
      </c>
      <c r="I59" s="44"/>
      <c r="J59" s="137"/>
    </row>
    <row r="60" spans="1:24" s="102" customFormat="1" x14ac:dyDescent="0.2">
      <c r="B60" s="119" t="s">
        <v>74</v>
      </c>
      <c r="C60" s="119">
        <v>15</v>
      </c>
      <c r="D60" s="103" t="s">
        <v>73</v>
      </c>
      <c r="E60" s="45">
        <v>100000</v>
      </c>
      <c r="F60" s="103"/>
      <c r="G60" s="103"/>
      <c r="H60" s="81">
        <f>C60*E60</f>
        <v>1500000</v>
      </c>
      <c r="I60" s="44"/>
      <c r="J60" s="137"/>
    </row>
    <row r="61" spans="1:24" s="102" customFormat="1" x14ac:dyDescent="0.2">
      <c r="B61" s="119" t="s">
        <v>90</v>
      </c>
      <c r="C61" s="119">
        <v>15</v>
      </c>
      <c r="D61" s="103" t="s">
        <v>73</v>
      </c>
      <c r="E61" s="45">
        <v>2300000</v>
      </c>
      <c r="F61" s="103"/>
      <c r="G61" s="103"/>
      <c r="H61" s="81">
        <f t="shared" ref="H61:H62" si="8">C61*E61</f>
        <v>34500000</v>
      </c>
      <c r="I61" s="44"/>
      <c r="J61" s="137"/>
    </row>
    <row r="62" spans="1:24" x14ac:dyDescent="0.2">
      <c r="B62" s="119" t="s">
        <v>91</v>
      </c>
      <c r="C62" s="119">
        <v>15</v>
      </c>
      <c r="D62" s="103" t="s">
        <v>73</v>
      </c>
      <c r="E62" s="45">
        <v>460000</v>
      </c>
      <c r="F62" s="103"/>
      <c r="G62" s="103"/>
      <c r="H62" s="81">
        <f t="shared" si="8"/>
        <v>6900000</v>
      </c>
      <c r="I62" s="100"/>
      <c r="J62" s="137"/>
    </row>
    <row r="63" spans="1:24" x14ac:dyDescent="0.2">
      <c r="B63" s="103" t="s">
        <v>173</v>
      </c>
      <c r="C63" s="119">
        <f>7*100</f>
        <v>700</v>
      </c>
      <c r="D63" s="103" t="s">
        <v>73</v>
      </c>
      <c r="E63" s="108">
        <v>100000</v>
      </c>
      <c r="F63" s="103"/>
      <c r="G63" s="103"/>
      <c r="H63" s="81">
        <f>C63*E63</f>
        <v>70000000</v>
      </c>
      <c r="I63" s="44"/>
      <c r="J63" s="52"/>
    </row>
    <row r="64" spans="1:24" x14ac:dyDescent="0.2">
      <c r="B64" s="103" t="s">
        <v>182</v>
      </c>
      <c r="C64" s="119">
        <f>7*10</f>
        <v>70</v>
      </c>
      <c r="D64" s="103" t="s">
        <v>169</v>
      </c>
      <c r="E64" s="108">
        <v>300000</v>
      </c>
      <c r="F64" s="103"/>
      <c r="G64" s="103"/>
      <c r="H64" s="81">
        <f>C64*E64</f>
        <v>21000000</v>
      </c>
      <c r="I64" s="44"/>
      <c r="J64" s="52"/>
    </row>
    <row r="65" spans="1:24" x14ac:dyDescent="0.2">
      <c r="B65" s="103" t="s">
        <v>183</v>
      </c>
      <c r="C65" s="119">
        <f>7*10</f>
        <v>70</v>
      </c>
      <c r="D65" s="103" t="s">
        <v>169</v>
      </c>
      <c r="E65" s="108">
        <v>600000</v>
      </c>
      <c r="F65" s="103"/>
      <c r="G65" s="103"/>
      <c r="H65" s="81">
        <f>C65*E65</f>
        <v>42000000</v>
      </c>
      <c r="I65" s="44"/>
      <c r="J65" s="52"/>
    </row>
    <row r="66" spans="1:24" x14ac:dyDescent="0.2">
      <c r="B66" s="103" t="s">
        <v>186</v>
      </c>
      <c r="C66" s="119">
        <v>10</v>
      </c>
      <c r="D66" s="103" t="s">
        <v>73</v>
      </c>
      <c r="E66" s="108">
        <v>14500000</v>
      </c>
      <c r="F66" s="103"/>
      <c r="G66" s="103"/>
      <c r="H66" s="81">
        <f>C66*E66</f>
        <v>145000000</v>
      </c>
      <c r="I66" s="44"/>
      <c r="J66" s="52"/>
    </row>
    <row r="67" spans="1:24" x14ac:dyDescent="0.2">
      <c r="B67" s="119" t="s">
        <v>79</v>
      </c>
      <c r="C67" s="119">
        <v>2</v>
      </c>
      <c r="D67" s="103" t="s">
        <v>179</v>
      </c>
      <c r="E67" s="108">
        <v>7862772</v>
      </c>
      <c r="F67" s="93"/>
      <c r="G67" s="103">
        <v>10</v>
      </c>
      <c r="H67" s="81">
        <f>C67*E67*G67</f>
        <v>157255440</v>
      </c>
      <c r="I67" s="44"/>
      <c r="J67" s="52"/>
    </row>
    <row r="68" spans="1:24" x14ac:dyDescent="0.2">
      <c r="B68" s="103" t="s">
        <v>158</v>
      </c>
      <c r="C68" s="103">
        <v>7</v>
      </c>
      <c r="D68" s="103" t="s">
        <v>179</v>
      </c>
      <c r="E68" s="45">
        <v>2516084</v>
      </c>
      <c r="F68" s="97"/>
      <c r="G68" s="103">
        <v>8</v>
      </c>
      <c r="H68" s="81">
        <f t="shared" ref="H68:H70" si="9">C68*E68*G68</f>
        <v>140900704</v>
      </c>
      <c r="I68" s="44"/>
      <c r="J68" s="52"/>
    </row>
    <row r="69" spans="1:24" x14ac:dyDescent="0.2">
      <c r="B69" s="103" t="s">
        <v>56</v>
      </c>
      <c r="C69" s="103">
        <v>7</v>
      </c>
      <c r="D69" s="103" t="s">
        <v>179</v>
      </c>
      <c r="E69" s="45">
        <v>1300000</v>
      </c>
      <c r="F69" s="97"/>
      <c r="G69" s="103">
        <v>8</v>
      </c>
      <c r="H69" s="81">
        <f t="shared" si="9"/>
        <v>72800000</v>
      </c>
      <c r="I69" s="44"/>
      <c r="J69" s="52"/>
    </row>
    <row r="70" spans="1:24" x14ac:dyDescent="0.2">
      <c r="B70" s="103" t="s">
        <v>178</v>
      </c>
      <c r="C70" s="103">
        <v>7</v>
      </c>
      <c r="D70" s="103" t="s">
        <v>180</v>
      </c>
      <c r="E70" s="45">
        <v>155000</v>
      </c>
      <c r="F70" s="97"/>
      <c r="G70" s="103">
        <v>8</v>
      </c>
      <c r="H70" s="81">
        <f t="shared" si="9"/>
        <v>8680000</v>
      </c>
      <c r="I70" s="44"/>
      <c r="J70" s="52"/>
    </row>
    <row r="71" spans="1:24" x14ac:dyDescent="0.2">
      <c r="B71" s="103" t="s">
        <v>181</v>
      </c>
      <c r="C71" s="103"/>
      <c r="D71" s="103"/>
      <c r="E71" s="45"/>
      <c r="F71" s="103"/>
      <c r="G71" s="103"/>
      <c r="H71" s="81" t="s">
        <v>67</v>
      </c>
      <c r="I71" s="44"/>
      <c r="J71" s="52"/>
    </row>
    <row r="72" spans="1:24" x14ac:dyDescent="0.2">
      <c r="B72" s="95" t="s">
        <v>177</v>
      </c>
      <c r="C72" s="103"/>
      <c r="D72" s="103"/>
      <c r="E72" s="108"/>
      <c r="F72" s="96"/>
      <c r="G72" s="103"/>
      <c r="H72" s="81" t="s">
        <v>67</v>
      </c>
      <c r="I72" s="44"/>
      <c r="J72" s="52"/>
    </row>
    <row r="73" spans="1:24" ht="15" x14ac:dyDescent="0.25">
      <c r="B73" s="85" t="s">
        <v>85</v>
      </c>
      <c r="C73" s="86"/>
      <c r="D73" s="86"/>
      <c r="E73" s="87"/>
      <c r="F73" s="87"/>
      <c r="G73" s="86"/>
      <c r="H73" s="98">
        <f>SUM(H59:H72)</f>
        <v>708036144</v>
      </c>
      <c r="I73" s="98">
        <f>H73/12</f>
        <v>59003012</v>
      </c>
      <c r="J73" s="52"/>
    </row>
    <row r="74" spans="1:24" s="102" customFormat="1" ht="260.45" hidden="1" customHeight="1" x14ac:dyDescent="0.2">
      <c r="B74" s="99" t="s">
        <v>86</v>
      </c>
      <c r="C74" s="109"/>
      <c r="D74" s="109"/>
      <c r="E74" s="109"/>
      <c r="F74" s="109"/>
      <c r="G74" s="109"/>
      <c r="H74" s="109"/>
      <c r="J74" s="52"/>
    </row>
    <row r="75" spans="1:24" ht="204" x14ac:dyDescent="0.2">
      <c r="B75" s="131" t="s">
        <v>377</v>
      </c>
      <c r="C75" s="102"/>
      <c r="D75" s="102"/>
      <c r="E75" s="102"/>
      <c r="F75" s="77"/>
      <c r="G75" s="77"/>
      <c r="H75" s="102"/>
      <c r="J75" s="52"/>
    </row>
    <row r="76" spans="1:24" ht="27.95" customHeight="1" x14ac:dyDescent="0.25">
      <c r="B76" s="102"/>
      <c r="C76" s="102"/>
      <c r="D76" s="864"/>
      <c r="E76" s="864"/>
      <c r="F76" s="864"/>
      <c r="G76" s="864"/>
      <c r="H76" s="864"/>
      <c r="J76" s="52"/>
    </row>
    <row r="78" spans="1:24" s="102" customFormat="1" ht="14.45" customHeight="1" x14ac:dyDescent="0.25">
      <c r="A78" s="91"/>
      <c r="B78" s="850" t="str">
        <f>B10</f>
        <v>6.3. Promoción al  acceso en la seguridad social y mejora en las condiciones laborales a lo largo de la cadena</v>
      </c>
      <c r="C78" s="851"/>
      <c r="D78" s="851"/>
      <c r="E78" s="851"/>
      <c r="F78" s="851"/>
      <c r="G78" s="851"/>
      <c r="H78" s="851"/>
    </row>
    <row r="79" spans="1:24" hidden="1" x14ac:dyDescent="0.2">
      <c r="B79" s="109"/>
      <c r="C79" s="109"/>
      <c r="D79" s="109"/>
      <c r="E79" s="109"/>
      <c r="F79" s="109"/>
      <c r="G79" s="109"/>
      <c r="H79" s="109"/>
    </row>
    <row r="80" spans="1:24" s="102" customFormat="1" ht="40.5" customHeight="1" x14ac:dyDescent="0.25">
      <c r="B80" s="854" t="str">
        <f>Portafolio_Cadena_Maíz!H86</f>
        <v xml:space="preserve">6.3.1. Analizar la normatividad laboral vigente para generar y gestionar estructuras que permitan extender los beneficios de la seguridad social, a los esquemas de trabajo particulares de la actividad maicera de los pequeños y medianos productores.  </v>
      </c>
      <c r="C80" s="855"/>
      <c r="D80" s="855"/>
      <c r="E80" s="855"/>
      <c r="F80" s="855"/>
      <c r="G80" s="855"/>
      <c r="H80" s="855"/>
      <c r="I80" s="414"/>
      <c r="X80" s="77"/>
    </row>
    <row r="81" spans="1:24" s="102" customFormat="1" ht="14.45" customHeight="1" x14ac:dyDescent="0.25">
      <c r="B81" s="854" t="str">
        <f>Portafolio_Cadena_Maíz!H87</f>
        <v>6.3.2. Realizar campañas de sensibilización para promover la inclusión social en los sistemas de seguridad social y la formalización laboral a lo largo de toda la cadena productiva.</v>
      </c>
      <c r="C81" s="855"/>
      <c r="D81" s="855"/>
      <c r="E81" s="855"/>
      <c r="F81" s="855"/>
      <c r="G81" s="855"/>
      <c r="H81" s="855"/>
      <c r="I81" s="414"/>
      <c r="X81" s="77"/>
    </row>
    <row r="82" spans="1:24" s="102" customFormat="1" ht="14.45" customHeight="1" x14ac:dyDescent="0.25">
      <c r="B82" s="854" t="str">
        <f>Portafolio_Cadena_Maíz!H88</f>
        <v>6.3.3. Realizar capacitación y brindar acompañamiento técnico dirigido a los agentes económicos de la cadena maicera, relacionado con aspectos laborales, financieros y tributarios.</v>
      </c>
      <c r="C82" s="855"/>
      <c r="D82" s="855"/>
      <c r="E82" s="855"/>
      <c r="F82" s="855"/>
      <c r="G82" s="855"/>
      <c r="H82" s="855"/>
      <c r="I82" s="414"/>
      <c r="X82" s="77"/>
    </row>
    <row r="83" spans="1:24" ht="30.6" customHeight="1" x14ac:dyDescent="0.25">
      <c r="B83" s="854" t="str">
        <f>Portafolio_Cadena_Maíz!H89</f>
        <v>6.3.4.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v>
      </c>
      <c r="C83" s="855"/>
      <c r="D83" s="855"/>
      <c r="E83" s="855"/>
      <c r="F83" s="855"/>
      <c r="G83" s="855"/>
      <c r="H83" s="855"/>
    </row>
    <row r="84" spans="1:24" ht="14.45" customHeight="1" x14ac:dyDescent="0.25">
      <c r="B84" s="854"/>
      <c r="C84" s="855"/>
      <c r="D84" s="855"/>
      <c r="E84" s="855"/>
      <c r="F84" s="855"/>
      <c r="G84" s="855"/>
      <c r="H84" s="855"/>
    </row>
    <row r="85" spans="1:24" ht="15" x14ac:dyDescent="0.25">
      <c r="B85" s="854"/>
      <c r="C85" s="855"/>
      <c r="D85" s="855"/>
      <c r="E85" s="855"/>
      <c r="F85" s="855"/>
      <c r="G85" s="855"/>
      <c r="H85" s="855"/>
    </row>
    <row r="86" spans="1:24" ht="14.45" customHeight="1" x14ac:dyDescent="0.25">
      <c r="B86" s="858" t="s">
        <v>595</v>
      </c>
      <c r="C86" s="859"/>
      <c r="D86" s="859"/>
      <c r="E86" s="859"/>
      <c r="F86" s="859"/>
      <c r="G86" s="859"/>
      <c r="H86" s="859"/>
    </row>
    <row r="87" spans="1:24" ht="15" x14ac:dyDescent="0.25">
      <c r="B87" s="78" t="s">
        <v>68</v>
      </c>
      <c r="C87" s="78" t="s">
        <v>58</v>
      </c>
      <c r="D87" s="78" t="s">
        <v>55</v>
      </c>
      <c r="E87" s="78" t="s">
        <v>54</v>
      </c>
      <c r="F87" s="78" t="s">
        <v>69</v>
      </c>
      <c r="G87" s="78" t="s">
        <v>70</v>
      </c>
      <c r="H87" s="78" t="s">
        <v>71</v>
      </c>
    </row>
    <row r="88" spans="1:24" x14ac:dyDescent="0.2">
      <c r="B88" s="123" t="s">
        <v>72</v>
      </c>
      <c r="C88" s="123">
        <v>12</v>
      </c>
      <c r="D88" s="123" t="s">
        <v>73</v>
      </c>
      <c r="E88" s="50">
        <v>500000</v>
      </c>
      <c r="F88" s="123"/>
      <c r="G88" s="123"/>
      <c r="H88" s="50">
        <f t="shared" ref="H88:H95" si="10">C88*E88</f>
        <v>6000000</v>
      </c>
      <c r="I88" s="44"/>
      <c r="J88" s="52"/>
    </row>
    <row r="89" spans="1:24" s="102" customFormat="1" x14ac:dyDescent="0.2">
      <c r="A89" s="92"/>
      <c r="B89" s="123" t="s">
        <v>74</v>
      </c>
      <c r="C89" s="123">
        <v>12</v>
      </c>
      <c r="D89" s="123" t="s">
        <v>73</v>
      </c>
      <c r="E89" s="50">
        <v>100000</v>
      </c>
      <c r="F89" s="123"/>
      <c r="G89" s="123"/>
      <c r="H89" s="50">
        <f t="shared" si="10"/>
        <v>1200000</v>
      </c>
      <c r="I89" s="44"/>
      <c r="J89" s="137"/>
    </row>
    <row r="90" spans="1:24" s="102" customFormat="1" x14ac:dyDescent="0.2">
      <c r="B90" s="123" t="s">
        <v>90</v>
      </c>
      <c r="C90" s="123">
        <v>15</v>
      </c>
      <c r="D90" s="123" t="s">
        <v>73</v>
      </c>
      <c r="E90" s="50">
        <v>2300000</v>
      </c>
      <c r="F90" s="123"/>
      <c r="G90" s="123"/>
      <c r="H90" s="50">
        <f t="shared" si="10"/>
        <v>34500000</v>
      </c>
      <c r="I90" s="44"/>
      <c r="J90" s="137"/>
    </row>
    <row r="91" spans="1:24" s="102" customFormat="1" x14ac:dyDescent="0.2">
      <c r="B91" s="123" t="s">
        <v>147</v>
      </c>
      <c r="C91" s="123">
        <v>15</v>
      </c>
      <c r="D91" s="123" t="s">
        <v>73</v>
      </c>
      <c r="E91" s="50">
        <v>460000</v>
      </c>
      <c r="F91" s="123"/>
      <c r="G91" s="123"/>
      <c r="H91" s="50">
        <f t="shared" si="10"/>
        <v>6900000</v>
      </c>
      <c r="I91" s="44"/>
      <c r="J91" s="137"/>
    </row>
    <row r="92" spans="1:24" x14ac:dyDescent="0.2">
      <c r="B92" s="123" t="s">
        <v>103</v>
      </c>
      <c r="C92" s="123">
        <v>7</v>
      </c>
      <c r="D92" s="123" t="s">
        <v>73</v>
      </c>
      <c r="E92" s="50">
        <v>142800000</v>
      </c>
      <c r="F92" s="123"/>
      <c r="G92" s="123"/>
      <c r="H92" s="50">
        <f t="shared" si="10"/>
        <v>999600000</v>
      </c>
      <c r="I92" s="100"/>
      <c r="J92" s="137"/>
    </row>
    <row r="93" spans="1:24" x14ac:dyDescent="0.2">
      <c r="B93" s="123" t="s">
        <v>173</v>
      </c>
      <c r="C93" s="123">
        <v>7</v>
      </c>
      <c r="D93" s="123" t="s">
        <v>73</v>
      </c>
      <c r="E93" s="50">
        <v>7000000</v>
      </c>
      <c r="F93" s="123"/>
      <c r="G93" s="123"/>
      <c r="H93" s="50">
        <f t="shared" si="10"/>
        <v>49000000</v>
      </c>
      <c r="I93" s="100"/>
      <c r="J93" s="137"/>
    </row>
    <row r="94" spans="1:24" x14ac:dyDescent="0.2">
      <c r="B94" s="119" t="s">
        <v>76</v>
      </c>
      <c r="C94" s="119">
        <v>15</v>
      </c>
      <c r="D94" s="103" t="s">
        <v>65</v>
      </c>
      <c r="E94" s="45">
        <v>6000000</v>
      </c>
      <c r="F94" s="97"/>
      <c r="G94" s="103"/>
      <c r="H94" s="81">
        <f t="shared" si="10"/>
        <v>90000000</v>
      </c>
      <c r="I94" s="100"/>
      <c r="J94" s="137"/>
    </row>
    <row r="95" spans="1:24" x14ac:dyDescent="0.2">
      <c r="B95" s="120" t="s">
        <v>77</v>
      </c>
      <c r="C95" s="120">
        <v>15</v>
      </c>
      <c r="D95" s="103" t="s">
        <v>65</v>
      </c>
      <c r="E95" s="45">
        <v>1800000</v>
      </c>
      <c r="F95" s="97"/>
      <c r="G95" s="103"/>
      <c r="H95" s="81">
        <f t="shared" si="10"/>
        <v>27000000</v>
      </c>
      <c r="I95" s="100"/>
      <c r="J95" s="137"/>
    </row>
    <row r="96" spans="1:24" x14ac:dyDescent="0.2">
      <c r="B96" s="119" t="s">
        <v>162</v>
      </c>
      <c r="C96" s="120">
        <v>15</v>
      </c>
      <c r="D96" s="103" t="s">
        <v>143</v>
      </c>
      <c r="E96" s="45">
        <v>1500000</v>
      </c>
      <c r="F96" s="97"/>
      <c r="G96" s="103"/>
      <c r="H96" s="81">
        <f>C95*E95</f>
        <v>27000000</v>
      </c>
      <c r="I96" s="100"/>
      <c r="J96" s="137"/>
    </row>
    <row r="97" spans="1:24" s="102" customFormat="1" x14ac:dyDescent="0.2">
      <c r="A97" s="92"/>
      <c r="B97" s="119" t="s">
        <v>174</v>
      </c>
      <c r="C97" s="119">
        <v>15</v>
      </c>
      <c r="D97" s="103" t="s">
        <v>143</v>
      </c>
      <c r="E97" s="45">
        <v>450000</v>
      </c>
      <c r="F97" s="97"/>
      <c r="G97" s="103"/>
      <c r="H97" s="81">
        <f>C97*E97</f>
        <v>6750000</v>
      </c>
      <c r="I97" s="83"/>
      <c r="J97" s="137"/>
    </row>
    <row r="98" spans="1:24" x14ac:dyDescent="0.2">
      <c r="B98" s="124" t="s">
        <v>189</v>
      </c>
      <c r="C98" s="125">
        <f>7*10</f>
        <v>70</v>
      </c>
      <c r="D98" s="125" t="s">
        <v>73</v>
      </c>
      <c r="E98" s="126">
        <v>1610000</v>
      </c>
      <c r="F98" s="125"/>
      <c r="G98" s="125"/>
      <c r="H98" s="126">
        <f>C98*E98</f>
        <v>112700000</v>
      </c>
      <c r="I98" s="100"/>
      <c r="J98" s="137"/>
    </row>
    <row r="99" spans="1:24" x14ac:dyDescent="0.2">
      <c r="B99" s="123" t="s">
        <v>190</v>
      </c>
      <c r="C99" s="123">
        <f>7*10</f>
        <v>70</v>
      </c>
      <c r="D99" s="123" t="s">
        <v>73</v>
      </c>
      <c r="E99" s="50">
        <v>8954882.5200000014</v>
      </c>
      <c r="F99" s="123"/>
      <c r="G99" s="123"/>
      <c r="H99" s="50">
        <f>C99*E99</f>
        <v>626841776.4000001</v>
      </c>
      <c r="I99" s="100"/>
      <c r="J99" s="137"/>
    </row>
    <row r="100" spans="1:24" x14ac:dyDescent="0.2">
      <c r="B100" s="123" t="s">
        <v>210</v>
      </c>
      <c r="C100" s="123">
        <v>2</v>
      </c>
      <c r="D100" s="123" t="s">
        <v>73</v>
      </c>
      <c r="E100" s="50">
        <v>7862772</v>
      </c>
      <c r="F100" s="127"/>
      <c r="G100" s="123">
        <v>10</v>
      </c>
      <c r="H100" s="128">
        <f>C100*E100*G100</f>
        <v>157255440</v>
      </c>
      <c r="I100" s="100"/>
      <c r="J100" s="137"/>
    </row>
    <row r="101" spans="1:24" x14ac:dyDescent="0.2">
      <c r="B101" s="103" t="s">
        <v>158</v>
      </c>
      <c r="C101" s="103">
        <v>7</v>
      </c>
      <c r="D101" s="103" t="s">
        <v>179</v>
      </c>
      <c r="E101" s="45">
        <v>3145107</v>
      </c>
      <c r="F101" s="97"/>
      <c r="G101" s="103">
        <v>10</v>
      </c>
      <c r="H101" s="128">
        <f t="shared" ref="H101:H103" si="11">C101*E101*G101</f>
        <v>220157490</v>
      </c>
      <c r="I101" s="44"/>
      <c r="J101" s="52"/>
    </row>
    <row r="102" spans="1:24" x14ac:dyDescent="0.2">
      <c r="B102" s="103" t="s">
        <v>56</v>
      </c>
      <c r="C102" s="103">
        <v>7</v>
      </c>
      <c r="D102" s="103" t="s">
        <v>145</v>
      </c>
      <c r="E102" s="45">
        <v>1300000</v>
      </c>
      <c r="F102" s="97"/>
      <c r="G102" s="103">
        <v>10</v>
      </c>
      <c r="H102" s="128">
        <f t="shared" si="11"/>
        <v>91000000</v>
      </c>
      <c r="I102" s="44"/>
      <c r="J102" s="52"/>
    </row>
    <row r="103" spans="1:24" x14ac:dyDescent="0.2">
      <c r="B103" s="103" t="s">
        <v>178</v>
      </c>
      <c r="C103" s="103">
        <v>7</v>
      </c>
      <c r="D103" s="103" t="s">
        <v>180</v>
      </c>
      <c r="E103" s="45">
        <v>155000</v>
      </c>
      <c r="F103" s="97"/>
      <c r="G103" s="103">
        <v>10</v>
      </c>
      <c r="H103" s="128">
        <f t="shared" si="11"/>
        <v>10850000</v>
      </c>
      <c r="I103" s="44"/>
      <c r="J103" s="52"/>
    </row>
    <row r="104" spans="1:24" x14ac:dyDescent="0.2">
      <c r="B104" s="129" t="s">
        <v>171</v>
      </c>
      <c r="C104" s="129"/>
      <c r="D104" s="129"/>
      <c r="E104" s="51"/>
      <c r="F104" s="129"/>
      <c r="G104" s="129"/>
      <c r="H104" s="50" t="s">
        <v>67</v>
      </c>
      <c r="I104" s="44"/>
      <c r="J104" s="52"/>
    </row>
    <row r="105" spans="1:24" ht="15" x14ac:dyDescent="0.25">
      <c r="B105" s="85" t="s">
        <v>85</v>
      </c>
      <c r="C105" s="86"/>
      <c r="D105" s="86"/>
      <c r="E105" s="87"/>
      <c r="F105" s="87"/>
      <c r="G105" s="86"/>
      <c r="H105" s="98">
        <f>SUM(H88:H104)</f>
        <v>2466754706.4000001</v>
      </c>
      <c r="I105" s="98">
        <f>H105/12</f>
        <v>205562892.20000002</v>
      </c>
    </row>
    <row r="106" spans="1:24" s="102" customFormat="1" ht="260.45" hidden="1" customHeight="1" x14ac:dyDescent="0.2">
      <c r="B106" s="99" t="s">
        <v>86</v>
      </c>
      <c r="C106" s="109"/>
      <c r="D106" s="109"/>
      <c r="E106" s="109"/>
      <c r="F106" s="109"/>
      <c r="G106" s="109"/>
      <c r="H106" s="109"/>
      <c r="J106" s="101"/>
    </row>
    <row r="107" spans="1:24" ht="235.5" customHeight="1" x14ac:dyDescent="0.2">
      <c r="B107" s="323" t="s">
        <v>393</v>
      </c>
      <c r="C107" s="102"/>
      <c r="D107" s="102"/>
      <c r="E107" s="102"/>
      <c r="F107" s="77"/>
      <c r="G107" s="77"/>
      <c r="H107" s="102"/>
    </row>
    <row r="108" spans="1:24" x14ac:dyDescent="0.2">
      <c r="B108" s="201"/>
      <c r="C108" s="102"/>
      <c r="D108" s="102"/>
      <c r="E108" s="102"/>
      <c r="F108" s="77"/>
      <c r="G108" s="77"/>
      <c r="H108" s="102"/>
    </row>
    <row r="109" spans="1:24" s="102" customFormat="1" ht="14.45" customHeight="1" x14ac:dyDescent="0.25">
      <c r="A109" s="91"/>
      <c r="B109" s="850" t="str">
        <f>B11</f>
        <v>6.4. Contribución a la mejora de condiciones de conectividad vial y de servicios públicos, en las regiones maiceras.</v>
      </c>
      <c r="C109" s="851"/>
      <c r="D109" s="851"/>
      <c r="E109" s="851"/>
      <c r="F109" s="851"/>
      <c r="G109" s="851"/>
      <c r="H109" s="851"/>
    </row>
    <row r="110" spans="1:24" hidden="1" x14ac:dyDescent="0.2">
      <c r="B110" s="208"/>
      <c r="C110" s="208"/>
      <c r="D110" s="208"/>
      <c r="E110" s="208"/>
      <c r="F110" s="208"/>
      <c r="G110" s="208"/>
      <c r="H110" s="208"/>
    </row>
    <row r="111" spans="1:24" s="102" customFormat="1" ht="28.5" customHeight="1" x14ac:dyDescent="0.25">
      <c r="B111" s="854" t="str">
        <f>Portafolio_Cadena_Maíz!H90</f>
        <v>6.4.1. Priorizar zonas estratégicas de intervención, para el mejoramiento de la infraestructura de conectividad vial y cobertura de servicios públicos en las regiones maiceras, acordes con proyectos de inversión privada en la producción y procesamiento de maíz.</v>
      </c>
      <c r="C111" s="855"/>
      <c r="D111" s="855"/>
      <c r="E111" s="855"/>
      <c r="F111" s="855"/>
      <c r="G111" s="855"/>
      <c r="H111" s="855"/>
      <c r="I111" s="414"/>
      <c r="X111" s="77"/>
    </row>
    <row r="112" spans="1:24" s="102" customFormat="1" ht="28.5" customHeight="1" x14ac:dyDescent="0.25">
      <c r="B112" s="854" t="str">
        <f>Portafolio_Cadena_Maíz!H91</f>
        <v>6.4.2. Contribuir con la gestión de acciones que permitan incorporar en los procesos de planificación nacional, departamental y local, las necesidades priorizadas por la cadena maicera, para el mejoramiento de la infraestructura de conectividad vial y cobertura de servicios públicos.</v>
      </c>
      <c r="C112" s="855"/>
      <c r="D112" s="855"/>
      <c r="E112" s="855"/>
      <c r="F112" s="855"/>
      <c r="G112" s="855"/>
      <c r="H112" s="855"/>
      <c r="I112" s="414"/>
      <c r="X112" s="77"/>
    </row>
    <row r="113" spans="1:24" s="102" customFormat="1" ht="38.450000000000003" customHeight="1" x14ac:dyDescent="0.25">
      <c r="B113" s="854" t="str">
        <f>Portafolio_Cadena_Maíz!H92</f>
        <v>6.4.3. Promover la estructuración e implementación de iniciativas dirigidas al aprovechamiento de beneficios tributarios, como por ejemplo Obras por Impuestos, que contribuyan a generar mejores condiciones sociales, económicas e institucionales, en zonas para el desarrollo del cultivo de maíz.</v>
      </c>
      <c r="C113" s="855"/>
      <c r="D113" s="855"/>
      <c r="E113" s="855"/>
      <c r="F113" s="855"/>
      <c r="G113" s="855"/>
      <c r="H113" s="855"/>
      <c r="I113" s="414"/>
      <c r="X113" s="77"/>
    </row>
    <row r="114" spans="1:24" s="102" customFormat="1" ht="38.450000000000003" customHeight="1" x14ac:dyDescent="0.25">
      <c r="B114" s="396"/>
      <c r="C114" s="415"/>
      <c r="D114" s="415"/>
      <c r="E114" s="415"/>
      <c r="F114" s="415"/>
      <c r="G114" s="415"/>
      <c r="H114" s="415"/>
      <c r="I114" s="414"/>
      <c r="X114" s="77"/>
    </row>
    <row r="115" spans="1:24" s="102" customFormat="1" ht="14.45" customHeight="1" x14ac:dyDescent="0.25">
      <c r="B115" s="396"/>
      <c r="C115" s="415"/>
      <c r="D115" s="415"/>
      <c r="E115" s="415"/>
      <c r="F115" s="415"/>
      <c r="G115" s="415"/>
      <c r="H115" s="415"/>
      <c r="I115" s="414"/>
      <c r="X115" s="77"/>
    </row>
    <row r="116" spans="1:24" ht="15" x14ac:dyDescent="0.25">
      <c r="B116" s="858" t="s">
        <v>595</v>
      </c>
      <c r="C116" s="859"/>
      <c r="D116" s="859"/>
      <c r="E116" s="859"/>
      <c r="F116" s="859"/>
      <c r="G116" s="859"/>
      <c r="H116" s="859"/>
    </row>
    <row r="117" spans="1:24" ht="15" x14ac:dyDescent="0.25">
      <c r="B117" s="78" t="s">
        <v>68</v>
      </c>
      <c r="C117" s="78" t="s">
        <v>58</v>
      </c>
      <c r="D117" s="78" t="s">
        <v>55</v>
      </c>
      <c r="E117" s="78" t="s">
        <v>54</v>
      </c>
      <c r="F117" s="78" t="s">
        <v>69</v>
      </c>
      <c r="G117" s="78" t="s">
        <v>70</v>
      </c>
      <c r="H117" s="78" t="s">
        <v>71</v>
      </c>
    </row>
    <row r="118" spans="1:24" x14ac:dyDescent="0.2">
      <c r="B118" s="123" t="s">
        <v>72</v>
      </c>
      <c r="C118" s="123">
        <v>12</v>
      </c>
      <c r="D118" s="123" t="s">
        <v>73</v>
      </c>
      <c r="E118" s="50">
        <v>500000</v>
      </c>
      <c r="F118" s="123"/>
      <c r="G118" s="123"/>
      <c r="H118" s="50">
        <f t="shared" ref="H118:H121" si="12">C118*E118</f>
        <v>6000000</v>
      </c>
      <c r="I118" s="44"/>
      <c r="J118" s="52"/>
    </row>
    <row r="119" spans="1:24" s="102" customFormat="1" x14ac:dyDescent="0.2">
      <c r="A119" s="92"/>
      <c r="B119" s="123" t="s">
        <v>74</v>
      </c>
      <c r="C119" s="123">
        <v>12</v>
      </c>
      <c r="D119" s="123" t="s">
        <v>73</v>
      </c>
      <c r="E119" s="50">
        <v>100000</v>
      </c>
      <c r="F119" s="123"/>
      <c r="G119" s="123"/>
      <c r="H119" s="50">
        <f t="shared" si="12"/>
        <v>1200000</v>
      </c>
      <c r="I119" s="44"/>
      <c r="J119" s="137"/>
    </row>
    <row r="120" spans="1:24" s="102" customFormat="1" x14ac:dyDescent="0.2">
      <c r="B120" s="123" t="s">
        <v>90</v>
      </c>
      <c r="C120" s="123">
        <f>7*2</f>
        <v>14</v>
      </c>
      <c r="D120" s="123" t="s">
        <v>73</v>
      </c>
      <c r="E120" s="50">
        <v>2300000</v>
      </c>
      <c r="F120" s="123"/>
      <c r="G120" s="123"/>
      <c r="H120" s="50">
        <f t="shared" si="12"/>
        <v>32200000</v>
      </c>
      <c r="I120" s="44"/>
      <c r="J120" s="137"/>
    </row>
    <row r="121" spans="1:24" s="102" customFormat="1" x14ac:dyDescent="0.2">
      <c r="B121" s="123" t="s">
        <v>147</v>
      </c>
      <c r="C121" s="123">
        <f>7*2</f>
        <v>14</v>
      </c>
      <c r="D121" s="123" t="s">
        <v>73</v>
      </c>
      <c r="E121" s="50">
        <v>460000</v>
      </c>
      <c r="F121" s="123"/>
      <c r="G121" s="123"/>
      <c r="H121" s="50">
        <f t="shared" si="12"/>
        <v>6440000</v>
      </c>
      <c r="I121" s="44"/>
      <c r="J121" s="137"/>
    </row>
    <row r="122" spans="1:24" s="102" customFormat="1" x14ac:dyDescent="0.2">
      <c r="B122" s="123" t="s">
        <v>394</v>
      </c>
      <c r="C122" s="123">
        <v>1</v>
      </c>
      <c r="D122" s="123" t="s">
        <v>73</v>
      </c>
      <c r="E122" s="50">
        <v>10850628</v>
      </c>
      <c r="F122" s="123"/>
      <c r="G122" s="123">
        <v>5</v>
      </c>
      <c r="H122" s="50">
        <f>C122*E122*G122</f>
        <v>54253140</v>
      </c>
      <c r="I122" s="44"/>
      <c r="J122" s="137"/>
    </row>
    <row r="123" spans="1:24" s="102" customFormat="1" x14ac:dyDescent="0.2">
      <c r="B123" s="123" t="s">
        <v>319</v>
      </c>
      <c r="C123" s="123">
        <v>7</v>
      </c>
      <c r="D123" s="123" t="s">
        <v>73</v>
      </c>
      <c r="E123" s="50">
        <v>2774088</v>
      </c>
      <c r="F123" s="123"/>
      <c r="G123" s="123"/>
      <c r="H123" s="50">
        <f>C123*E123</f>
        <v>19418616</v>
      </c>
      <c r="I123" s="44"/>
      <c r="J123" s="137"/>
    </row>
    <row r="124" spans="1:24" x14ac:dyDescent="0.2">
      <c r="B124" s="123" t="s">
        <v>79</v>
      </c>
      <c r="C124" s="123">
        <v>2</v>
      </c>
      <c r="D124" s="123" t="s">
        <v>73</v>
      </c>
      <c r="E124" s="50">
        <v>7862772</v>
      </c>
      <c r="F124" s="127"/>
      <c r="G124" s="123">
        <v>10</v>
      </c>
      <c r="H124" s="128">
        <f>C124*E124*G124</f>
        <v>157255440</v>
      </c>
      <c r="I124" s="100"/>
      <c r="J124" s="137"/>
    </row>
    <row r="125" spans="1:24" x14ac:dyDescent="0.2">
      <c r="B125" s="103" t="s">
        <v>158</v>
      </c>
      <c r="C125" s="103">
        <v>7</v>
      </c>
      <c r="D125" s="103" t="s">
        <v>179</v>
      </c>
      <c r="E125" s="45">
        <v>3145107</v>
      </c>
      <c r="F125" s="97"/>
      <c r="G125" s="103">
        <v>10</v>
      </c>
      <c r="H125" s="128">
        <f t="shared" ref="H125:H127" si="13">C125*E125*G125</f>
        <v>220157490</v>
      </c>
      <c r="I125" s="44"/>
      <c r="J125" s="52"/>
    </row>
    <row r="126" spans="1:24" x14ac:dyDescent="0.2">
      <c r="B126" s="103" t="s">
        <v>56</v>
      </c>
      <c r="C126" s="103">
        <v>7</v>
      </c>
      <c r="D126" s="103" t="s">
        <v>145</v>
      </c>
      <c r="E126" s="45">
        <v>1300000</v>
      </c>
      <c r="F126" s="97"/>
      <c r="G126" s="103">
        <v>10</v>
      </c>
      <c r="H126" s="128">
        <f t="shared" si="13"/>
        <v>91000000</v>
      </c>
      <c r="I126" s="44"/>
      <c r="J126" s="52"/>
    </row>
    <row r="127" spans="1:24" x14ac:dyDescent="0.2">
      <c r="B127" s="103" t="s">
        <v>178</v>
      </c>
      <c r="C127" s="103">
        <v>7</v>
      </c>
      <c r="D127" s="103" t="s">
        <v>180</v>
      </c>
      <c r="E127" s="45">
        <v>155000</v>
      </c>
      <c r="F127" s="97"/>
      <c r="G127" s="103">
        <v>10</v>
      </c>
      <c r="H127" s="128">
        <f t="shared" si="13"/>
        <v>10850000</v>
      </c>
      <c r="I127" s="44"/>
      <c r="J127" s="52"/>
    </row>
    <row r="128" spans="1:24" x14ac:dyDescent="0.2">
      <c r="B128" s="129" t="s">
        <v>177</v>
      </c>
      <c r="C128" s="129"/>
      <c r="D128" s="129"/>
      <c r="E128" s="51"/>
      <c r="F128" s="129"/>
      <c r="G128" s="129"/>
      <c r="H128" s="50" t="s">
        <v>67</v>
      </c>
      <c r="I128" s="44"/>
      <c r="J128" s="52"/>
    </row>
    <row r="129" spans="2:10" ht="15" x14ac:dyDescent="0.25">
      <c r="B129" s="85" t="s">
        <v>85</v>
      </c>
      <c r="C129" s="86"/>
      <c r="D129" s="86"/>
      <c r="E129" s="87"/>
      <c r="F129" s="87"/>
      <c r="G129" s="86"/>
      <c r="H129" s="98">
        <f>SUM(H118:H128)</f>
        <v>598774686</v>
      </c>
      <c r="I129" s="98">
        <f>H129/12</f>
        <v>49897890.5</v>
      </c>
      <c r="J129" s="52"/>
    </row>
    <row r="130" spans="2:10" s="102" customFormat="1" ht="260.45" hidden="1" customHeight="1" x14ac:dyDescent="0.25">
      <c r="B130" s="99" t="s">
        <v>86</v>
      </c>
      <c r="C130" s="208"/>
      <c r="D130" s="208"/>
      <c r="E130" s="208"/>
      <c r="F130" s="208"/>
      <c r="G130" s="208"/>
      <c r="H130" s="98">
        <f>SUM(H119:H129)</f>
        <v>1191549372</v>
      </c>
      <c r="J130" s="101"/>
    </row>
    <row r="131" spans="2:10" ht="231" customHeight="1" x14ac:dyDescent="0.2">
      <c r="B131" s="131" t="s">
        <v>395</v>
      </c>
      <c r="C131" s="102"/>
      <c r="D131" s="102"/>
      <c r="E131" s="102"/>
      <c r="F131" s="77"/>
    </row>
  </sheetData>
  <sheetProtection algorithmName="SHA-512" hashValue="0Mj413YD6Okv/NavR16gNIPzYPUDtzhNPmZbgJv9zJDWihrQeYEhStb27awmSslf7qtOoVVwpuJx6hJZx615cA==" saltValue="4Y5uVgZ8V+AQrxQeuYJZYQ==" spinCount="100000" sheet="1" objects="1" scenarios="1"/>
  <mergeCells count="28">
    <mergeCell ref="B52:H52"/>
    <mergeCell ref="B53:H53"/>
    <mergeCell ref="B54:H54"/>
    <mergeCell ref="B57:H57"/>
    <mergeCell ref="B80:H80"/>
    <mergeCell ref="B81:H81"/>
    <mergeCell ref="B82:H82"/>
    <mergeCell ref="B83:H83"/>
    <mergeCell ref="B15:H16"/>
    <mergeCell ref="B49:H49"/>
    <mergeCell ref="D76:H76"/>
    <mergeCell ref="B78:H78"/>
    <mergeCell ref="B17:H17"/>
    <mergeCell ref="B18:H18"/>
    <mergeCell ref="B19:H19"/>
    <mergeCell ref="B20:H20"/>
    <mergeCell ref="B21:H21"/>
    <mergeCell ref="B23:H23"/>
    <mergeCell ref="B22:H22"/>
    <mergeCell ref="B51:H51"/>
    <mergeCell ref="B113:H113"/>
    <mergeCell ref="B116:H116"/>
    <mergeCell ref="B84:H84"/>
    <mergeCell ref="B85:H85"/>
    <mergeCell ref="B86:H86"/>
    <mergeCell ref="B111:H111"/>
    <mergeCell ref="B112:H112"/>
    <mergeCell ref="B109:H109"/>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6"/>
  <sheetViews>
    <sheetView showGridLines="0" zoomScale="60" zoomScaleNormal="60" workbookViewId="0">
      <selection activeCell="B75" sqref="B75"/>
    </sheetView>
  </sheetViews>
  <sheetFormatPr baseColWidth="10" defaultColWidth="10.7109375" defaultRowHeight="14.25" x14ac:dyDescent="0.2"/>
  <cols>
    <col min="1" max="1" width="13.42578125" style="101" customWidth="1"/>
    <col min="2" max="2" width="67.42578125" style="101" customWidth="1"/>
    <col min="3" max="3" width="26.5703125" style="101" customWidth="1"/>
    <col min="4" max="4" width="27.140625" style="101" customWidth="1"/>
    <col min="5" max="5" width="22.42578125" style="101" customWidth="1"/>
    <col min="6" max="7" width="19.7109375" style="101" bestFit="1" customWidth="1"/>
    <col min="8" max="8" width="21.5703125" style="101" customWidth="1"/>
    <col min="9" max="11" width="19.7109375" style="101" bestFit="1" customWidth="1"/>
    <col min="12" max="12" width="20.42578125" style="101" bestFit="1" customWidth="1"/>
    <col min="13" max="22" width="19.7109375" style="101" bestFit="1" customWidth="1"/>
    <col min="23" max="23" width="20.42578125" style="101" bestFit="1" customWidth="1"/>
    <col min="24" max="24" width="25.42578125" style="101" customWidth="1"/>
    <col min="25" max="25" width="22.28515625" style="101" bestFit="1" customWidth="1"/>
    <col min="26" max="26" width="19.140625" style="101" bestFit="1" customWidth="1"/>
    <col min="27" max="27" width="17" style="101" bestFit="1" customWidth="1"/>
    <col min="28" max="28" width="17.85546875" style="101" customWidth="1"/>
    <col min="29" max="16384" width="10.7109375" style="101"/>
  </cols>
  <sheetData>
    <row r="2" spans="1:26" ht="15" x14ac:dyDescent="0.25">
      <c r="A2" s="57" t="s">
        <v>87</v>
      </c>
    </row>
    <row r="3" spans="1:26" s="102" customFormat="1" ht="15" x14ac:dyDescent="0.25">
      <c r="A3" s="49"/>
    </row>
    <row r="4" spans="1:26" ht="21.6" customHeight="1" x14ac:dyDescent="0.25">
      <c r="A4" s="58"/>
      <c r="B4" s="59" t="str">
        <f>Portafolio_Cadena_Maíz!C93</f>
        <v>7. Contribución al ordenamiento productivo y social de la propiedad.</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160</v>
      </c>
      <c r="E7" s="65">
        <f t="shared" ref="E7" si="0">SUM(E8:E9)</f>
        <v>714210270.5</v>
      </c>
      <c r="F7" s="65">
        <f>SUM(F8:F9)</f>
        <v>2856841082</v>
      </c>
      <c r="G7" s="65">
        <f t="shared" ref="G7:X7" si="1">SUM(G8:G9)</f>
        <v>2856841082</v>
      </c>
      <c r="H7" s="65">
        <f t="shared" si="1"/>
        <v>2856841082</v>
      </c>
      <c r="I7" s="65">
        <f t="shared" si="1"/>
        <v>2856841082</v>
      </c>
      <c r="J7" s="65">
        <f t="shared" si="1"/>
        <v>2673166650</v>
      </c>
      <c r="K7" s="65">
        <f t="shared" si="1"/>
        <v>2673166650</v>
      </c>
      <c r="L7" s="65">
        <f t="shared" si="1"/>
        <v>2673166650</v>
      </c>
      <c r="M7" s="65">
        <f t="shared" si="1"/>
        <v>2673166650</v>
      </c>
      <c r="N7" s="65">
        <f t="shared" si="1"/>
        <v>2673166650</v>
      </c>
      <c r="O7" s="65">
        <f t="shared" si="1"/>
        <v>2673166650</v>
      </c>
      <c r="P7" s="65">
        <f t="shared" si="1"/>
        <v>2673166650</v>
      </c>
      <c r="Q7" s="65">
        <f t="shared" si="1"/>
        <v>2673166650</v>
      </c>
      <c r="R7" s="65">
        <f t="shared" si="1"/>
        <v>2673166650</v>
      </c>
      <c r="S7" s="65">
        <f t="shared" si="1"/>
        <v>2673166650</v>
      </c>
      <c r="T7" s="65">
        <f t="shared" si="1"/>
        <v>2673166650</v>
      </c>
      <c r="U7" s="65">
        <f t="shared" si="1"/>
        <v>2673166650</v>
      </c>
      <c r="V7" s="65">
        <f t="shared" si="1"/>
        <v>2673166650</v>
      </c>
      <c r="W7" s="65">
        <f t="shared" si="1"/>
        <v>2673166650</v>
      </c>
      <c r="X7" s="65">
        <f t="shared" si="1"/>
        <v>2673166650</v>
      </c>
      <c r="Y7" s="65">
        <f>SUM(E7:X7)</f>
        <v>52239074348.5</v>
      </c>
    </row>
    <row r="8" spans="1:26" s="70" customFormat="1" ht="60" customHeight="1" x14ac:dyDescent="0.2">
      <c r="A8" s="67"/>
      <c r="B8" s="68" t="str">
        <f>Portafolio_Cadena_Maíz!D93</f>
        <v>7.1. Articulación con las políticas de ordenamiento productivo y social de la propiedad rural para el cultivo de maíz.</v>
      </c>
      <c r="C8" s="113" t="s">
        <v>215</v>
      </c>
      <c r="D8" s="133" t="s">
        <v>185</v>
      </c>
      <c r="E8" s="69">
        <f>I40*3</f>
        <v>184975747.5</v>
      </c>
      <c r="F8" s="69">
        <f>H40</f>
        <v>739902990</v>
      </c>
      <c r="G8" s="69">
        <f>H40</f>
        <v>739902990</v>
      </c>
      <c r="H8" s="69">
        <f>H40</f>
        <v>739902990</v>
      </c>
      <c r="I8" s="69">
        <f>H40</f>
        <v>739902990</v>
      </c>
      <c r="J8" s="69">
        <f>H40</f>
        <v>739902990</v>
      </c>
      <c r="K8" s="69">
        <f>H40</f>
        <v>739902990</v>
      </c>
      <c r="L8" s="69">
        <f t="shared" ref="L8:X8" si="2">K8</f>
        <v>739902990</v>
      </c>
      <c r="M8" s="69">
        <f t="shared" si="2"/>
        <v>739902990</v>
      </c>
      <c r="N8" s="69">
        <f t="shared" si="2"/>
        <v>739902990</v>
      </c>
      <c r="O8" s="69">
        <f t="shared" si="2"/>
        <v>739902990</v>
      </c>
      <c r="P8" s="69">
        <f t="shared" si="2"/>
        <v>739902990</v>
      </c>
      <c r="Q8" s="69">
        <f t="shared" si="2"/>
        <v>739902990</v>
      </c>
      <c r="R8" s="69">
        <f t="shared" si="2"/>
        <v>739902990</v>
      </c>
      <c r="S8" s="69">
        <f t="shared" si="2"/>
        <v>739902990</v>
      </c>
      <c r="T8" s="69">
        <f t="shared" si="2"/>
        <v>739902990</v>
      </c>
      <c r="U8" s="69">
        <f t="shared" si="2"/>
        <v>739902990</v>
      </c>
      <c r="V8" s="69">
        <f t="shared" si="2"/>
        <v>739902990</v>
      </c>
      <c r="W8" s="69">
        <f t="shared" si="2"/>
        <v>739902990</v>
      </c>
      <c r="X8" s="69">
        <f t="shared" si="2"/>
        <v>739902990</v>
      </c>
      <c r="Y8" s="69">
        <f>SUM(E8:X8)</f>
        <v>14243132557.5</v>
      </c>
    </row>
    <row r="9" spans="1:26" s="70" customFormat="1" ht="42.95" customHeight="1" x14ac:dyDescent="0.2">
      <c r="A9" s="67"/>
      <c r="B9" s="68" t="str">
        <f>Portafolio_Cadena_Maíz!D99</f>
        <v xml:space="preserve">7.2  Fortalecimiento en el acceso y la seguridad jurídica de los predios e inversiones para el cultivo de maíz. </v>
      </c>
      <c r="C9" s="113" t="s">
        <v>215</v>
      </c>
      <c r="D9" s="113" t="s">
        <v>185</v>
      </c>
      <c r="E9" s="69">
        <f>I72*3</f>
        <v>529234523</v>
      </c>
      <c r="F9" s="69">
        <f>H72</f>
        <v>2116938092</v>
      </c>
      <c r="G9" s="69">
        <f>F9</f>
        <v>2116938092</v>
      </c>
      <c r="H9" s="69">
        <f>G9</f>
        <v>2116938092</v>
      </c>
      <c r="I9" s="69">
        <f>H9</f>
        <v>2116938092</v>
      </c>
      <c r="J9" s="69">
        <f>H74</f>
        <v>1933263660</v>
      </c>
      <c r="K9" s="69">
        <f>J9</f>
        <v>1933263660</v>
      </c>
      <c r="L9" s="69">
        <f t="shared" ref="L9:X9" si="3">K9</f>
        <v>1933263660</v>
      </c>
      <c r="M9" s="69">
        <f t="shared" si="3"/>
        <v>1933263660</v>
      </c>
      <c r="N9" s="69">
        <f t="shared" si="3"/>
        <v>1933263660</v>
      </c>
      <c r="O9" s="69">
        <f t="shared" si="3"/>
        <v>1933263660</v>
      </c>
      <c r="P9" s="69">
        <f t="shared" si="3"/>
        <v>1933263660</v>
      </c>
      <c r="Q9" s="69">
        <f t="shared" si="3"/>
        <v>1933263660</v>
      </c>
      <c r="R9" s="69">
        <f t="shared" si="3"/>
        <v>1933263660</v>
      </c>
      <c r="S9" s="69">
        <f t="shared" si="3"/>
        <v>1933263660</v>
      </c>
      <c r="T9" s="69">
        <f t="shared" si="3"/>
        <v>1933263660</v>
      </c>
      <c r="U9" s="69">
        <f t="shared" si="3"/>
        <v>1933263660</v>
      </c>
      <c r="V9" s="69">
        <f t="shared" si="3"/>
        <v>1933263660</v>
      </c>
      <c r="W9" s="69">
        <f t="shared" si="3"/>
        <v>1933263660</v>
      </c>
      <c r="X9" s="69">
        <f t="shared" si="3"/>
        <v>1933263660</v>
      </c>
      <c r="Y9" s="69">
        <f>SUM(E9:X9)</f>
        <v>37995941791</v>
      </c>
    </row>
    <row r="10" spans="1:26" s="40" customFormat="1" ht="24.6" customHeight="1" x14ac:dyDescent="0.25">
      <c r="A10" s="101"/>
      <c r="B10" s="63" t="s">
        <v>32</v>
      </c>
      <c r="C10" s="63"/>
      <c r="D10" s="63"/>
      <c r="E10" s="71">
        <f>E8+E9</f>
        <v>714210270.5</v>
      </c>
      <c r="F10" s="71">
        <f t="shared" ref="F10:X10" si="4">F8+F9</f>
        <v>2856841082</v>
      </c>
      <c r="G10" s="71">
        <f t="shared" si="4"/>
        <v>2856841082</v>
      </c>
      <c r="H10" s="71">
        <f t="shared" si="4"/>
        <v>2856841082</v>
      </c>
      <c r="I10" s="71">
        <f t="shared" si="4"/>
        <v>2856841082</v>
      </c>
      <c r="J10" s="71">
        <f t="shared" si="4"/>
        <v>2673166650</v>
      </c>
      <c r="K10" s="71">
        <f t="shared" si="4"/>
        <v>2673166650</v>
      </c>
      <c r="L10" s="71">
        <f t="shared" si="4"/>
        <v>2673166650</v>
      </c>
      <c r="M10" s="71">
        <f t="shared" si="4"/>
        <v>2673166650</v>
      </c>
      <c r="N10" s="71">
        <f t="shared" si="4"/>
        <v>2673166650</v>
      </c>
      <c r="O10" s="71">
        <f t="shared" si="4"/>
        <v>2673166650</v>
      </c>
      <c r="P10" s="71">
        <f t="shared" si="4"/>
        <v>2673166650</v>
      </c>
      <c r="Q10" s="71">
        <f t="shared" si="4"/>
        <v>2673166650</v>
      </c>
      <c r="R10" s="71">
        <f t="shared" si="4"/>
        <v>2673166650</v>
      </c>
      <c r="S10" s="71">
        <f t="shared" si="4"/>
        <v>2673166650</v>
      </c>
      <c r="T10" s="71">
        <f t="shared" si="4"/>
        <v>2673166650</v>
      </c>
      <c r="U10" s="71">
        <f t="shared" si="4"/>
        <v>2673166650</v>
      </c>
      <c r="V10" s="71">
        <f t="shared" si="4"/>
        <v>2673166650</v>
      </c>
      <c r="W10" s="71">
        <f t="shared" si="4"/>
        <v>2673166650</v>
      </c>
      <c r="X10" s="71">
        <f t="shared" si="4"/>
        <v>2673166650</v>
      </c>
      <c r="Y10" s="71">
        <f>Y8+Y9</f>
        <v>52239074348.5</v>
      </c>
    </row>
    <row r="11" spans="1:26" s="75" customFormat="1" ht="24.6" customHeight="1" x14ac:dyDescent="0.25">
      <c r="A11" s="102"/>
      <c r="B11" s="72"/>
      <c r="C11" s="72"/>
      <c r="D11" s="72"/>
      <c r="E11" s="72"/>
      <c r="F11" s="73"/>
      <c r="G11" s="74"/>
      <c r="H11" s="73"/>
      <c r="I11" s="73"/>
      <c r="J11" s="73"/>
      <c r="K11" s="73"/>
      <c r="L11" s="73"/>
      <c r="M11" s="73"/>
      <c r="N11" s="73"/>
      <c r="O11" s="73"/>
      <c r="P11" s="73"/>
      <c r="Q11" s="73"/>
      <c r="R11" s="73"/>
      <c r="S11" s="73"/>
      <c r="T11" s="73"/>
      <c r="U11" s="73"/>
      <c r="V11" s="73"/>
      <c r="W11" s="73"/>
      <c r="X11" s="73"/>
      <c r="Y11" s="73"/>
      <c r="Z11" s="73"/>
    </row>
    <row r="13" spans="1:26" s="102" customFormat="1" ht="14.45" customHeight="1" x14ac:dyDescent="0.25">
      <c r="B13" s="853" t="str">
        <f>B8</f>
        <v>7.1. Articulación con las políticas de ordenamiento productivo y social de la propiedad rural para el cultivo de maíz.</v>
      </c>
      <c r="C13" s="852"/>
      <c r="D13" s="852"/>
      <c r="E13" s="852"/>
      <c r="F13" s="852"/>
      <c r="G13" s="852"/>
      <c r="H13" s="852"/>
      <c r="I13" s="112"/>
      <c r="J13" s="122"/>
      <c r="K13" s="122"/>
      <c r="X13" s="77"/>
    </row>
    <row r="14" spans="1:26" s="102" customFormat="1" ht="14.45" customHeight="1" x14ac:dyDescent="0.25">
      <c r="B14" s="852"/>
      <c r="C14" s="852"/>
      <c r="D14" s="852"/>
      <c r="E14" s="852"/>
      <c r="F14" s="852"/>
      <c r="G14" s="852"/>
      <c r="H14" s="852"/>
      <c r="I14" s="112"/>
      <c r="J14" s="122"/>
      <c r="X14" s="77"/>
    </row>
    <row r="15" spans="1:26" s="102" customFormat="1" ht="15" x14ac:dyDescent="0.25">
      <c r="B15" s="854" t="str">
        <f>Portafolio_Cadena_Maíz!H93</f>
        <v>7.1.1. Socializar y divulgar la normatividad relacionada con la frontera agrícola, a los productores y demás actores de la cadena de maíz.</v>
      </c>
      <c r="C15" s="855"/>
      <c r="D15" s="855"/>
      <c r="E15" s="855"/>
      <c r="F15" s="855"/>
      <c r="G15" s="855"/>
      <c r="H15" s="855"/>
      <c r="I15" s="414"/>
      <c r="X15" s="77"/>
    </row>
    <row r="16" spans="1:26" s="102" customFormat="1" ht="14.45" customHeight="1" x14ac:dyDescent="0.25">
      <c r="B16" s="854" t="str">
        <f>Portafolio_Cadena_Maíz!H94</f>
        <v>7.1.2. Promover mecanismos para que los actores de la cadena de maíz participen en las instancias que definen las políticas de ordenamiento y planificación municipal y departamental.</v>
      </c>
      <c r="C16" s="855"/>
      <c r="D16" s="855"/>
      <c r="E16" s="855"/>
      <c r="F16" s="855"/>
      <c r="G16" s="855"/>
      <c r="H16" s="855"/>
      <c r="I16" s="414"/>
      <c r="X16" s="77"/>
    </row>
    <row r="17" spans="2:24" s="102" customFormat="1" ht="35.450000000000003" customHeight="1" x14ac:dyDescent="0.25">
      <c r="B17" s="854" t="str">
        <f>Portafolio_Cadena_Maíz!H95</f>
        <v xml:space="preserve">7.1.3. Orientar, a través de instrumentos de financiación, incentivos, entre otros, las inversiones del sector privado en el cultivo de maíz, al interior de la frontera agrícola, aprovechando el potencial de las unidades productivas en zonas aptas para la expansión del cultivo, en articulación con otros instrumentos de planeación territorial. </v>
      </c>
      <c r="C17" s="855"/>
      <c r="D17" s="855"/>
      <c r="E17" s="855"/>
      <c r="F17" s="855"/>
      <c r="G17" s="855"/>
      <c r="H17" s="855"/>
      <c r="I17" s="414"/>
      <c r="X17" s="77"/>
    </row>
    <row r="18" spans="2:24" ht="30.6" customHeight="1" x14ac:dyDescent="0.25">
      <c r="B18" s="854" t="str">
        <f>Portafolio_Cadena_Maíz!H96</f>
        <v>7.1.4. Replicar experiencias en región, relacionadas con la planificación y ordenamiento en la siembra y producción de maíz, teniendo en cuenta la especialización regional y los requerimientos de mercado, y la caracterización y priorización regional.</v>
      </c>
      <c r="C18" s="855"/>
      <c r="D18" s="855"/>
      <c r="E18" s="855"/>
      <c r="F18" s="855"/>
      <c r="G18" s="855"/>
      <c r="H18" s="855"/>
    </row>
    <row r="19" spans="2:24" ht="30.6" customHeight="1" x14ac:dyDescent="0.25">
      <c r="B19" s="854" t="str">
        <f>Portafolio_Cadena_Maíz!H97</f>
        <v>7.1.5. Realizar acompañamiento técnico en los procesos de uso y aprovechamiento eficiente del suelo para los productores de maíz, en el marco de la frontera agrícola, en coordinación con actores públicos y privados, a través de la formulación e implementación de los Planes Maestros de Reconversión Productiva - PMRP, en sus diferentes enfoques (transformación e innovación tecnológica, agregación de valor, diversificación agropecuaria, cambios sistema productivo según la aptitud de cada zona, producción en zonas condicionadas y recuperación de la capacidad productiva).</v>
      </c>
      <c r="C19" s="855"/>
      <c r="D19" s="855"/>
      <c r="E19" s="855"/>
      <c r="F19" s="855"/>
      <c r="G19" s="855"/>
      <c r="H19" s="855"/>
    </row>
    <row r="20" spans="2:24" ht="30.6" customHeight="1" x14ac:dyDescent="0.25">
      <c r="B20" s="854" t="str">
        <f>Portafolio_Cadena_Maíz!H98</f>
        <v xml:space="preserve">7.1.6. Diseñar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v>
      </c>
      <c r="C20" s="855"/>
      <c r="D20" s="855"/>
      <c r="E20" s="855"/>
      <c r="F20" s="855"/>
      <c r="G20" s="855"/>
      <c r="H20" s="855"/>
    </row>
    <row r="21" spans="2:24" ht="30.6" customHeight="1" x14ac:dyDescent="0.25">
      <c r="B21" s="854"/>
      <c r="C21" s="855"/>
      <c r="D21" s="855"/>
      <c r="E21" s="855"/>
      <c r="F21" s="855"/>
      <c r="G21" s="855"/>
      <c r="H21" s="855"/>
    </row>
    <row r="22" spans="2:24" s="102" customFormat="1" ht="15" x14ac:dyDescent="0.25">
      <c r="B22" s="858" t="s">
        <v>595</v>
      </c>
      <c r="C22" s="859"/>
      <c r="D22" s="859"/>
      <c r="E22" s="859"/>
      <c r="F22" s="859"/>
      <c r="G22" s="859"/>
      <c r="H22" s="859"/>
      <c r="I22" s="414"/>
      <c r="X22" s="77"/>
    </row>
    <row r="23" spans="2:24" ht="15" x14ac:dyDescent="0.25">
      <c r="B23" s="400" t="s">
        <v>68</v>
      </c>
      <c r="C23" s="400" t="s">
        <v>58</v>
      </c>
      <c r="D23" s="400" t="s">
        <v>55</v>
      </c>
      <c r="E23" s="400" t="s">
        <v>54</v>
      </c>
      <c r="F23" s="401" t="s">
        <v>96</v>
      </c>
      <c r="G23" s="400" t="s">
        <v>70</v>
      </c>
      <c r="H23" s="400" t="s">
        <v>71</v>
      </c>
      <c r="I23" s="42"/>
      <c r="X23" s="80"/>
    </row>
    <row r="24" spans="2:24" x14ac:dyDescent="0.2">
      <c r="B24" s="104" t="s">
        <v>72</v>
      </c>
      <c r="C24" s="104">
        <v>12</v>
      </c>
      <c r="D24" s="104" t="s">
        <v>73</v>
      </c>
      <c r="E24" s="81">
        <v>500000</v>
      </c>
      <c r="F24" s="104"/>
      <c r="G24" s="104"/>
      <c r="H24" s="81">
        <f t="shared" ref="H24:H29" si="5">C24*E24</f>
        <v>6000000</v>
      </c>
      <c r="J24" s="52"/>
    </row>
    <row r="25" spans="2:24" x14ac:dyDescent="0.2">
      <c r="B25" s="104" t="s">
        <v>74</v>
      </c>
      <c r="C25" s="104">
        <v>12</v>
      </c>
      <c r="D25" s="104" t="s">
        <v>73</v>
      </c>
      <c r="E25" s="81">
        <v>100000</v>
      </c>
      <c r="F25" s="104"/>
      <c r="G25" s="104"/>
      <c r="H25" s="81">
        <f t="shared" si="5"/>
        <v>1200000</v>
      </c>
      <c r="J25" s="137"/>
    </row>
    <row r="26" spans="2:24" x14ac:dyDescent="0.2">
      <c r="B26" s="104" t="s">
        <v>90</v>
      </c>
      <c r="C26" s="104">
        <v>19</v>
      </c>
      <c r="D26" s="104" t="s">
        <v>73</v>
      </c>
      <c r="E26" s="81">
        <v>2300000</v>
      </c>
      <c r="F26" s="104"/>
      <c r="G26" s="104"/>
      <c r="H26" s="81">
        <f t="shared" si="5"/>
        <v>43700000</v>
      </c>
      <c r="I26" s="100"/>
      <c r="J26" s="137"/>
    </row>
    <row r="27" spans="2:24" x14ac:dyDescent="0.2">
      <c r="B27" s="104" t="s">
        <v>91</v>
      </c>
      <c r="C27" s="104">
        <v>19</v>
      </c>
      <c r="D27" s="104" t="s">
        <v>73</v>
      </c>
      <c r="E27" s="81">
        <v>460000</v>
      </c>
      <c r="F27" s="104"/>
      <c r="G27" s="104"/>
      <c r="H27" s="81">
        <f t="shared" si="5"/>
        <v>8740000</v>
      </c>
      <c r="I27" s="100"/>
      <c r="J27" s="137"/>
    </row>
    <row r="28" spans="2:24" x14ac:dyDescent="0.2">
      <c r="B28" s="104" t="s">
        <v>192</v>
      </c>
      <c r="C28" s="104">
        <v>19</v>
      </c>
      <c r="D28" s="104" t="s">
        <v>73</v>
      </c>
      <c r="E28" s="81">
        <v>3000000</v>
      </c>
      <c r="F28" s="104"/>
      <c r="G28" s="104"/>
      <c r="H28" s="81">
        <f t="shared" si="5"/>
        <v>57000000</v>
      </c>
      <c r="I28" s="100"/>
      <c r="J28" s="137"/>
    </row>
    <row r="29" spans="2:24" x14ac:dyDescent="0.2">
      <c r="B29" s="104" t="s">
        <v>59</v>
      </c>
      <c r="C29" s="104">
        <v>7</v>
      </c>
      <c r="D29" s="104" t="s">
        <v>73</v>
      </c>
      <c r="E29" s="81">
        <v>5000000</v>
      </c>
      <c r="F29" s="104"/>
      <c r="G29" s="104"/>
      <c r="H29" s="81">
        <f t="shared" si="5"/>
        <v>35000000</v>
      </c>
      <c r="I29" s="100"/>
      <c r="J29" s="52"/>
    </row>
    <row r="30" spans="2:24" x14ac:dyDescent="0.2">
      <c r="B30" s="104" t="s">
        <v>194</v>
      </c>
      <c r="C30" s="104">
        <v>2</v>
      </c>
      <c r="D30" s="104" t="s">
        <v>102</v>
      </c>
      <c r="E30" s="81">
        <v>7233751</v>
      </c>
      <c r="F30" s="104"/>
      <c r="G30" s="104">
        <v>4</v>
      </c>
      <c r="H30" s="81">
        <f>C30*E30*G30</f>
        <v>57870008</v>
      </c>
      <c r="J30" s="52"/>
    </row>
    <row r="31" spans="2:24" x14ac:dyDescent="0.2">
      <c r="B31" s="104" t="s">
        <v>76</v>
      </c>
      <c r="C31" s="104">
        <v>19</v>
      </c>
      <c r="D31" s="104" t="s">
        <v>65</v>
      </c>
      <c r="E31" s="94">
        <v>6000000</v>
      </c>
      <c r="F31" s="104"/>
      <c r="G31" s="104"/>
      <c r="H31" s="81">
        <f>C31*E31</f>
        <v>114000000</v>
      </c>
      <c r="J31" s="52"/>
    </row>
    <row r="32" spans="2:24" x14ac:dyDescent="0.2">
      <c r="B32" s="104" t="s">
        <v>77</v>
      </c>
      <c r="C32" s="104">
        <v>19</v>
      </c>
      <c r="D32" s="104" t="s">
        <v>65</v>
      </c>
      <c r="E32" s="94">
        <v>1800000</v>
      </c>
      <c r="F32" s="104"/>
      <c r="G32" s="104"/>
      <c r="H32" s="81">
        <f>C32*E32</f>
        <v>34200000</v>
      </c>
      <c r="J32" s="52"/>
    </row>
    <row r="33" spans="1:24" x14ac:dyDescent="0.2">
      <c r="B33" s="104" t="s">
        <v>79</v>
      </c>
      <c r="C33" s="104">
        <v>2</v>
      </c>
      <c r="D33" s="104" t="s">
        <v>145</v>
      </c>
      <c r="E33" s="81">
        <v>7862772</v>
      </c>
      <c r="F33" s="200">
        <v>0.5</v>
      </c>
      <c r="G33" s="104">
        <v>10</v>
      </c>
      <c r="H33" s="81">
        <f>C33*E33*G33*F33</f>
        <v>78627720</v>
      </c>
      <c r="I33" s="44"/>
      <c r="J33" s="52"/>
    </row>
    <row r="34" spans="1:24" x14ac:dyDescent="0.2">
      <c r="B34" s="104" t="s">
        <v>80</v>
      </c>
      <c r="C34" s="104">
        <v>7</v>
      </c>
      <c r="D34" s="104" t="s">
        <v>157</v>
      </c>
      <c r="E34" s="81">
        <v>1313122</v>
      </c>
      <c r="F34" s="104"/>
      <c r="G34" s="104">
        <v>5</v>
      </c>
      <c r="H34" s="81">
        <f>C34*E34*G34</f>
        <v>45959270</v>
      </c>
      <c r="I34" s="44"/>
      <c r="J34" s="52"/>
    </row>
    <row r="35" spans="1:24" x14ac:dyDescent="0.2">
      <c r="B35" s="104" t="s">
        <v>158</v>
      </c>
      <c r="C35" s="104">
        <v>7</v>
      </c>
      <c r="D35" s="104" t="s">
        <v>102</v>
      </c>
      <c r="E35" s="81">
        <v>3145107</v>
      </c>
      <c r="F35" s="200">
        <v>0.5</v>
      </c>
      <c r="G35" s="104">
        <v>8</v>
      </c>
      <c r="H35" s="81">
        <f>C35*E35*G35</f>
        <v>176125992</v>
      </c>
      <c r="I35" s="44"/>
      <c r="J35" s="52"/>
    </row>
    <row r="36" spans="1:24" x14ac:dyDescent="0.2">
      <c r="B36" s="104" t="s">
        <v>56</v>
      </c>
      <c r="C36" s="104">
        <v>7</v>
      </c>
      <c r="D36" s="104" t="s">
        <v>73</v>
      </c>
      <c r="E36" s="81">
        <v>1300000</v>
      </c>
      <c r="F36" s="200">
        <v>0.5</v>
      </c>
      <c r="G36" s="104">
        <v>8</v>
      </c>
      <c r="H36" s="81">
        <f>C36*E36*G36</f>
        <v>72800000</v>
      </c>
      <c r="I36" s="44"/>
      <c r="J36" s="52"/>
    </row>
    <row r="37" spans="1:24" x14ac:dyDescent="0.2">
      <c r="B37" s="104" t="s">
        <v>178</v>
      </c>
      <c r="C37" s="104">
        <v>7</v>
      </c>
      <c r="D37" s="104" t="s">
        <v>73</v>
      </c>
      <c r="E37" s="81">
        <v>155000</v>
      </c>
      <c r="F37" s="200"/>
      <c r="G37" s="104">
        <v>8</v>
      </c>
      <c r="H37" s="81">
        <f>C37*E37*G37</f>
        <v>8680000</v>
      </c>
      <c r="I37" s="44"/>
      <c r="J37" s="52"/>
    </row>
    <row r="38" spans="1:24" x14ac:dyDescent="0.2">
      <c r="B38" s="104" t="s">
        <v>203</v>
      </c>
      <c r="C38" s="104"/>
      <c r="D38" s="104"/>
      <c r="E38" s="81"/>
      <c r="F38" s="200"/>
      <c r="G38" s="104"/>
      <c r="H38" s="81" t="s">
        <v>67</v>
      </c>
      <c r="I38" s="44"/>
      <c r="J38" s="137"/>
    </row>
    <row r="39" spans="1:24" ht="15" x14ac:dyDescent="0.25">
      <c r="B39" s="104" t="s">
        <v>193</v>
      </c>
      <c r="C39" s="104"/>
      <c r="D39" s="104"/>
      <c r="E39" s="104"/>
      <c r="F39" s="104"/>
      <c r="G39" s="104"/>
      <c r="H39" s="81" t="s">
        <v>67</v>
      </c>
      <c r="I39" s="88" t="s">
        <v>159</v>
      </c>
      <c r="J39" s="137"/>
    </row>
    <row r="40" spans="1:24" ht="15" x14ac:dyDescent="0.25">
      <c r="B40" s="85" t="s">
        <v>32</v>
      </c>
      <c r="C40" s="86"/>
      <c r="D40" s="86"/>
      <c r="E40" s="86"/>
      <c r="F40" s="87"/>
      <c r="G40" s="87"/>
      <c r="H40" s="88">
        <f>SUM(H24:H39)</f>
        <v>739902990</v>
      </c>
      <c r="I40" s="88">
        <f>H40/12</f>
        <v>61658582.5</v>
      </c>
      <c r="J40" s="137"/>
    </row>
    <row r="41" spans="1:24" s="102" customFormat="1" ht="140.1" customHeight="1" x14ac:dyDescent="0.2">
      <c r="B41" s="131" t="s">
        <v>349</v>
      </c>
      <c r="C41" s="89"/>
      <c r="D41" s="89"/>
      <c r="E41" s="89"/>
      <c r="F41" s="89"/>
      <c r="G41" s="89"/>
      <c r="H41" s="89"/>
    </row>
    <row r="42" spans="1:24" ht="15" x14ac:dyDescent="0.25">
      <c r="B42" s="111"/>
      <c r="C42" s="111"/>
      <c r="D42" s="111"/>
      <c r="E42" s="111"/>
      <c r="F42" s="111"/>
      <c r="G42" s="111"/>
      <c r="H42" s="111"/>
      <c r="I42" s="90"/>
    </row>
    <row r="43" spans="1:24" ht="15" x14ac:dyDescent="0.25">
      <c r="B43" s="111"/>
      <c r="C43" s="111"/>
      <c r="D43" s="111"/>
      <c r="E43" s="111"/>
      <c r="F43" s="111"/>
      <c r="G43" s="111"/>
      <c r="H43" s="111"/>
      <c r="I43" s="90"/>
    </row>
    <row r="44" spans="1:24" s="102" customFormat="1" ht="14.45" customHeight="1" x14ac:dyDescent="0.25">
      <c r="A44" s="91"/>
      <c r="B44" s="850" t="str">
        <f>B9</f>
        <v xml:space="preserve">7.2  Fortalecimiento en el acceso y la seguridad jurídica de los predios e inversiones para el cultivo de maíz. </v>
      </c>
      <c r="C44" s="851"/>
      <c r="D44" s="851"/>
      <c r="E44" s="851"/>
      <c r="F44" s="851"/>
      <c r="G44" s="851"/>
      <c r="H44" s="851"/>
    </row>
    <row r="45" spans="1:24" s="102" customFormat="1" ht="15" x14ac:dyDescent="0.25">
      <c r="B45" s="854" t="str">
        <f>Portafolio_Cadena_Maíz!H99</f>
        <v xml:space="preserve">7.2.1. Realizar acompañamiento a los productores de maíz en los procesos de regularización de la propiedad, para favorecer su acceso a los programas y beneficios que contribuyan a mejorar el desarrollo de la actividad productiva.  </v>
      </c>
      <c r="C45" s="855"/>
      <c r="D45" s="855"/>
      <c r="E45" s="855"/>
      <c r="F45" s="855"/>
      <c r="G45" s="855"/>
      <c r="H45" s="855"/>
      <c r="I45" s="414"/>
      <c r="X45" s="77"/>
    </row>
    <row r="46" spans="1:24" s="102" customFormat="1" ht="30" customHeight="1" x14ac:dyDescent="0.25">
      <c r="B46" s="854" t="str">
        <f>Portafolio_Cadena_Maíz!H100</f>
        <v>7.2.2. Generar y promover esquemas de acceso a la tierra con seguridad jurídica, que garanticen condiciones de estabilidad a la producción de maíz.</v>
      </c>
      <c r="C46" s="855"/>
      <c r="D46" s="855"/>
      <c r="E46" s="855"/>
      <c r="F46" s="855"/>
      <c r="G46" s="855"/>
      <c r="H46" s="855"/>
      <c r="I46" s="414"/>
      <c r="X46" s="77"/>
    </row>
    <row r="47" spans="1:24" s="102" customFormat="1" ht="30.95" customHeight="1" x14ac:dyDescent="0.25">
      <c r="B47" s="854" t="str">
        <f>Portafolio_Cadena_Maíz!H101</f>
        <v>7.2.3. Generar espacios de articulación entre los gremios de la cadena de maíz, Minagricultura, la ANT, y Entidades Territoriales, para socializar, divulgar e implementar lineamientos y  programas de regularización de la propiedad en los predios para el cultivo de maíz, así como promover los contratos agropecuarios para acceder a la tierra, teniendo en cuenta las minutas de contratos de arrendamiento recomendadas por la UPRA, entre otros instrumentos que se consideren pertinentes.</v>
      </c>
      <c r="C47" s="855"/>
      <c r="D47" s="855"/>
      <c r="E47" s="855"/>
      <c r="F47" s="855"/>
      <c r="G47" s="855"/>
      <c r="H47" s="855"/>
      <c r="I47" s="414"/>
      <c r="X47" s="77"/>
    </row>
    <row r="48" spans="1:24" ht="15" x14ac:dyDescent="0.25">
      <c r="B48" s="854" t="str">
        <f>Portafolio_Cadena_Maíz!H102</f>
        <v xml:space="preserve">7.2.4. Promover la implementación de normatividad que brinde las garantías para la consolidación de inversiones privadas en el cultivo de maíz, en las regiones maiceras priorizadas. </v>
      </c>
      <c r="C48" s="855"/>
      <c r="D48" s="855"/>
      <c r="E48" s="855"/>
      <c r="F48" s="855"/>
      <c r="G48" s="855"/>
      <c r="H48" s="855"/>
    </row>
    <row r="49" spans="1:24" ht="15" x14ac:dyDescent="0.25">
      <c r="B49" s="854"/>
      <c r="C49" s="855"/>
      <c r="D49" s="855"/>
      <c r="E49" s="855"/>
      <c r="F49" s="855"/>
      <c r="G49" s="855"/>
      <c r="H49" s="855"/>
    </row>
    <row r="50" spans="1:24" s="102" customFormat="1" ht="15" x14ac:dyDescent="0.25">
      <c r="B50" s="858" t="s">
        <v>595</v>
      </c>
      <c r="C50" s="859"/>
      <c r="D50" s="859"/>
      <c r="E50" s="859"/>
      <c r="F50" s="859"/>
      <c r="G50" s="859"/>
      <c r="H50" s="859"/>
      <c r="I50" s="414"/>
      <c r="X50" s="77"/>
    </row>
    <row r="51" spans="1:24" ht="15" x14ac:dyDescent="0.25">
      <c r="B51" s="78" t="s">
        <v>68</v>
      </c>
      <c r="C51" s="78" t="s">
        <v>58</v>
      </c>
      <c r="D51" s="78" t="s">
        <v>55</v>
      </c>
      <c r="E51" s="78" t="s">
        <v>54</v>
      </c>
      <c r="F51" s="78" t="s">
        <v>69</v>
      </c>
      <c r="G51" s="78" t="s">
        <v>70</v>
      </c>
      <c r="H51" s="78" t="s">
        <v>71</v>
      </c>
    </row>
    <row r="52" spans="1:24" s="102" customFormat="1" x14ac:dyDescent="0.2">
      <c r="A52" s="92"/>
      <c r="B52" s="103" t="s">
        <v>72</v>
      </c>
      <c r="C52" s="103">
        <v>12</v>
      </c>
      <c r="D52" s="103" t="s">
        <v>73</v>
      </c>
      <c r="E52" s="45">
        <v>500000</v>
      </c>
      <c r="F52" s="103"/>
      <c r="G52" s="103"/>
      <c r="H52" s="81">
        <v>12000000</v>
      </c>
      <c r="I52" s="44"/>
      <c r="J52" s="137"/>
    </row>
    <row r="53" spans="1:24" s="102" customFormat="1" x14ac:dyDescent="0.2">
      <c r="B53" s="103" t="s">
        <v>74</v>
      </c>
      <c r="C53" s="103">
        <v>12</v>
      </c>
      <c r="D53" s="103" t="s">
        <v>73</v>
      </c>
      <c r="E53" s="45">
        <v>100000</v>
      </c>
      <c r="F53" s="103"/>
      <c r="G53" s="103"/>
      <c r="H53" s="81">
        <v>1200000</v>
      </c>
      <c r="I53" s="44"/>
      <c r="J53" s="137"/>
    </row>
    <row r="54" spans="1:24" s="102" customFormat="1" x14ac:dyDescent="0.2">
      <c r="B54" s="103" t="s">
        <v>90</v>
      </c>
      <c r="C54" s="103">
        <v>19</v>
      </c>
      <c r="D54" s="103" t="s">
        <v>73</v>
      </c>
      <c r="E54" s="45">
        <v>2300000</v>
      </c>
      <c r="F54" s="103"/>
      <c r="G54" s="103"/>
      <c r="H54" s="81">
        <v>20000000</v>
      </c>
      <c r="I54" s="44"/>
      <c r="J54" s="137"/>
    </row>
    <row r="55" spans="1:24" x14ac:dyDescent="0.2">
      <c r="B55" s="103" t="s">
        <v>91</v>
      </c>
      <c r="C55" s="103">
        <v>19</v>
      </c>
      <c r="D55" s="103" t="s">
        <v>73</v>
      </c>
      <c r="E55" s="45">
        <v>460000</v>
      </c>
      <c r="F55" s="103"/>
      <c r="G55" s="103"/>
      <c r="H55" s="81">
        <v>142500000</v>
      </c>
      <c r="I55" s="100"/>
      <c r="J55" s="137"/>
    </row>
    <row r="56" spans="1:24" x14ac:dyDescent="0.2">
      <c r="B56" s="103" t="s">
        <v>59</v>
      </c>
      <c r="C56" s="103">
        <v>7</v>
      </c>
      <c r="D56" s="103" t="s">
        <v>73</v>
      </c>
      <c r="E56" s="45">
        <v>5000000</v>
      </c>
      <c r="F56" s="103"/>
      <c r="G56" s="103"/>
      <c r="H56" s="81">
        <f>C56*E56</f>
        <v>35000000</v>
      </c>
      <c r="I56" s="100"/>
      <c r="J56" s="137"/>
    </row>
    <row r="57" spans="1:24" x14ac:dyDescent="0.2">
      <c r="B57" s="103" t="s">
        <v>196</v>
      </c>
      <c r="C57" s="103">
        <v>1</v>
      </c>
      <c r="D57" s="103" t="s">
        <v>73</v>
      </c>
      <c r="E57" s="45">
        <v>142800000</v>
      </c>
      <c r="F57" s="103"/>
      <c r="G57" s="103"/>
      <c r="H57" s="81">
        <f>C57*E57</f>
        <v>142800000</v>
      </c>
      <c r="I57" s="100"/>
      <c r="J57" s="137"/>
    </row>
    <row r="58" spans="1:24" s="102" customFormat="1" x14ac:dyDescent="0.2">
      <c r="A58" s="92"/>
      <c r="B58" s="103" t="s">
        <v>173</v>
      </c>
      <c r="C58" s="104">
        <v>7</v>
      </c>
      <c r="D58" s="103" t="s">
        <v>73</v>
      </c>
      <c r="E58" s="45">
        <v>3000000</v>
      </c>
      <c r="F58" s="103"/>
      <c r="G58" s="103"/>
      <c r="H58" s="81">
        <v>50000000</v>
      </c>
      <c r="I58" s="83"/>
      <c r="J58" s="137"/>
    </row>
    <row r="59" spans="1:24" s="102" customFormat="1" x14ac:dyDescent="0.2">
      <c r="A59" s="92"/>
      <c r="B59" s="103" t="s">
        <v>198</v>
      </c>
      <c r="C59" s="104">
        <v>1</v>
      </c>
      <c r="D59" s="103" t="s">
        <v>73</v>
      </c>
      <c r="E59" s="45">
        <v>5661197</v>
      </c>
      <c r="F59" s="103"/>
      <c r="G59" s="103">
        <v>4</v>
      </c>
      <c r="H59" s="81">
        <f>C59*E59*G59</f>
        <v>22644788</v>
      </c>
      <c r="I59" s="83"/>
      <c r="J59" s="137"/>
    </row>
    <row r="60" spans="1:24" s="102" customFormat="1" x14ac:dyDescent="0.2">
      <c r="A60" s="92"/>
      <c r="B60" s="103" t="s">
        <v>156</v>
      </c>
      <c r="C60" s="103">
        <f>7*10</f>
        <v>70</v>
      </c>
      <c r="D60" s="103" t="s">
        <v>65</v>
      </c>
      <c r="E60" s="45">
        <v>6000000</v>
      </c>
      <c r="F60" s="103"/>
      <c r="G60" s="103"/>
      <c r="H60" s="81">
        <f t="shared" ref="H60:H61" si="6">C60*E60</f>
        <v>420000000</v>
      </c>
      <c r="I60" s="83"/>
      <c r="J60" s="137"/>
    </row>
    <row r="61" spans="1:24" s="102" customFormat="1" x14ac:dyDescent="0.2">
      <c r="A61" s="92"/>
      <c r="B61" s="103" t="s">
        <v>77</v>
      </c>
      <c r="C61" s="103">
        <f>7*10</f>
        <v>70</v>
      </c>
      <c r="D61" s="103" t="s">
        <v>65</v>
      </c>
      <c r="E61" s="45">
        <v>1800000</v>
      </c>
      <c r="F61" s="103"/>
      <c r="G61" s="103"/>
      <c r="H61" s="81">
        <f t="shared" si="6"/>
        <v>126000000</v>
      </c>
      <c r="I61" s="83"/>
      <c r="J61" s="137"/>
    </row>
    <row r="62" spans="1:24" s="102" customFormat="1" x14ac:dyDescent="0.2">
      <c r="A62" s="92"/>
      <c r="B62" s="103" t="s">
        <v>197</v>
      </c>
      <c r="C62" s="104">
        <v>2</v>
      </c>
      <c r="D62" s="103" t="s">
        <v>73</v>
      </c>
      <c r="E62" s="45">
        <v>7862772</v>
      </c>
      <c r="F62" s="97">
        <v>0.5</v>
      </c>
      <c r="G62" s="103">
        <v>10</v>
      </c>
      <c r="H62" s="81">
        <v>182149176</v>
      </c>
      <c r="I62" s="84"/>
      <c r="J62" s="137"/>
    </row>
    <row r="63" spans="1:24" s="102" customFormat="1" x14ac:dyDescent="0.2">
      <c r="B63" s="103" t="s">
        <v>80</v>
      </c>
      <c r="C63" s="104">
        <v>7</v>
      </c>
      <c r="D63" s="102" t="s">
        <v>73</v>
      </c>
      <c r="E63" s="45">
        <v>1769683</v>
      </c>
      <c r="F63" s="103"/>
      <c r="G63" s="103"/>
      <c r="H63" s="81">
        <v>19851700</v>
      </c>
      <c r="I63" s="83"/>
      <c r="J63" s="137"/>
    </row>
    <row r="64" spans="1:24" s="102" customFormat="1" x14ac:dyDescent="0.2">
      <c r="B64" s="103" t="s">
        <v>158</v>
      </c>
      <c r="C64" s="104">
        <v>7</v>
      </c>
      <c r="D64" s="132" t="s">
        <v>102</v>
      </c>
      <c r="E64" s="45">
        <v>3145107</v>
      </c>
      <c r="F64" s="97">
        <v>0.5</v>
      </c>
      <c r="G64" s="103">
        <v>8</v>
      </c>
      <c r="H64" s="81">
        <f>C64*E64*F64*G64</f>
        <v>88062996</v>
      </c>
      <c r="I64" s="83"/>
      <c r="J64" s="137"/>
    </row>
    <row r="65" spans="2:10" s="102" customFormat="1" x14ac:dyDescent="0.2">
      <c r="B65" s="103" t="s">
        <v>56</v>
      </c>
      <c r="C65" s="104">
        <v>7</v>
      </c>
      <c r="D65" s="132" t="s">
        <v>73</v>
      </c>
      <c r="E65" s="45">
        <v>1300000</v>
      </c>
      <c r="F65" s="97">
        <v>0.5</v>
      </c>
      <c r="G65" s="103">
        <v>8</v>
      </c>
      <c r="H65" s="81">
        <f>C65*E65*G65*F65</f>
        <v>36400000</v>
      </c>
      <c r="I65" s="83"/>
      <c r="J65" s="137"/>
    </row>
    <row r="66" spans="2:10" s="102" customFormat="1" x14ac:dyDescent="0.2">
      <c r="B66" s="103" t="s">
        <v>178</v>
      </c>
      <c r="C66" s="104">
        <v>7</v>
      </c>
      <c r="D66" s="132" t="s">
        <v>73</v>
      </c>
      <c r="E66" s="45">
        <v>155000</v>
      </c>
      <c r="F66" s="103"/>
      <c r="G66" s="103">
        <v>8</v>
      </c>
      <c r="H66" s="81">
        <f>C66*E66*G66</f>
        <v>8680000</v>
      </c>
      <c r="I66" s="83"/>
      <c r="J66" s="137"/>
    </row>
    <row r="67" spans="2:10" x14ac:dyDescent="0.2">
      <c r="B67" s="104" t="s">
        <v>302</v>
      </c>
      <c r="C67" s="104">
        <f>19*20</f>
        <v>380</v>
      </c>
      <c r="D67" s="104" t="s">
        <v>73</v>
      </c>
      <c r="E67" s="94">
        <v>3000000</v>
      </c>
      <c r="F67" s="104"/>
      <c r="G67" s="104"/>
      <c r="H67" s="81">
        <v>625975000</v>
      </c>
      <c r="I67" s="44"/>
      <c r="J67" s="52"/>
    </row>
    <row r="68" spans="2:10" x14ac:dyDescent="0.2">
      <c r="B68" s="104" t="s">
        <v>333</v>
      </c>
      <c r="C68" s="104">
        <v>2</v>
      </c>
      <c r="D68" s="104" t="s">
        <v>73</v>
      </c>
      <c r="E68" s="94">
        <v>11479652</v>
      </c>
      <c r="F68" s="104"/>
      <c r="G68" s="104">
        <v>8</v>
      </c>
      <c r="H68" s="81">
        <f>C68*E68*G68</f>
        <v>183674432</v>
      </c>
      <c r="I68" s="44"/>
      <c r="J68" s="52"/>
    </row>
    <row r="69" spans="2:10" x14ac:dyDescent="0.2">
      <c r="B69" s="103" t="s">
        <v>195</v>
      </c>
      <c r="C69" s="104"/>
      <c r="D69" s="103"/>
      <c r="E69" s="108"/>
      <c r="F69" s="103"/>
      <c r="G69" s="103"/>
      <c r="H69" s="81" t="s">
        <v>67</v>
      </c>
      <c r="I69" s="44"/>
      <c r="J69" s="52"/>
    </row>
    <row r="70" spans="2:10" x14ac:dyDescent="0.2">
      <c r="B70" s="103" t="s">
        <v>397</v>
      </c>
      <c r="C70" s="103"/>
      <c r="D70" s="103"/>
      <c r="E70" s="108"/>
      <c r="F70" s="93"/>
      <c r="G70" s="103"/>
      <c r="H70" s="81" t="s">
        <v>67</v>
      </c>
      <c r="I70" s="44"/>
      <c r="J70" s="52"/>
    </row>
    <row r="71" spans="2:10" ht="15" x14ac:dyDescent="0.25">
      <c r="B71" s="103"/>
      <c r="C71" s="103"/>
      <c r="D71" s="103"/>
      <c r="E71" s="103"/>
      <c r="F71" s="103"/>
      <c r="G71" s="103"/>
      <c r="H71" s="104"/>
      <c r="I71" s="98" t="s">
        <v>159</v>
      </c>
      <c r="J71" s="52"/>
    </row>
    <row r="72" spans="2:10" ht="15" x14ac:dyDescent="0.25">
      <c r="B72" s="85" t="s">
        <v>334</v>
      </c>
      <c r="C72" s="86"/>
      <c r="D72" s="86"/>
      <c r="E72" s="87"/>
      <c r="F72" s="87"/>
      <c r="G72" s="86"/>
      <c r="H72" s="98">
        <f>SUM(H52:H71)</f>
        <v>2116938092</v>
      </c>
      <c r="I72" s="98">
        <f>H72/12</f>
        <v>176411507.66666666</v>
      </c>
      <c r="J72" s="52"/>
    </row>
    <row r="73" spans="2:10" s="102" customFormat="1" ht="260.45" hidden="1" customHeight="1" x14ac:dyDescent="0.25">
      <c r="B73" s="99" t="s">
        <v>86</v>
      </c>
      <c r="C73" s="111"/>
      <c r="D73" s="111"/>
      <c r="E73" s="111"/>
      <c r="F73" s="111"/>
      <c r="G73" s="111"/>
      <c r="H73" s="98">
        <f t="shared" ref="H73" si="7">SUM(H53:H72)</f>
        <v>4221876184</v>
      </c>
      <c r="J73" s="52"/>
    </row>
    <row r="74" spans="2:10" ht="15" x14ac:dyDescent="0.25">
      <c r="B74" s="85" t="s">
        <v>335</v>
      </c>
      <c r="C74" s="86"/>
      <c r="D74" s="86"/>
      <c r="E74" s="87"/>
      <c r="F74" s="87"/>
      <c r="G74" s="86"/>
      <c r="H74" s="98">
        <f>H72-H68</f>
        <v>1933263660</v>
      </c>
      <c r="I74" s="98"/>
      <c r="J74" s="52"/>
    </row>
    <row r="75" spans="2:10" ht="218.45" customHeight="1" x14ac:dyDescent="0.2">
      <c r="B75" s="130" t="s">
        <v>404</v>
      </c>
      <c r="C75" s="102"/>
      <c r="D75" s="102"/>
      <c r="E75" s="102"/>
      <c r="F75" s="77"/>
      <c r="G75" s="77"/>
    </row>
    <row r="76" spans="2:10" x14ac:dyDescent="0.2">
      <c r="B76" s="102"/>
      <c r="C76" s="102"/>
      <c r="D76" s="102"/>
      <c r="E76" s="102"/>
      <c r="F76" s="102"/>
      <c r="G76" s="102"/>
    </row>
  </sheetData>
  <sheetProtection algorithmName="SHA-512" hashValue="l5LFjLOHOj00VTimH5tLZUnq/BBUg2/gFv8fW4sKC4cO52RalbvKvNmaN/EEU1pmNALwWm3nrEbnkLAvDbb1RQ==" saltValue="3CUxiIXUbRhRrDrBebDGmQ==" spinCount="100000" sheet="1" objects="1" scenarios="1"/>
  <mergeCells count="16">
    <mergeCell ref="B13:H14"/>
    <mergeCell ref="B44:H44"/>
    <mergeCell ref="B15:H15"/>
    <mergeCell ref="B16:H16"/>
    <mergeCell ref="B17:H17"/>
    <mergeCell ref="B18:H18"/>
    <mergeCell ref="B22:H22"/>
    <mergeCell ref="B19:H19"/>
    <mergeCell ref="B20:H20"/>
    <mergeCell ref="B21:H21"/>
    <mergeCell ref="B49:H49"/>
    <mergeCell ref="B50:H50"/>
    <mergeCell ref="B45:H45"/>
    <mergeCell ref="B46:H46"/>
    <mergeCell ref="B47:H47"/>
    <mergeCell ref="B48:H48"/>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6"/>
  <sheetViews>
    <sheetView showGridLines="0" zoomScale="60" zoomScaleNormal="60" workbookViewId="0">
      <selection activeCell="B45" sqref="B45"/>
    </sheetView>
  </sheetViews>
  <sheetFormatPr baseColWidth="10" defaultColWidth="10.7109375" defaultRowHeight="14.25" x14ac:dyDescent="0.2"/>
  <cols>
    <col min="1" max="1" width="13.42578125" style="101" customWidth="1"/>
    <col min="2" max="2" width="67.42578125" style="101" customWidth="1"/>
    <col min="3" max="3" width="29.85546875" style="101" customWidth="1"/>
    <col min="4" max="4" width="24.28515625" style="101" customWidth="1"/>
    <col min="5" max="5" width="22.42578125" style="101" customWidth="1"/>
    <col min="6" max="6" width="19.85546875" style="101" bestFit="1" customWidth="1"/>
    <col min="7" max="7" width="18.28515625" style="101" bestFit="1" customWidth="1"/>
    <col min="8" max="8" width="23" style="101" bestFit="1" customWidth="1"/>
    <col min="9" max="9" width="18.7109375" style="101" customWidth="1"/>
    <col min="10" max="10" width="17.42578125" style="101" bestFit="1" customWidth="1"/>
    <col min="11" max="11" width="18.28515625" style="101" bestFit="1" customWidth="1"/>
    <col min="12" max="12" width="19.140625" style="101" bestFit="1" customWidth="1"/>
    <col min="13" max="13" width="17.42578125" style="101" bestFit="1" customWidth="1"/>
    <col min="14" max="14" width="18.5703125" style="101" bestFit="1" customWidth="1"/>
    <col min="15" max="15" width="17.42578125" style="101" bestFit="1" customWidth="1"/>
    <col min="16" max="16" width="17.5703125" style="101" customWidth="1"/>
    <col min="17" max="17" width="18.5703125" style="101" bestFit="1" customWidth="1"/>
    <col min="18" max="18" width="17.42578125" style="101" bestFit="1" customWidth="1"/>
    <col min="19" max="19" width="17.5703125" style="101" bestFit="1" customWidth="1"/>
    <col min="20" max="20" width="18.42578125" style="101" bestFit="1" customWidth="1"/>
    <col min="21" max="22" width="17.42578125" style="101" bestFit="1" customWidth="1"/>
    <col min="23" max="23" width="18.5703125" style="101" bestFit="1" customWidth="1"/>
    <col min="24" max="24" width="19.140625" style="101" bestFit="1" customWidth="1"/>
    <col min="25" max="25" width="20.28515625" style="101" customWidth="1"/>
    <col min="26" max="26" width="19.140625" style="101" bestFit="1" customWidth="1"/>
    <col min="27" max="27" width="17" style="101" bestFit="1" customWidth="1"/>
    <col min="28" max="28" width="17.85546875" style="101" customWidth="1"/>
    <col min="29" max="16384" width="10.7109375" style="101"/>
  </cols>
  <sheetData>
    <row r="2" spans="1:26" ht="15" x14ac:dyDescent="0.25">
      <c r="B2" s="57" t="s">
        <v>87</v>
      </c>
    </row>
    <row r="3" spans="1:26" s="102" customFormat="1" ht="15" x14ac:dyDescent="0.25">
      <c r="A3" s="49"/>
    </row>
    <row r="4" spans="1:26" ht="21.6" customHeight="1" x14ac:dyDescent="0.25">
      <c r="A4" s="58"/>
      <c r="B4" s="162" t="str">
        <f>Portafolio_Cadena_Maíz!C103</f>
        <v>8. Fortalecimiento del desarrollo tecnológico y la innovación en la cadena de maíz.</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160</v>
      </c>
      <c r="E7" s="65">
        <f t="shared" ref="E7" si="0">SUM(E8:E9)</f>
        <v>1372151353.5009999</v>
      </c>
      <c r="F7" s="65">
        <f>SUM(F8:F9)</f>
        <v>4006419856.0019999</v>
      </c>
      <c r="G7" s="65">
        <f t="shared" ref="G7:X7" si="1">SUM(G8:G9)</f>
        <v>4006419856.0019999</v>
      </c>
      <c r="H7" s="65">
        <f t="shared" si="1"/>
        <v>3375361281.5019999</v>
      </c>
      <c r="I7" s="65">
        <f t="shared" si="1"/>
        <v>1482185558.0020001</v>
      </c>
      <c r="J7" s="65">
        <f t="shared" si="1"/>
        <v>370546389.50050002</v>
      </c>
      <c r="K7" s="65">
        <f t="shared" si="1"/>
        <v>2524234298</v>
      </c>
      <c r="L7" s="65">
        <f t="shared" si="1"/>
        <v>0</v>
      </c>
      <c r="M7" s="65">
        <f t="shared" si="1"/>
        <v>0</v>
      </c>
      <c r="N7" s="65">
        <f t="shared" si="1"/>
        <v>2524234298</v>
      </c>
      <c r="O7" s="65">
        <f t="shared" si="1"/>
        <v>0</v>
      </c>
      <c r="P7" s="65">
        <f t="shared" si="1"/>
        <v>0</v>
      </c>
      <c r="Q7" s="65">
        <f t="shared" si="1"/>
        <v>2524234298</v>
      </c>
      <c r="R7" s="65">
        <f t="shared" si="1"/>
        <v>0</v>
      </c>
      <c r="S7" s="65">
        <f t="shared" si="1"/>
        <v>0</v>
      </c>
      <c r="T7" s="65">
        <f t="shared" si="1"/>
        <v>2524234298</v>
      </c>
      <c r="U7" s="65">
        <f t="shared" si="1"/>
        <v>0</v>
      </c>
      <c r="V7" s="65">
        <f t="shared" si="1"/>
        <v>0</v>
      </c>
      <c r="W7" s="65">
        <f t="shared" si="1"/>
        <v>2524234298</v>
      </c>
      <c r="X7" s="65">
        <f t="shared" si="1"/>
        <v>0</v>
      </c>
      <c r="Y7" s="65">
        <f>SUM(E7:X7)</f>
        <v>27234255784.509499</v>
      </c>
      <c r="Z7" s="66"/>
    </row>
    <row r="8" spans="1:26" s="70" customFormat="1" ht="45.75" customHeight="1" x14ac:dyDescent="0.2">
      <c r="A8" s="67"/>
      <c r="B8" s="68" t="str">
        <f>Portafolio_Cadena_Maíz!D103</f>
        <v>8.1. Fortalecimiento de los procesos I+D+i para la cadena de maíz y sus derivados.</v>
      </c>
      <c r="C8" s="143" t="s">
        <v>184</v>
      </c>
      <c r="D8" s="143" t="s">
        <v>161</v>
      </c>
      <c r="E8" s="189">
        <f>+H44*6</f>
        <v>741092779.00100005</v>
      </c>
      <c r="F8" s="69">
        <f>+H43</f>
        <v>1482185558.0020001</v>
      </c>
      <c r="G8" s="69">
        <f>+H43</f>
        <v>1482185558.0020001</v>
      </c>
      <c r="H8" s="69">
        <f>+H43</f>
        <v>1482185558.0020001</v>
      </c>
      <c r="I8" s="69">
        <f>+H43</f>
        <v>1482185558.0020001</v>
      </c>
      <c r="J8" s="69">
        <f>+H44*3</f>
        <v>370546389.50050002</v>
      </c>
      <c r="K8" s="69" t="str">
        <f>+H41</f>
        <v>Por definir</v>
      </c>
      <c r="L8" s="69" t="str">
        <f>+$H$41</f>
        <v>Por definir</v>
      </c>
      <c r="M8" s="69" t="str">
        <f t="shared" ref="M8:X8" si="2">+$H$41</f>
        <v>Por definir</v>
      </c>
      <c r="N8" s="69" t="str">
        <f t="shared" si="2"/>
        <v>Por definir</v>
      </c>
      <c r="O8" s="69" t="str">
        <f t="shared" si="2"/>
        <v>Por definir</v>
      </c>
      <c r="P8" s="69" t="str">
        <f t="shared" si="2"/>
        <v>Por definir</v>
      </c>
      <c r="Q8" s="69" t="str">
        <f t="shared" si="2"/>
        <v>Por definir</v>
      </c>
      <c r="R8" s="69" t="str">
        <f t="shared" si="2"/>
        <v>Por definir</v>
      </c>
      <c r="S8" s="69" t="str">
        <f t="shared" si="2"/>
        <v>Por definir</v>
      </c>
      <c r="T8" s="69" t="str">
        <f t="shared" si="2"/>
        <v>Por definir</v>
      </c>
      <c r="U8" s="69" t="str">
        <f t="shared" si="2"/>
        <v>Por definir</v>
      </c>
      <c r="V8" s="69" t="str">
        <f t="shared" si="2"/>
        <v>Por definir</v>
      </c>
      <c r="W8" s="69" t="str">
        <f t="shared" si="2"/>
        <v>Por definir</v>
      </c>
      <c r="X8" s="69" t="str">
        <f t="shared" si="2"/>
        <v>Por definir</v>
      </c>
      <c r="Y8" s="69">
        <f>SUM(E8:X8)</f>
        <v>7040381400.5094995</v>
      </c>
      <c r="Z8" s="66"/>
    </row>
    <row r="9" spans="1:26" s="70" customFormat="1" ht="42.95" customHeight="1" x14ac:dyDescent="0.2">
      <c r="A9" s="67"/>
      <c r="B9" s="68" t="str">
        <f>Portafolio_Cadena_Maíz!D111</f>
        <v>8.2. Fortalecimiento del talento humano en I+D+i, y en extensionismo agrícola e industrial.</v>
      </c>
      <c r="C9" s="143" t="s">
        <v>358</v>
      </c>
      <c r="D9" s="143" t="s">
        <v>161</v>
      </c>
      <c r="E9" s="145">
        <f>+H84*3</f>
        <v>631058574.5</v>
      </c>
      <c r="F9" s="69">
        <f>+H83</f>
        <v>2524234298</v>
      </c>
      <c r="G9" s="69">
        <f>+H83</f>
        <v>2524234298</v>
      </c>
      <c r="H9" s="69">
        <f>+H84*9</f>
        <v>1893175723.5</v>
      </c>
      <c r="I9" s="69" t="str">
        <f>+H82</f>
        <v>Por definir</v>
      </c>
      <c r="J9" s="69" t="str">
        <f>+H82</f>
        <v>Por definir</v>
      </c>
      <c r="K9" s="69">
        <f>+H83</f>
        <v>2524234298</v>
      </c>
      <c r="L9" s="69" t="str">
        <f>+H82</f>
        <v>Por definir</v>
      </c>
      <c r="M9" s="69" t="str">
        <f>+H82</f>
        <v>Por definir</v>
      </c>
      <c r="N9" s="69">
        <f>+H83</f>
        <v>2524234298</v>
      </c>
      <c r="O9" s="69" t="str">
        <f>+H82</f>
        <v>Por definir</v>
      </c>
      <c r="P9" s="69" t="str">
        <f>+H82</f>
        <v>Por definir</v>
      </c>
      <c r="Q9" s="69">
        <f>+H83</f>
        <v>2524234298</v>
      </c>
      <c r="R9" s="69" t="str">
        <f>+H82</f>
        <v>Por definir</v>
      </c>
      <c r="S9" s="69" t="str">
        <f>+H82</f>
        <v>Por definir</v>
      </c>
      <c r="T9" s="69">
        <f>+H83</f>
        <v>2524234298</v>
      </c>
      <c r="U9" s="69" t="str">
        <f>+H82</f>
        <v>Por definir</v>
      </c>
      <c r="V9" s="69" t="str">
        <f>+H82</f>
        <v>Por definir</v>
      </c>
      <c r="W9" s="69">
        <f>+H83</f>
        <v>2524234298</v>
      </c>
      <c r="X9" s="69" t="str">
        <f>+H82</f>
        <v>Por definir</v>
      </c>
      <c r="Y9" s="69">
        <f>SUM(E9:X9)</f>
        <v>20193874384</v>
      </c>
      <c r="Z9" s="66"/>
    </row>
    <row r="10" spans="1:26" s="40" customFormat="1" ht="24.6" customHeight="1" x14ac:dyDescent="0.25">
      <c r="A10" s="101"/>
      <c r="B10" s="63" t="s">
        <v>32</v>
      </c>
      <c r="C10" s="63"/>
      <c r="D10" s="63"/>
      <c r="E10" s="71"/>
      <c r="F10" s="71"/>
      <c r="G10" s="71"/>
      <c r="H10" s="71"/>
      <c r="I10" s="71"/>
      <c r="J10" s="71"/>
      <c r="K10" s="71"/>
      <c r="L10" s="71"/>
      <c r="M10" s="71"/>
      <c r="N10" s="71"/>
      <c r="O10" s="71"/>
      <c r="P10" s="71"/>
      <c r="Q10" s="71"/>
      <c r="R10" s="71"/>
      <c r="S10" s="71"/>
      <c r="T10" s="71"/>
      <c r="U10" s="71"/>
      <c r="V10" s="71"/>
      <c r="W10" s="71"/>
      <c r="X10" s="71"/>
      <c r="Y10" s="71"/>
      <c r="Z10" s="66"/>
    </row>
    <row r="11" spans="1:26" s="75" customFormat="1" ht="24.6" customHeight="1" x14ac:dyDescent="0.25">
      <c r="A11" s="102"/>
      <c r="B11" s="72"/>
      <c r="C11" s="72"/>
      <c r="D11" s="72"/>
      <c r="E11" s="72"/>
      <c r="F11" s="73"/>
      <c r="G11" s="74"/>
      <c r="H11" s="73"/>
      <c r="I11" s="73"/>
      <c r="J11" s="73"/>
      <c r="K11" s="73"/>
      <c r="L11" s="73"/>
      <c r="M11" s="73"/>
      <c r="N11" s="73"/>
      <c r="O11" s="73"/>
      <c r="P11" s="73"/>
      <c r="Q11" s="73"/>
      <c r="R11" s="73"/>
      <c r="S11" s="73"/>
      <c r="T11" s="73"/>
      <c r="U11" s="73"/>
      <c r="V11" s="73"/>
      <c r="W11" s="73"/>
      <c r="X11" s="73"/>
      <c r="Y11" s="73"/>
      <c r="Z11" s="73"/>
    </row>
    <row r="13" spans="1:26" s="102" customFormat="1" ht="14.45" customHeight="1" x14ac:dyDescent="0.25">
      <c r="B13" s="853" t="str">
        <f>B8</f>
        <v>8.1. Fortalecimiento de los procesos I+D+i para la cadena de maíz y sus derivados.</v>
      </c>
      <c r="C13" s="852"/>
      <c r="D13" s="852"/>
      <c r="E13" s="852"/>
      <c r="F13" s="852"/>
      <c r="G13" s="852"/>
      <c r="H13" s="852"/>
      <c r="I13" s="326"/>
      <c r="X13" s="77"/>
    </row>
    <row r="14" spans="1:26" s="102" customFormat="1" ht="14.45" customHeight="1" x14ac:dyDescent="0.25">
      <c r="B14" s="852"/>
      <c r="C14" s="852"/>
      <c r="D14" s="852"/>
      <c r="E14" s="852"/>
      <c r="F14" s="852"/>
      <c r="G14" s="852"/>
      <c r="H14" s="852"/>
      <c r="I14" s="326"/>
      <c r="X14" s="77"/>
    </row>
    <row r="15" spans="1:26" s="102" customFormat="1" ht="43.5" customHeight="1" x14ac:dyDescent="0.25">
      <c r="B15" s="854" t="str">
        <f>Portafolio_Cadena_Maíz!H103</f>
        <v xml:space="preserve">8.1.1. Concertar y diseñar el modelo de I+D+i, asistencia técnica, y extensión agrícola e industrial, específico para la cadena de maíz, bajo los lineamientos del SNIA, PECTIA y los PDEA, con enfoque territorial y con la participación articulada de instituciones y actores públicos y privados, del ámbito nacional e internacional, considerando los proyectos ejecutados y en curso en I+D+i y las necesidades en desarrollos tecnológicos y en procesos de extensionismo, de la cadena maicera.  </v>
      </c>
      <c r="C15" s="855"/>
      <c r="D15" s="855"/>
      <c r="E15" s="855"/>
      <c r="F15" s="855"/>
      <c r="G15" s="855"/>
      <c r="H15" s="855"/>
      <c r="I15" s="414"/>
      <c r="X15" s="77"/>
    </row>
    <row r="16" spans="1:26" s="102" customFormat="1" ht="45.95" customHeight="1" x14ac:dyDescent="0.25">
      <c r="B16" s="854" t="str">
        <f>Portafolio_Cadena_Maíz!H104</f>
        <v xml:space="preserve">8.1.2. Conformar y fortalecer redes colaborativas bajo esquemas cooperativos de participación dinámica, conjunta y permanente entre los actores públicos y privados del ámbito subregional, regional, nacional e internacional, tales como los entes gubernamentales, la academia, las empresas privadas, entre otros, para la adquisición, modernización y aprovechamiento eficiente de la infraestructura, equipamientos y recursos dirigidos a I+D+i, transferencia de conocimientos y tecnologías, asistencia técnica, y extensión agrícola e industrial en la cadena de maíz, considerando las instancias, instrumentos y referentes internacionales, existentes en esta materia. </v>
      </c>
      <c r="C16" s="855"/>
      <c r="D16" s="855"/>
      <c r="E16" s="855"/>
      <c r="F16" s="855"/>
      <c r="G16" s="855"/>
      <c r="H16" s="855"/>
      <c r="I16" s="414"/>
      <c r="X16" s="77"/>
    </row>
    <row r="17" spans="2:24" s="102" customFormat="1" ht="47.1" customHeight="1" x14ac:dyDescent="0.25">
      <c r="B17" s="854" t="str">
        <f>Portafolio_Cadena_Maíz!H105</f>
        <v>8.1.3. Revisar, priorizar y actualizar el PECTIA para la cadena de maíz, bajo el liderazgo de Minagricultura y Agrosavia, en las líneas de investigación estratégicas concertadas por los actores, con énfasis en: material genético mejorado, manejo nutricional y poblacional, uso eficiente de insumos, rotación de cultivos, manejo de plagas y enfermedades, calidad e inocuidad, sostenibilidad ambiental, gestión climática, manejo de cosecha, poscosecha y transformación, y líneas productivas con mayor valor agregado tanto para consumo animal como humano, así como en otras líneas de investigación priorizadas por la cadena.</v>
      </c>
      <c r="C17" s="855"/>
      <c r="D17" s="855"/>
      <c r="E17" s="855"/>
      <c r="F17" s="855"/>
      <c r="G17" s="855"/>
      <c r="H17" s="855"/>
      <c r="I17" s="414"/>
      <c r="X17" s="77"/>
    </row>
    <row r="18" spans="2:24" ht="27.95" customHeight="1" x14ac:dyDescent="0.25">
      <c r="B18" s="854" t="str">
        <f>Portafolio_Cadena_Maíz!H106</f>
        <v xml:space="preserve">8.1.4. Diseñar una estrategia financiera para la articulación, concurrencia y gestión de fuentes de inversión y financiación públicas y privadas, dirigidas a la implementación del modelo I+D+i, asistencia técnica, y extensión agrícola e industrial de la cadena de maíz. </v>
      </c>
      <c r="C18" s="855"/>
      <c r="D18" s="855"/>
      <c r="E18" s="855"/>
      <c r="F18" s="855"/>
      <c r="G18" s="855"/>
      <c r="H18" s="855"/>
    </row>
    <row r="19" spans="2:24" ht="33" customHeight="1" x14ac:dyDescent="0.25">
      <c r="B19" s="854" t="str">
        <f>Portafolio_Cadena_Maíz!H107</f>
        <v xml:space="preserve">8.1.5. Implementar el modelo de I+D+i, con enfoque regional y con la participación articulada de instituciones y actores públicos y privados, del ámbito nacional e internacional, en las líneas de investigación estratégicas concertadas por la cadena maicera. </v>
      </c>
      <c r="C19" s="855"/>
      <c r="D19" s="855"/>
      <c r="E19" s="855"/>
      <c r="F19" s="855"/>
      <c r="G19" s="855"/>
      <c r="H19" s="855"/>
    </row>
    <row r="20" spans="2:24" ht="26.1" customHeight="1" x14ac:dyDescent="0.25">
      <c r="B20" s="854" t="str">
        <f>Portafolio_Cadena_Maíz!H108</f>
        <v>8.1.6. Conectar la oferta y la demanda de servicios de innovación para la cadena de maíz en propiedad intelectual, desarrollo de nuevos productos, optimización y desarrollo de nuevos procesos, inteligencia competitiva, entre otros, a través de instrumentos de política que promuevan la innovación.</v>
      </c>
      <c r="C20" s="855"/>
      <c r="D20" s="855"/>
      <c r="E20" s="855"/>
      <c r="F20" s="855"/>
      <c r="G20" s="855"/>
      <c r="H20" s="855"/>
    </row>
    <row r="21" spans="2:24" ht="30.6" customHeight="1" x14ac:dyDescent="0.25">
      <c r="B21" s="854" t="str">
        <f>Portafolio_Cadena_Maíz!H109</f>
        <v>8.1.7. Impulsar la creación, desarrollo y/o fortalecimiento de modelos y/o empresas especializadas en la prestación de servicios de asistencia técnica y extensión agrícola e industrial, a través de instrumentos financieros y no financieros.</v>
      </c>
      <c r="C21" s="855"/>
      <c r="D21" s="855"/>
      <c r="E21" s="855"/>
      <c r="F21" s="855"/>
      <c r="G21" s="855"/>
      <c r="H21" s="855"/>
    </row>
    <row r="22" spans="2:24" ht="25.5" customHeight="1" x14ac:dyDescent="0.25">
      <c r="B22" s="854" t="str">
        <f>Portafolio_Cadena_Maíz!H110</f>
        <v>8.1.8. Realizar el seguimiento y monitoreo de los avances en I+D+i de la cadena de maíz, considerando aspectos como vigilancia tecnológica e inteligencia competitiva y diseñar un mecanismo de monitoreo del nivel de adopción e impacto de las tecnologías generadas para esta cadena.</v>
      </c>
      <c r="C22" s="855"/>
      <c r="D22" s="855"/>
      <c r="E22" s="855"/>
      <c r="F22" s="855"/>
      <c r="G22" s="855"/>
      <c r="H22" s="855"/>
    </row>
    <row r="23" spans="2:24" ht="14.45" customHeight="1" x14ac:dyDescent="0.25">
      <c r="B23" s="854"/>
      <c r="C23" s="855"/>
      <c r="D23" s="855"/>
      <c r="E23" s="855"/>
      <c r="F23" s="855"/>
      <c r="G23" s="855"/>
      <c r="H23" s="855"/>
    </row>
    <row r="24" spans="2:24" s="102" customFormat="1" ht="15" x14ac:dyDescent="0.25">
      <c r="B24" s="858" t="s">
        <v>595</v>
      </c>
      <c r="C24" s="859"/>
      <c r="D24" s="859"/>
      <c r="E24" s="859"/>
      <c r="F24" s="859"/>
      <c r="G24" s="859"/>
      <c r="H24" s="859"/>
      <c r="I24" s="414"/>
      <c r="X24" s="77"/>
    </row>
    <row r="25" spans="2:24" ht="15" x14ac:dyDescent="0.25">
      <c r="B25" s="78" t="s">
        <v>68</v>
      </c>
      <c r="C25" s="78" t="s">
        <v>58</v>
      </c>
      <c r="D25" s="78" t="s">
        <v>55</v>
      </c>
      <c r="E25" s="78" t="s">
        <v>54</v>
      </c>
      <c r="F25" s="79" t="s">
        <v>96</v>
      </c>
      <c r="G25" s="78" t="s">
        <v>70</v>
      </c>
      <c r="H25" s="78" t="s">
        <v>71</v>
      </c>
      <c r="X25" s="80"/>
    </row>
    <row r="26" spans="2:24" x14ac:dyDescent="0.2">
      <c r="B26" s="155" t="s">
        <v>72</v>
      </c>
      <c r="C26" s="48">
        <v>4</v>
      </c>
      <c r="D26" s="48" t="s">
        <v>73</v>
      </c>
      <c r="E26" s="187">
        <v>500000</v>
      </c>
      <c r="F26" s="48"/>
      <c r="G26" s="48"/>
      <c r="H26" s="149">
        <f>+C26*E26</f>
        <v>2000000</v>
      </c>
      <c r="I26" s="52"/>
    </row>
    <row r="27" spans="2:24" x14ac:dyDescent="0.2">
      <c r="B27" s="155" t="s">
        <v>74</v>
      </c>
      <c r="C27" s="48">
        <v>7</v>
      </c>
      <c r="D27" s="48" t="s">
        <v>73</v>
      </c>
      <c r="E27" s="187">
        <v>100000</v>
      </c>
      <c r="F27" s="48"/>
      <c r="G27" s="48"/>
      <c r="H27" s="149">
        <f>+C27*E27</f>
        <v>700000</v>
      </c>
      <c r="I27" s="52"/>
    </row>
    <row r="28" spans="2:24" x14ac:dyDescent="0.2">
      <c r="B28" s="155" t="s">
        <v>271</v>
      </c>
      <c r="C28" s="48">
        <v>4</v>
      </c>
      <c r="D28" s="48" t="s">
        <v>73</v>
      </c>
      <c r="E28" s="187">
        <v>2300000</v>
      </c>
      <c r="F28" s="48"/>
      <c r="G28" s="48"/>
      <c r="H28" s="149">
        <f>+C28*E28</f>
        <v>9200000</v>
      </c>
      <c r="I28" s="52"/>
    </row>
    <row r="29" spans="2:24" x14ac:dyDescent="0.2">
      <c r="B29" s="155" t="s">
        <v>267</v>
      </c>
      <c r="C29" s="48">
        <v>7</v>
      </c>
      <c r="D29" s="48" t="s">
        <v>73</v>
      </c>
      <c r="E29" s="187">
        <v>2300000</v>
      </c>
      <c r="F29" s="48"/>
      <c r="G29" s="48"/>
      <c r="H29" s="149">
        <f>+C29*E29</f>
        <v>16100000</v>
      </c>
      <c r="I29" s="52"/>
    </row>
    <row r="30" spans="2:24" x14ac:dyDescent="0.2">
      <c r="B30" s="155" t="s">
        <v>278</v>
      </c>
      <c r="C30" s="48">
        <v>19</v>
      </c>
      <c r="D30" s="48" t="s">
        <v>73</v>
      </c>
      <c r="E30" s="148">
        <v>460000</v>
      </c>
      <c r="F30" s="48"/>
      <c r="G30" s="48"/>
      <c r="H30" s="149">
        <f>+C30*E30</f>
        <v>8740000</v>
      </c>
      <c r="I30" s="52"/>
    </row>
    <row r="31" spans="2:24" x14ac:dyDescent="0.2">
      <c r="B31" s="155" t="s">
        <v>210</v>
      </c>
      <c r="C31" s="48">
        <v>4</v>
      </c>
      <c r="D31" s="48" t="s">
        <v>180</v>
      </c>
      <c r="E31" s="148">
        <v>9907096</v>
      </c>
      <c r="F31" s="96">
        <v>1</v>
      </c>
      <c r="G31" s="48">
        <v>12</v>
      </c>
      <c r="H31" s="149">
        <f>+C31*E31*F31*G31</f>
        <v>475540608</v>
      </c>
      <c r="I31" s="52"/>
    </row>
    <row r="32" spans="2:24" x14ac:dyDescent="0.2">
      <c r="B32" s="155" t="s">
        <v>80</v>
      </c>
      <c r="C32" s="48">
        <v>3</v>
      </c>
      <c r="D32" s="48" t="s">
        <v>73</v>
      </c>
      <c r="E32" s="148">
        <v>2774088</v>
      </c>
      <c r="F32" s="48"/>
      <c r="G32" s="48">
        <v>3</v>
      </c>
      <c r="H32" s="149">
        <f>+C32*E32*G32</f>
        <v>24966792</v>
      </c>
      <c r="I32" s="52"/>
    </row>
    <row r="33" spans="1:24" x14ac:dyDescent="0.2">
      <c r="B33" s="156" t="s">
        <v>288</v>
      </c>
      <c r="C33" s="48">
        <v>4</v>
      </c>
      <c r="D33" s="48" t="s">
        <v>169</v>
      </c>
      <c r="E33" s="148">
        <v>2000000</v>
      </c>
      <c r="F33" s="96"/>
      <c r="G33" s="48">
        <v>4</v>
      </c>
      <c r="H33" s="149">
        <f>+C33*E33*G33</f>
        <v>32000000</v>
      </c>
      <c r="I33" s="52"/>
    </row>
    <row r="34" spans="1:24" x14ac:dyDescent="0.2">
      <c r="B34" s="156" t="s">
        <v>289</v>
      </c>
      <c r="C34" s="48">
        <v>4</v>
      </c>
      <c r="D34" s="48" t="s">
        <v>180</v>
      </c>
      <c r="E34" s="180">
        <v>2967610</v>
      </c>
      <c r="F34" s="363"/>
      <c r="G34" s="46">
        <v>3</v>
      </c>
      <c r="H34" s="149">
        <f>+C34*E34*G34</f>
        <v>35611320</v>
      </c>
      <c r="I34" s="52"/>
    </row>
    <row r="35" spans="1:24" x14ac:dyDescent="0.2">
      <c r="B35" s="155" t="s">
        <v>228</v>
      </c>
      <c r="C35" s="48">
        <v>7</v>
      </c>
      <c r="D35" s="48" t="s">
        <v>284</v>
      </c>
      <c r="E35" s="148">
        <v>6604729</v>
      </c>
      <c r="F35" s="96">
        <v>1</v>
      </c>
      <c r="G35" s="48">
        <v>12</v>
      </c>
      <c r="H35" s="149">
        <f>+C35*E35*F35*G35</f>
        <v>554797236</v>
      </c>
      <c r="I35" s="52"/>
    </row>
    <row r="36" spans="1:24" x14ac:dyDescent="0.2">
      <c r="B36" s="48" t="s">
        <v>56</v>
      </c>
      <c r="C36" s="48">
        <v>7</v>
      </c>
      <c r="D36" s="48" t="s">
        <v>169</v>
      </c>
      <c r="E36" s="148">
        <v>1300000</v>
      </c>
      <c r="F36" s="48"/>
      <c r="G36" s="48">
        <v>12</v>
      </c>
      <c r="H36" s="149">
        <f>+C36*E36*G36</f>
        <v>109200000</v>
      </c>
      <c r="I36" s="52"/>
    </row>
    <row r="37" spans="1:24" x14ac:dyDescent="0.2">
      <c r="B37" s="48" t="s">
        <v>178</v>
      </c>
      <c r="C37" s="48">
        <f>+C35</f>
        <v>7</v>
      </c>
      <c r="D37" s="48" t="s">
        <v>169</v>
      </c>
      <c r="E37" s="148">
        <v>155000</v>
      </c>
      <c r="F37" s="48"/>
      <c r="G37" s="48">
        <v>12</v>
      </c>
      <c r="H37" s="149">
        <f>+C37*E37*G37</f>
        <v>13020000</v>
      </c>
      <c r="I37" s="52"/>
    </row>
    <row r="38" spans="1:24" x14ac:dyDescent="0.2">
      <c r="B38" s="156" t="s">
        <v>353</v>
      </c>
      <c r="C38" s="48">
        <v>7</v>
      </c>
      <c r="D38" s="48" t="s">
        <v>290</v>
      </c>
      <c r="E38" s="148">
        <v>8954882.5200000014</v>
      </c>
      <c r="F38" s="96"/>
      <c r="G38" s="48"/>
      <c r="H38" s="149">
        <f>+C38*E38</f>
        <v>62684177.640000008</v>
      </c>
      <c r="I38" s="52"/>
    </row>
    <row r="39" spans="1:24" x14ac:dyDescent="0.2">
      <c r="B39" s="156" t="s">
        <v>354</v>
      </c>
      <c r="C39" s="48">
        <v>3</v>
      </c>
      <c r="D39" s="48" t="s">
        <v>290</v>
      </c>
      <c r="E39" s="148">
        <v>19476574.949999999</v>
      </c>
      <c r="F39" s="96"/>
      <c r="G39" s="48"/>
      <c r="H39" s="149">
        <f>+C39*E39</f>
        <v>58429724.849999994</v>
      </c>
      <c r="I39" s="52"/>
    </row>
    <row r="40" spans="1:24" x14ac:dyDescent="0.2">
      <c r="B40" s="156" t="s">
        <v>355</v>
      </c>
      <c r="C40" s="48">
        <v>2</v>
      </c>
      <c r="D40" s="48" t="s">
        <v>290</v>
      </c>
      <c r="E40" s="148">
        <v>39597849.755999997</v>
      </c>
      <c r="F40" s="96"/>
      <c r="G40" s="48"/>
      <c r="H40" s="149">
        <f>+C40*E40</f>
        <v>79195699.511999995</v>
      </c>
      <c r="I40" s="52"/>
    </row>
    <row r="41" spans="1:24" x14ac:dyDescent="0.2">
      <c r="B41" s="156" t="s">
        <v>291</v>
      </c>
      <c r="C41" s="48"/>
      <c r="D41" s="48"/>
      <c r="E41" s="148"/>
      <c r="F41" s="96"/>
      <c r="G41" s="48"/>
      <c r="H41" s="149" t="s">
        <v>67</v>
      </c>
      <c r="I41" s="52"/>
    </row>
    <row r="42" spans="1:24" x14ac:dyDescent="0.2">
      <c r="B42" s="190" t="s">
        <v>292</v>
      </c>
      <c r="C42" s="48"/>
      <c r="D42" s="48"/>
      <c r="E42" s="148"/>
      <c r="F42" s="48"/>
      <c r="G42" s="48"/>
      <c r="H42" s="149" t="s">
        <v>67</v>
      </c>
      <c r="I42" s="52"/>
    </row>
    <row r="43" spans="1:24" ht="15" x14ac:dyDescent="0.25">
      <c r="B43" s="85" t="s">
        <v>32</v>
      </c>
      <c r="C43" s="86"/>
      <c r="D43" s="86"/>
      <c r="E43" s="86"/>
      <c r="F43" s="87"/>
      <c r="G43" s="87"/>
      <c r="H43" s="114">
        <f>SUM(H26:H42)</f>
        <v>1482185558.0020001</v>
      </c>
      <c r="I43" s="137"/>
      <c r="J43" s="102"/>
    </row>
    <row r="44" spans="1:24" ht="15" x14ac:dyDescent="0.25">
      <c r="B44" s="85" t="s">
        <v>269</v>
      </c>
      <c r="C44" s="86"/>
      <c r="D44" s="86"/>
      <c r="E44" s="86"/>
      <c r="F44" s="87"/>
      <c r="G44" s="87"/>
      <c r="H44" s="114">
        <f>+H43/12</f>
        <v>123515463.16683334</v>
      </c>
      <c r="I44" s="137"/>
      <c r="J44" s="102"/>
    </row>
    <row r="45" spans="1:24" s="102" customFormat="1" ht="245.25" customHeight="1" x14ac:dyDescent="0.2">
      <c r="B45" s="188" t="s">
        <v>356</v>
      </c>
      <c r="C45" s="89"/>
      <c r="D45" s="89"/>
      <c r="E45" s="89"/>
      <c r="F45" s="89"/>
      <c r="G45" s="89"/>
      <c r="H45" s="89"/>
    </row>
    <row r="46" spans="1:24" ht="15" x14ac:dyDescent="0.25">
      <c r="B46" s="325"/>
      <c r="C46" s="325"/>
      <c r="D46" s="325"/>
      <c r="E46" s="325"/>
      <c r="F46" s="325"/>
      <c r="G46" s="325"/>
      <c r="H46" s="325"/>
      <c r="I46" s="90"/>
    </row>
    <row r="47" spans="1:24" s="102" customFormat="1" ht="21.75" customHeight="1" x14ac:dyDescent="0.2">
      <c r="A47" s="91"/>
      <c r="B47" s="862" t="str">
        <f>B9</f>
        <v>8.2. Fortalecimiento del talento humano en I+D+i, y en extensionismo agrícola e industrial.</v>
      </c>
      <c r="C47" s="863"/>
      <c r="D47" s="863"/>
      <c r="E47" s="863"/>
      <c r="F47" s="863"/>
      <c r="G47" s="863"/>
      <c r="H47" s="863"/>
      <c r="I47" s="101"/>
    </row>
    <row r="48" spans="1:24" s="102" customFormat="1" ht="29.45" customHeight="1" x14ac:dyDescent="0.25">
      <c r="B48" s="854" t="str">
        <f>Portafolio_Cadena_Maíz!H111</f>
        <v>8.2.1. Identificar y evaluar la oferta de formación, capacitación y cobertura de investigadores, profesionales, técnicos y tecnólogos, realizando un análisis de brechas de formación, en temas específicos requeridos por la cadena de maíz.</v>
      </c>
      <c r="C48" s="855"/>
      <c r="D48" s="855"/>
      <c r="E48" s="855"/>
      <c r="F48" s="855"/>
      <c r="G48" s="855"/>
      <c r="H48" s="855"/>
      <c r="I48" s="414"/>
      <c r="X48" s="77"/>
    </row>
    <row r="49" spans="1:24" s="102" customFormat="1" ht="30.6" customHeight="1" x14ac:dyDescent="0.25">
      <c r="B49" s="854" t="str">
        <f>Portafolio_Cadena_Maíz!H112</f>
        <v>8.2.2. Promover acuerdos con instituciones educativas para fortalecer la formación en las áreas básicas del conocimiento y en las áreas temáticas, acordes con las necesidades de I+D+i y transferencia de tecnologías, de la cadena de maíz.</v>
      </c>
      <c r="C49" s="855"/>
      <c r="D49" s="855"/>
      <c r="E49" s="855"/>
      <c r="F49" s="855"/>
      <c r="G49" s="855"/>
      <c r="H49" s="855"/>
      <c r="I49" s="414"/>
      <c r="X49" s="77"/>
    </row>
    <row r="50" spans="1:24" s="102" customFormat="1" ht="28.5" customHeight="1" x14ac:dyDescent="0.25">
      <c r="B50" s="854" t="str">
        <f>Portafolio_Cadena_Maíz!H113</f>
        <v>8.2.3. Promover el diseño, mejora y/o actualización de los programas de formación integral y capacitación por competencias, y desarrollo de habilidades prácticas, a los extensionistas y asistentes técnicos agrícolas e industriales, para la cadena de maíz.</v>
      </c>
      <c r="C50" s="855"/>
      <c r="D50" s="855"/>
      <c r="E50" s="855"/>
      <c r="F50" s="855"/>
      <c r="G50" s="855"/>
      <c r="H50" s="855"/>
      <c r="I50" s="414"/>
      <c r="X50" s="77"/>
    </row>
    <row r="51" spans="1:24" ht="31.5" customHeight="1" x14ac:dyDescent="0.25">
      <c r="B51" s="854" t="str">
        <f>Portafolio_Cadena_Maíz!H114</f>
        <v xml:space="preserve">8.2.4. Elaborar y estandarizar módulos de capacitación para su integración en programas de acompañamiento técnico dirigidos a la adopción de los desarrollos tecnológicos generados para la cadena de maíz, con enfoque regional, teniendo en cuenta el modelo de I+D+i, asistencia técnica, y extensión agrícola e industrial para la cadena de maíz. </v>
      </c>
      <c r="C51" s="855"/>
      <c r="D51" s="855"/>
      <c r="E51" s="855"/>
      <c r="F51" s="855"/>
      <c r="G51" s="855"/>
      <c r="H51" s="855"/>
    </row>
    <row r="52" spans="1:24" ht="15" x14ac:dyDescent="0.25">
      <c r="B52" s="854" t="str">
        <f>Portafolio_Cadena_Maíz!H115</f>
        <v>8.2.5. Formar capital humano en competencias, habilidades y destrezas para estructuración y gestión de proyectos de I+D+i para la cadena.</v>
      </c>
      <c r="C52" s="855"/>
      <c r="D52" s="855"/>
      <c r="E52" s="855"/>
      <c r="F52" s="855"/>
      <c r="G52" s="855"/>
      <c r="H52" s="855"/>
    </row>
    <row r="53" spans="1:24" ht="32.450000000000003" customHeight="1" x14ac:dyDescent="0.25">
      <c r="B53" s="854" t="str">
        <f>Portafolio_Cadena_Maíz!H116</f>
        <v>8.2.6. Identificar, seleccionar y capacitar a los extensionistas y asistentes técnicos agrícolas e industriales, en material genético, manejo nutricional (suelos y aguas), manejo poblacional, rotación de cultivos, uso eficiente de insumos (semillas, fertilizantes, agroquímicos y bioinsumos), manejo poscosecha, manejo de equipos para trilla, procesamiento de maíz y fabricación de derivados, entre otros.</v>
      </c>
      <c r="C53" s="855"/>
      <c r="D53" s="855"/>
      <c r="E53" s="855"/>
      <c r="F53" s="855"/>
      <c r="G53" s="855"/>
      <c r="H53" s="855"/>
    </row>
    <row r="54" spans="1:24" ht="30.6" customHeight="1" x14ac:dyDescent="0.25">
      <c r="B54" s="854" t="str">
        <f>Portafolio_Cadena_Maíz!H117</f>
        <v>8.2.7.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y con los sistemas de producción.</v>
      </c>
      <c r="C54" s="855"/>
      <c r="D54" s="855"/>
      <c r="E54" s="855"/>
      <c r="F54" s="855"/>
      <c r="G54" s="855"/>
      <c r="H54" s="855"/>
    </row>
    <row r="55" spans="1:24" ht="30.6" customHeight="1" x14ac:dyDescent="0.25">
      <c r="B55" s="396"/>
      <c r="C55" s="415"/>
      <c r="D55" s="415"/>
      <c r="E55" s="415"/>
      <c r="F55" s="415"/>
      <c r="G55" s="415"/>
      <c r="H55" s="415"/>
    </row>
    <row r="56" spans="1:24" ht="15" x14ac:dyDescent="0.25">
      <c r="B56" s="858" t="s">
        <v>595</v>
      </c>
      <c r="C56" s="859"/>
      <c r="D56" s="859"/>
      <c r="E56" s="859"/>
      <c r="F56" s="859"/>
      <c r="G56" s="859"/>
      <c r="H56" s="859"/>
    </row>
    <row r="57" spans="1:24" ht="15" x14ac:dyDescent="0.25">
      <c r="B57" s="78" t="s">
        <v>68</v>
      </c>
      <c r="C57" s="78" t="s">
        <v>58</v>
      </c>
      <c r="D57" s="78" t="s">
        <v>55</v>
      </c>
      <c r="E57" s="78" t="s">
        <v>54</v>
      </c>
      <c r="F57" s="78" t="s">
        <v>69</v>
      </c>
      <c r="G57" s="78" t="s">
        <v>70</v>
      </c>
      <c r="H57" s="78" t="s">
        <v>71</v>
      </c>
    </row>
    <row r="58" spans="1:24" s="102" customFormat="1" x14ac:dyDescent="0.2">
      <c r="A58" s="92"/>
      <c r="B58" s="279" t="s">
        <v>72</v>
      </c>
      <c r="C58" s="104">
        <v>4</v>
      </c>
      <c r="D58" s="104" t="s">
        <v>73</v>
      </c>
      <c r="E58" s="81">
        <v>500000</v>
      </c>
      <c r="F58" s="104"/>
      <c r="G58" s="104"/>
      <c r="H58" s="81">
        <f>+C58*E58</f>
        <v>2000000</v>
      </c>
      <c r="I58" s="52"/>
    </row>
    <row r="59" spans="1:24" s="102" customFormat="1" x14ac:dyDescent="0.2">
      <c r="B59" s="372" t="s">
        <v>74</v>
      </c>
      <c r="C59" s="46">
        <v>19</v>
      </c>
      <c r="D59" s="46" t="s">
        <v>73</v>
      </c>
      <c r="E59" s="149">
        <v>100000</v>
      </c>
      <c r="F59" s="46"/>
      <c r="G59" s="46"/>
      <c r="H59" s="149">
        <f t="shared" ref="H59:H74" si="3">+C59*E59</f>
        <v>1900000</v>
      </c>
      <c r="I59" s="52"/>
    </row>
    <row r="60" spans="1:24" s="102" customFormat="1" x14ac:dyDescent="0.2">
      <c r="A60" s="92"/>
      <c r="B60" s="278" t="s">
        <v>271</v>
      </c>
      <c r="C60" s="46">
        <v>4</v>
      </c>
      <c r="D60" s="46" t="s">
        <v>73</v>
      </c>
      <c r="E60" s="149">
        <v>2300000</v>
      </c>
      <c r="F60" s="46"/>
      <c r="G60" s="46"/>
      <c r="H60" s="149">
        <f t="shared" si="3"/>
        <v>9200000</v>
      </c>
      <c r="I60" s="52"/>
    </row>
    <row r="61" spans="1:24" s="102" customFormat="1" x14ac:dyDescent="0.2">
      <c r="A61" s="92"/>
      <c r="B61" s="278" t="s">
        <v>267</v>
      </c>
      <c r="C61" s="46">
        <v>7</v>
      </c>
      <c r="D61" s="46" t="s">
        <v>73</v>
      </c>
      <c r="E61" s="149">
        <v>2300000</v>
      </c>
      <c r="F61" s="46"/>
      <c r="G61" s="46"/>
      <c r="H61" s="149">
        <f t="shared" si="3"/>
        <v>16100000</v>
      </c>
      <c r="I61" s="52"/>
    </row>
    <row r="62" spans="1:24" s="102" customFormat="1" x14ac:dyDescent="0.2">
      <c r="B62" s="278" t="s">
        <v>278</v>
      </c>
      <c r="C62" s="46">
        <v>19</v>
      </c>
      <c r="D62" s="46" t="s">
        <v>73</v>
      </c>
      <c r="E62" s="149">
        <v>460000</v>
      </c>
      <c r="F62" s="46"/>
      <c r="G62" s="46"/>
      <c r="H62" s="149">
        <f t="shared" si="3"/>
        <v>8740000</v>
      </c>
      <c r="I62" s="52"/>
    </row>
    <row r="63" spans="1:24" s="102" customFormat="1" x14ac:dyDescent="0.2">
      <c r="B63" s="278" t="s">
        <v>192</v>
      </c>
      <c r="C63" s="46">
        <v>4</v>
      </c>
      <c r="D63" s="46" t="s">
        <v>73</v>
      </c>
      <c r="E63" s="149">
        <v>2000000</v>
      </c>
      <c r="F63" s="46"/>
      <c r="G63" s="46"/>
      <c r="H63" s="149">
        <f>+C63*E63</f>
        <v>8000000</v>
      </c>
      <c r="I63" s="52"/>
    </row>
    <row r="64" spans="1:24" s="102" customFormat="1" x14ac:dyDescent="0.2">
      <c r="B64" s="278" t="s">
        <v>281</v>
      </c>
      <c r="C64" s="46">
        <v>19</v>
      </c>
      <c r="D64" s="46" t="s">
        <v>73</v>
      </c>
      <c r="E64" s="149">
        <v>5170000</v>
      </c>
      <c r="F64" s="46"/>
      <c r="G64" s="46"/>
      <c r="H64" s="149">
        <f>+C64*E64</f>
        <v>98230000</v>
      </c>
      <c r="I64" s="52"/>
    </row>
    <row r="65" spans="2:9" s="102" customFormat="1" x14ac:dyDescent="0.2">
      <c r="B65" s="278" t="s">
        <v>234</v>
      </c>
      <c r="C65" s="46">
        <v>19</v>
      </c>
      <c r="D65" s="46" t="s">
        <v>73</v>
      </c>
      <c r="E65" s="149">
        <v>3270000</v>
      </c>
      <c r="F65" s="46"/>
      <c r="G65" s="46"/>
      <c r="H65" s="149">
        <f>+C65*E65</f>
        <v>62130000</v>
      </c>
      <c r="I65" s="52"/>
    </row>
    <row r="66" spans="2:9" x14ac:dyDescent="0.2">
      <c r="B66" s="373" t="s">
        <v>76</v>
      </c>
      <c r="C66" s="46">
        <v>19</v>
      </c>
      <c r="D66" s="46" t="s">
        <v>274</v>
      </c>
      <c r="E66" s="180">
        <v>6000000</v>
      </c>
      <c r="F66" s="46"/>
      <c r="G66" s="46"/>
      <c r="H66" s="149">
        <f>+C66*E66</f>
        <v>114000000</v>
      </c>
      <c r="I66" s="52"/>
    </row>
    <row r="67" spans="2:9" x14ac:dyDescent="0.2">
      <c r="B67" s="373" t="s">
        <v>77</v>
      </c>
      <c r="C67" s="46">
        <f>+C66*5</f>
        <v>95</v>
      </c>
      <c r="D67" s="46" t="s">
        <v>73</v>
      </c>
      <c r="E67" s="180">
        <v>1800000</v>
      </c>
      <c r="F67" s="46"/>
      <c r="G67" s="46"/>
      <c r="H67" s="149">
        <f t="shared" si="3"/>
        <v>171000000</v>
      </c>
      <c r="I67" s="52"/>
    </row>
    <row r="68" spans="2:9" x14ac:dyDescent="0.2">
      <c r="B68" s="372" t="s">
        <v>162</v>
      </c>
      <c r="C68" s="46">
        <v>19</v>
      </c>
      <c r="D68" s="46" t="s">
        <v>284</v>
      </c>
      <c r="E68" s="180">
        <v>1500000</v>
      </c>
      <c r="F68" s="374"/>
      <c r="G68" s="46"/>
      <c r="H68" s="149">
        <f t="shared" si="3"/>
        <v>28500000</v>
      </c>
      <c r="I68" s="52"/>
    </row>
    <row r="69" spans="2:9" x14ac:dyDescent="0.2">
      <c r="B69" s="372" t="s">
        <v>78</v>
      </c>
      <c r="C69" s="46">
        <f>+C68*5</f>
        <v>95</v>
      </c>
      <c r="D69" s="46" t="s">
        <v>73</v>
      </c>
      <c r="E69" s="180">
        <v>450000</v>
      </c>
      <c r="F69" s="363"/>
      <c r="G69" s="46"/>
      <c r="H69" s="149">
        <f t="shared" si="3"/>
        <v>42750000</v>
      </c>
      <c r="I69" s="52"/>
    </row>
    <row r="70" spans="2:9" x14ac:dyDescent="0.2">
      <c r="B70" s="372" t="s">
        <v>175</v>
      </c>
      <c r="C70" s="46">
        <v>19</v>
      </c>
      <c r="D70" s="46" t="s">
        <v>284</v>
      </c>
      <c r="E70" s="180">
        <v>3000000</v>
      </c>
      <c r="F70" s="363"/>
      <c r="G70" s="46"/>
      <c r="H70" s="149">
        <f t="shared" si="3"/>
        <v>57000000</v>
      </c>
      <c r="I70" s="52"/>
    </row>
    <row r="71" spans="2:9" x14ac:dyDescent="0.2">
      <c r="B71" s="372" t="s">
        <v>283</v>
      </c>
      <c r="C71" s="46">
        <f>+C70*5</f>
        <v>95</v>
      </c>
      <c r="D71" s="46" t="s">
        <v>73</v>
      </c>
      <c r="E71" s="180">
        <v>900000</v>
      </c>
      <c r="F71" s="363"/>
      <c r="G71" s="46"/>
      <c r="H71" s="149">
        <f t="shared" si="3"/>
        <v>85500000</v>
      </c>
      <c r="I71" s="52"/>
    </row>
    <row r="72" spans="2:9" x14ac:dyDescent="0.2">
      <c r="B72" s="372" t="s">
        <v>293</v>
      </c>
      <c r="C72" s="46">
        <v>7</v>
      </c>
      <c r="D72" s="46" t="s">
        <v>284</v>
      </c>
      <c r="E72" s="180">
        <v>30000000</v>
      </c>
      <c r="F72" s="363">
        <v>0.3</v>
      </c>
      <c r="G72" s="46"/>
      <c r="H72" s="149">
        <f t="shared" si="3"/>
        <v>210000000</v>
      </c>
      <c r="I72" s="52"/>
    </row>
    <row r="73" spans="2:9" x14ac:dyDescent="0.2">
      <c r="B73" s="372" t="s">
        <v>294</v>
      </c>
      <c r="C73" s="46">
        <v>7</v>
      </c>
      <c r="D73" s="46" t="s">
        <v>284</v>
      </c>
      <c r="E73" s="180">
        <v>45000000</v>
      </c>
      <c r="F73" s="363">
        <v>0.3</v>
      </c>
      <c r="G73" s="46"/>
      <c r="H73" s="149">
        <f t="shared" si="3"/>
        <v>315000000</v>
      </c>
      <c r="I73" s="52"/>
    </row>
    <row r="74" spans="2:9" x14ac:dyDescent="0.2">
      <c r="B74" s="372" t="s">
        <v>295</v>
      </c>
      <c r="C74" s="46">
        <v>4</v>
      </c>
      <c r="D74" s="46" t="s">
        <v>284</v>
      </c>
      <c r="E74" s="180">
        <v>100000000</v>
      </c>
      <c r="F74" s="363">
        <v>0.3</v>
      </c>
      <c r="G74" s="46"/>
      <c r="H74" s="149">
        <f t="shared" si="3"/>
        <v>400000000</v>
      </c>
      <c r="I74" s="52"/>
    </row>
    <row r="75" spans="2:9" x14ac:dyDescent="0.2">
      <c r="B75" s="372" t="s">
        <v>79</v>
      </c>
      <c r="C75" s="46">
        <v>2</v>
      </c>
      <c r="D75" s="46" t="s">
        <v>284</v>
      </c>
      <c r="E75" s="180">
        <v>7862772</v>
      </c>
      <c r="F75" s="363">
        <v>1</v>
      </c>
      <c r="G75" s="46">
        <v>12</v>
      </c>
      <c r="H75" s="149">
        <f>+C75*E75*F75*G75</f>
        <v>188706528</v>
      </c>
      <c r="I75" s="52"/>
    </row>
    <row r="76" spans="2:9" x14ac:dyDescent="0.2">
      <c r="B76" s="372" t="s">
        <v>80</v>
      </c>
      <c r="C76" s="46">
        <v>2</v>
      </c>
      <c r="D76" s="46" t="s">
        <v>169</v>
      </c>
      <c r="E76" s="180">
        <v>2282805</v>
      </c>
      <c r="F76" s="46"/>
      <c r="G76" s="46">
        <v>3</v>
      </c>
      <c r="H76" s="149">
        <f>+C76*E76*G76</f>
        <v>13696830</v>
      </c>
      <c r="I76" s="52"/>
    </row>
    <row r="77" spans="2:9" x14ac:dyDescent="0.2">
      <c r="B77" s="372" t="s">
        <v>296</v>
      </c>
      <c r="C77" s="46">
        <v>2</v>
      </c>
      <c r="D77" s="46" t="s">
        <v>169</v>
      </c>
      <c r="E77" s="180">
        <v>2000000</v>
      </c>
      <c r="F77" s="46"/>
      <c r="G77" s="46">
        <v>2</v>
      </c>
      <c r="H77" s="149">
        <f>+C77*E77*G77</f>
        <v>8000000</v>
      </c>
      <c r="I77" s="52"/>
    </row>
    <row r="78" spans="2:9" x14ac:dyDescent="0.2">
      <c r="B78" s="372" t="s">
        <v>289</v>
      </c>
      <c r="C78" s="46">
        <v>2</v>
      </c>
      <c r="D78" s="46" t="s">
        <v>169</v>
      </c>
      <c r="E78" s="180">
        <v>1690926</v>
      </c>
      <c r="F78" s="46"/>
      <c r="G78" s="46">
        <v>2</v>
      </c>
      <c r="H78" s="149">
        <f>+C78*E78*G78</f>
        <v>6763704</v>
      </c>
      <c r="I78" s="52"/>
    </row>
    <row r="79" spans="2:9" x14ac:dyDescent="0.2">
      <c r="B79" s="372" t="s">
        <v>228</v>
      </c>
      <c r="C79" s="46">
        <v>7</v>
      </c>
      <c r="D79" s="46" t="s">
        <v>284</v>
      </c>
      <c r="E79" s="180">
        <v>6604729</v>
      </c>
      <c r="F79" s="363">
        <v>1</v>
      </c>
      <c r="G79" s="46">
        <v>12</v>
      </c>
      <c r="H79" s="149">
        <f>+C79*E79*F79*G79</f>
        <v>554797236</v>
      </c>
      <c r="I79" s="52"/>
    </row>
    <row r="80" spans="2:9" x14ac:dyDescent="0.2">
      <c r="B80" s="372" t="s">
        <v>56</v>
      </c>
      <c r="C80" s="46">
        <f>+C79</f>
        <v>7</v>
      </c>
      <c r="D80" s="46" t="s">
        <v>169</v>
      </c>
      <c r="E80" s="180">
        <v>1300000</v>
      </c>
      <c r="F80" s="46"/>
      <c r="G80" s="46">
        <v>12</v>
      </c>
      <c r="H80" s="149">
        <f>+C80*E80*G80</f>
        <v>109200000</v>
      </c>
      <c r="I80" s="52"/>
    </row>
    <row r="81" spans="2:9" x14ac:dyDescent="0.2">
      <c r="B81" s="372" t="s">
        <v>178</v>
      </c>
      <c r="C81" s="46">
        <f>+C79</f>
        <v>7</v>
      </c>
      <c r="D81" s="46" t="s">
        <v>169</v>
      </c>
      <c r="E81" s="180">
        <v>155000</v>
      </c>
      <c r="F81" s="46"/>
      <c r="G81" s="46">
        <v>12</v>
      </c>
      <c r="H81" s="149">
        <f>+C81*E81*G81</f>
        <v>13020000</v>
      </c>
      <c r="I81" s="52"/>
    </row>
    <row r="82" spans="2:9" x14ac:dyDescent="0.2">
      <c r="B82" s="372" t="s">
        <v>297</v>
      </c>
      <c r="C82" s="375"/>
      <c r="D82" s="375"/>
      <c r="E82" s="191"/>
      <c r="F82" s="376"/>
      <c r="G82" s="375"/>
      <c r="H82" s="191" t="s">
        <v>67</v>
      </c>
      <c r="I82" s="52"/>
    </row>
    <row r="83" spans="2:9" ht="15" x14ac:dyDescent="0.25">
      <c r="B83" s="85" t="s">
        <v>85</v>
      </c>
      <c r="C83" s="86"/>
      <c r="D83" s="86"/>
      <c r="E83" s="87"/>
      <c r="F83" s="87"/>
      <c r="G83" s="86"/>
      <c r="H83" s="98">
        <f>SUM(H58:H82)</f>
        <v>2524234298</v>
      </c>
      <c r="I83" s="52"/>
    </row>
    <row r="84" spans="2:9" ht="15" x14ac:dyDescent="0.25">
      <c r="B84" s="85" t="s">
        <v>269</v>
      </c>
      <c r="C84" s="86"/>
      <c r="D84" s="86"/>
      <c r="E84" s="87"/>
      <c r="F84" s="87"/>
      <c r="G84" s="86"/>
      <c r="H84" s="98">
        <f>+H83/12</f>
        <v>210352858.16666666</v>
      </c>
      <c r="I84" s="52"/>
    </row>
    <row r="85" spans="2:9" ht="199.5" customHeight="1" x14ac:dyDescent="0.2">
      <c r="B85" s="192" t="s">
        <v>357</v>
      </c>
      <c r="C85" s="102"/>
      <c r="D85" s="102"/>
      <c r="E85" s="102"/>
      <c r="F85" s="77"/>
      <c r="G85" s="77"/>
      <c r="H85" s="102"/>
    </row>
    <row r="86" spans="2:9" x14ac:dyDescent="0.2">
      <c r="B86" s="102"/>
      <c r="C86" s="102"/>
      <c r="D86" s="102"/>
      <c r="E86" s="102"/>
      <c r="F86" s="102"/>
      <c r="G86" s="102"/>
    </row>
  </sheetData>
  <sheetProtection algorithmName="SHA-512" hashValue="71kvRAxEzVOFMalJ8O2BJ3vvNxRwEJlBX8gXvnTk+WZaZ3+kKdInpNbYXfEZgI+HWRJdLYc5QtwSSn2lSkKD9g==" saltValue="n6zTkm3qXfDH1Zk9PqU/lw==" spinCount="100000" sheet="1" objects="1" scenarios="1"/>
  <mergeCells count="20">
    <mergeCell ref="B13:H14"/>
    <mergeCell ref="B47:H47"/>
    <mergeCell ref="B15:H15"/>
    <mergeCell ref="B16:H16"/>
    <mergeCell ref="B17:H17"/>
    <mergeCell ref="B18:H18"/>
    <mergeCell ref="B24:H24"/>
    <mergeCell ref="B19:H19"/>
    <mergeCell ref="B20:H20"/>
    <mergeCell ref="B21:H21"/>
    <mergeCell ref="B22:H22"/>
    <mergeCell ref="B23:H23"/>
    <mergeCell ref="B53:H53"/>
    <mergeCell ref="B54:H54"/>
    <mergeCell ref="B56:H56"/>
    <mergeCell ref="B48:H48"/>
    <mergeCell ref="B49:H49"/>
    <mergeCell ref="B50:H50"/>
    <mergeCell ref="B51:H51"/>
    <mergeCell ref="B52:H5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77"/>
  <sheetViews>
    <sheetView showGridLines="0" zoomScale="70" zoomScaleNormal="70" workbookViewId="0">
      <selection activeCell="A161" sqref="A161:XFD161"/>
    </sheetView>
  </sheetViews>
  <sheetFormatPr baseColWidth="10" defaultColWidth="10.7109375" defaultRowHeight="14.25" x14ac:dyDescent="0.2"/>
  <cols>
    <col min="1" max="1" width="13.42578125" style="216" customWidth="1"/>
    <col min="2" max="2" width="67.42578125" style="216" customWidth="1"/>
    <col min="3" max="3" width="26.5703125" style="216" customWidth="1"/>
    <col min="4" max="4" width="23" style="216" customWidth="1"/>
    <col min="5" max="5" width="22.42578125" style="216" customWidth="1"/>
    <col min="6" max="6" width="20.42578125" style="216" bestFit="1" customWidth="1"/>
    <col min="7" max="7" width="18.42578125" style="216" bestFit="1" customWidth="1"/>
    <col min="8" max="8" width="19.42578125" style="216" bestFit="1" customWidth="1"/>
    <col min="9" max="9" width="21.5703125" style="216" hidden="1" customWidth="1"/>
    <col min="10" max="11" width="17.42578125" style="216" bestFit="1" customWidth="1"/>
    <col min="12" max="12" width="19.140625" style="216" bestFit="1" customWidth="1"/>
    <col min="13" max="13" width="17.42578125" style="216" bestFit="1" customWidth="1"/>
    <col min="14" max="14" width="18.5703125" style="216" bestFit="1" customWidth="1"/>
    <col min="15" max="15" width="17.42578125" style="216" bestFit="1" customWidth="1"/>
    <col min="16" max="16" width="17.5703125" style="216" customWidth="1"/>
    <col min="17" max="17" width="18.5703125" style="216" bestFit="1" customWidth="1"/>
    <col min="18" max="18" width="17.42578125" style="216" bestFit="1" customWidth="1"/>
    <col min="19" max="19" width="17.5703125" style="216" bestFit="1" customWidth="1"/>
    <col min="20" max="22" width="17.42578125" style="216" bestFit="1" customWidth="1"/>
    <col min="23" max="23" width="18.5703125" style="216" bestFit="1" customWidth="1"/>
    <col min="24" max="24" width="19.140625" style="216" bestFit="1" customWidth="1"/>
    <col min="25" max="25" width="19.85546875" style="216" customWidth="1"/>
    <col min="26" max="26" width="19.140625" style="216" bestFit="1" customWidth="1"/>
    <col min="27" max="27" width="17" style="216" bestFit="1" customWidth="1"/>
    <col min="28" max="28" width="17.85546875" style="216" customWidth="1"/>
    <col min="29" max="16384" width="10.7109375" style="216"/>
  </cols>
  <sheetData>
    <row r="2" spans="1:26" ht="15" x14ac:dyDescent="0.25">
      <c r="A2" s="215" t="s">
        <v>87</v>
      </c>
    </row>
    <row r="3" spans="1:26" s="67" customFormat="1" ht="15" x14ac:dyDescent="0.25">
      <c r="A3" s="217"/>
    </row>
    <row r="4" spans="1:26" ht="21.6" customHeight="1" x14ac:dyDescent="0.25">
      <c r="A4" s="215"/>
      <c r="B4" s="218" t="str">
        <f>Portafolio_Cadena_Maíz!C141</f>
        <v>9. Fortalecimiento de la gestión institucional de la cadena de maíz.</v>
      </c>
      <c r="C4" s="219"/>
      <c r="D4" s="220"/>
    </row>
    <row r="5" spans="1:26" ht="26.1" customHeight="1" x14ac:dyDescent="0.2"/>
    <row r="6" spans="1:26" ht="15" x14ac:dyDescent="0.25">
      <c r="E6" s="221">
        <v>1</v>
      </c>
      <c r="F6" s="221">
        <v>2</v>
      </c>
      <c r="G6" s="221">
        <v>3</v>
      </c>
      <c r="H6" s="221">
        <v>4</v>
      </c>
      <c r="I6" s="221">
        <v>5</v>
      </c>
      <c r="J6" s="221">
        <v>6</v>
      </c>
      <c r="K6" s="221">
        <v>7</v>
      </c>
      <c r="L6" s="221">
        <v>8</v>
      </c>
      <c r="M6" s="221">
        <v>9</v>
      </c>
      <c r="N6" s="221">
        <v>10</v>
      </c>
      <c r="O6" s="221">
        <v>11</v>
      </c>
      <c r="P6" s="221">
        <v>12</v>
      </c>
      <c r="Q6" s="221">
        <v>13</v>
      </c>
      <c r="R6" s="221">
        <v>14</v>
      </c>
      <c r="S6" s="221">
        <v>15</v>
      </c>
      <c r="T6" s="221">
        <v>16</v>
      </c>
      <c r="U6" s="221">
        <v>17</v>
      </c>
      <c r="V6" s="221">
        <v>18</v>
      </c>
      <c r="W6" s="221">
        <v>19</v>
      </c>
      <c r="X6" s="221">
        <v>20</v>
      </c>
      <c r="Y6" s="221" t="s">
        <v>32</v>
      </c>
    </row>
    <row r="7" spans="1:26" s="226" customFormat="1" ht="15" x14ac:dyDescent="0.25">
      <c r="A7" s="216"/>
      <c r="B7" s="222" t="s">
        <v>28</v>
      </c>
      <c r="C7" s="223" t="s">
        <v>66</v>
      </c>
      <c r="D7" s="64" t="s">
        <v>160</v>
      </c>
      <c r="E7" s="224">
        <f t="shared" ref="E7" si="0">SUM(E8:E13)</f>
        <v>2881306180</v>
      </c>
      <c r="F7" s="224">
        <f>SUM(F8:F13)</f>
        <v>2504495959.75</v>
      </c>
      <c r="G7" s="224">
        <f t="shared" ref="G7:X7" si="1">SUM(G8:G13)</f>
        <v>675685534</v>
      </c>
      <c r="H7" s="224">
        <f t="shared" si="1"/>
        <v>0</v>
      </c>
      <c r="I7" s="224">
        <f t="shared" si="1"/>
        <v>0</v>
      </c>
      <c r="J7" s="224">
        <f t="shared" si="1"/>
        <v>1547336232.75</v>
      </c>
      <c r="K7" s="224">
        <f t="shared" si="1"/>
        <v>0</v>
      </c>
      <c r="L7" s="224">
        <f t="shared" si="1"/>
        <v>0</v>
      </c>
      <c r="M7" s="224">
        <f>SUM(M8:M13)</f>
        <v>0</v>
      </c>
      <c r="N7" s="224">
        <f t="shared" si="1"/>
        <v>652978695.75</v>
      </c>
      <c r="O7" s="224">
        <f t="shared" si="1"/>
        <v>894357537</v>
      </c>
      <c r="P7" s="224">
        <f t="shared" si="1"/>
        <v>0</v>
      </c>
      <c r="Q7" s="224">
        <f t="shared" si="1"/>
        <v>0</v>
      </c>
      <c r="R7" s="224">
        <f t="shared" si="1"/>
        <v>0</v>
      </c>
      <c r="S7" s="224">
        <f t="shared" si="1"/>
        <v>652978695.75</v>
      </c>
      <c r="T7" s="224">
        <f t="shared" si="1"/>
        <v>894357537</v>
      </c>
      <c r="U7" s="224">
        <f t="shared" si="1"/>
        <v>0</v>
      </c>
      <c r="V7" s="224">
        <f t="shared" si="1"/>
        <v>0</v>
      </c>
      <c r="W7" s="224">
        <f t="shared" si="1"/>
        <v>0</v>
      </c>
      <c r="X7" s="224">
        <f t="shared" si="1"/>
        <v>982697615.75</v>
      </c>
      <c r="Y7" s="224">
        <f>SUM(E7:X7)</f>
        <v>11686193987.75</v>
      </c>
      <c r="Z7" s="225"/>
    </row>
    <row r="8" spans="1:26" s="70" customFormat="1" ht="53.45" customHeight="1" x14ac:dyDescent="0.2">
      <c r="A8" s="67"/>
      <c r="B8" s="68" t="str">
        <f>Portafolio_Cadena_Maíz!D118</f>
        <v>9.1. Fortalecimiento del Sistema de Inspección, Vigilancia y Control para la cadena de maíz.</v>
      </c>
      <c r="C8" s="143" t="s">
        <v>249</v>
      </c>
      <c r="D8" s="113" t="s">
        <v>185</v>
      </c>
      <c r="E8" s="144">
        <f>I48*9</f>
        <v>881873797.5</v>
      </c>
      <c r="F8" s="69">
        <f>+H48</f>
        <v>1175831730</v>
      </c>
      <c r="G8" s="113" t="s">
        <v>250</v>
      </c>
      <c r="H8" s="113" t="s">
        <v>250</v>
      </c>
      <c r="I8" s="113" t="s">
        <v>250</v>
      </c>
      <c r="J8" s="113" t="s">
        <v>250</v>
      </c>
      <c r="K8" s="113" t="s">
        <v>250</v>
      </c>
      <c r="L8" s="113" t="s">
        <v>250</v>
      </c>
      <c r="M8" s="113" t="s">
        <v>250</v>
      </c>
      <c r="N8" s="113" t="s">
        <v>250</v>
      </c>
      <c r="O8" s="113" t="s">
        <v>250</v>
      </c>
      <c r="P8" s="113" t="str">
        <f>K8</f>
        <v xml:space="preserve">Por definir </v>
      </c>
      <c r="Q8" s="113" t="s">
        <v>250</v>
      </c>
      <c r="R8" s="113" t="s">
        <v>250</v>
      </c>
      <c r="S8" s="113" t="s">
        <v>250</v>
      </c>
      <c r="T8" s="113" t="s">
        <v>250</v>
      </c>
      <c r="U8" s="69" t="str">
        <f>P8</f>
        <v xml:space="preserve">Por definir </v>
      </c>
      <c r="V8" s="113" t="s">
        <v>250</v>
      </c>
      <c r="W8" s="113" t="s">
        <v>250</v>
      </c>
      <c r="X8" s="113" t="s">
        <v>250</v>
      </c>
      <c r="Y8" s="69">
        <f>SUM(E8:X8)</f>
        <v>2057705527.5</v>
      </c>
      <c r="Z8" s="225"/>
    </row>
    <row r="9" spans="1:26" s="70" customFormat="1" ht="53.45" customHeight="1" x14ac:dyDescent="0.2">
      <c r="A9" s="67"/>
      <c r="B9" s="68" t="str">
        <f>Portafolio_Cadena_Maíz!D126</f>
        <v>9.2. Diseño y mejora de los instrumentos de financiamiento, comercialización, gestión de riesgos y empresarización para la cadena de maíz.</v>
      </c>
      <c r="C9" s="143" t="s">
        <v>249</v>
      </c>
      <c r="D9" s="113" t="s">
        <v>185</v>
      </c>
      <c r="E9" s="144">
        <f>I73*9</f>
        <v>247289190</v>
      </c>
      <c r="F9" s="113" t="s">
        <v>67</v>
      </c>
      <c r="G9" s="113" t="s">
        <v>250</v>
      </c>
      <c r="H9" s="113" t="s">
        <v>250</v>
      </c>
      <c r="I9" s="113" t="s">
        <v>250</v>
      </c>
      <c r="J9" s="113">
        <f>+H73</f>
        <v>329718920</v>
      </c>
      <c r="K9" s="113"/>
      <c r="L9" s="113"/>
      <c r="M9" s="113"/>
      <c r="N9" s="69"/>
      <c r="O9" s="69">
        <f>+H73</f>
        <v>329718920</v>
      </c>
      <c r="P9" s="69"/>
      <c r="Q9" s="69"/>
      <c r="R9" s="69"/>
      <c r="S9" s="69"/>
      <c r="T9" s="69">
        <f>+H73</f>
        <v>329718920</v>
      </c>
      <c r="U9" s="69"/>
      <c r="V9" s="69"/>
      <c r="W9" s="69"/>
      <c r="X9" s="69">
        <f>+H73</f>
        <v>329718920</v>
      </c>
      <c r="Y9" s="69">
        <f t="shared" ref="Y9:Y13" si="2">SUM(E9:X9)</f>
        <v>1566164870</v>
      </c>
      <c r="Z9" s="225"/>
    </row>
    <row r="10" spans="1:26" s="70" customFormat="1" ht="53.45" customHeight="1" x14ac:dyDescent="0.2">
      <c r="A10" s="67"/>
      <c r="B10" s="68" t="str">
        <f>Portafolio_Cadena_Maíz!D134</f>
        <v>9.3. Fortalecimiento de mecanismos institucionales para el impulso a las inversiones en producción de maíz a mediana y gran escala.</v>
      </c>
      <c r="C10" s="113" t="s">
        <v>249</v>
      </c>
      <c r="D10" s="70" t="s">
        <v>338</v>
      </c>
      <c r="E10" s="144">
        <f>I106*9</f>
        <v>652978695.75</v>
      </c>
      <c r="F10" s="113">
        <f>E10</f>
        <v>652978695.75</v>
      </c>
      <c r="G10" s="113" t="s">
        <v>250</v>
      </c>
      <c r="H10" s="113" t="s">
        <v>250</v>
      </c>
      <c r="I10" s="113" t="s">
        <v>67</v>
      </c>
      <c r="J10" s="113">
        <f>F10</f>
        <v>652978695.75</v>
      </c>
      <c r="K10" s="113" t="str">
        <f>G10</f>
        <v xml:space="preserve">Por definir </v>
      </c>
      <c r="L10" s="113" t="s">
        <v>67</v>
      </c>
      <c r="M10" s="113" t="s">
        <v>250</v>
      </c>
      <c r="N10" s="69">
        <f>J10</f>
        <v>652978695.75</v>
      </c>
      <c r="O10" s="69" t="str">
        <f>K10</f>
        <v xml:space="preserve">Por definir </v>
      </c>
      <c r="P10" s="69" t="s">
        <v>250</v>
      </c>
      <c r="Q10" s="69" t="s">
        <v>250</v>
      </c>
      <c r="R10" s="69" t="s">
        <v>67</v>
      </c>
      <c r="S10" s="69">
        <f>N10</f>
        <v>652978695.75</v>
      </c>
      <c r="T10" s="69" t="str">
        <f>O10</f>
        <v xml:space="preserve">Por definir </v>
      </c>
      <c r="U10" s="69" t="s">
        <v>67</v>
      </c>
      <c r="V10" s="69" t="s">
        <v>250</v>
      </c>
      <c r="W10" s="69" t="s">
        <v>250</v>
      </c>
      <c r="X10" s="69">
        <f>S10</f>
        <v>652978695.75</v>
      </c>
      <c r="Y10" s="69">
        <f t="shared" si="2"/>
        <v>3917872174.5</v>
      </c>
      <c r="Z10" s="225"/>
    </row>
    <row r="11" spans="1:26" s="70" customFormat="1" ht="53.45" customHeight="1" x14ac:dyDescent="0.2">
      <c r="A11" s="67"/>
      <c r="B11" s="68" t="str">
        <f>Portafolio_Cadena_Maíz!D141</f>
        <v>9.4. Diseño y operación del Sistema nacional de Información para la cadena de maíz.</v>
      </c>
      <c r="C11" s="143" t="s">
        <v>249</v>
      </c>
      <c r="D11" s="113" t="s">
        <v>185</v>
      </c>
      <c r="E11" s="144">
        <f>I129*9</f>
        <v>423478962.75</v>
      </c>
      <c r="F11" s="69" t="s">
        <v>67</v>
      </c>
      <c r="G11" s="69" t="s">
        <v>250</v>
      </c>
      <c r="H11" s="113" t="s">
        <v>250</v>
      </c>
      <c r="I11" s="113" t="s">
        <v>67</v>
      </c>
      <c r="J11" s="113">
        <f>+H129</f>
        <v>564638617</v>
      </c>
      <c r="K11" s="113" t="s">
        <v>250</v>
      </c>
      <c r="L11" s="113" t="s">
        <v>67</v>
      </c>
      <c r="M11" s="113" t="s">
        <v>250</v>
      </c>
      <c r="N11" s="113" t="s">
        <v>250</v>
      </c>
      <c r="O11" s="113">
        <f>+H129</f>
        <v>564638617</v>
      </c>
      <c r="P11" s="113" t="s">
        <v>250</v>
      </c>
      <c r="Q11" s="113" t="s">
        <v>250</v>
      </c>
      <c r="R11" s="113" t="s">
        <v>67</v>
      </c>
      <c r="S11" s="113" t="s">
        <v>250</v>
      </c>
      <c r="T11" s="113">
        <f>+H129</f>
        <v>564638617</v>
      </c>
      <c r="U11" s="113" t="s">
        <v>67</v>
      </c>
      <c r="V11" s="113" t="s">
        <v>250</v>
      </c>
      <c r="W11" s="113" t="s">
        <v>250</v>
      </c>
      <c r="X11" s="113" t="s">
        <v>250</v>
      </c>
      <c r="Y11" s="69">
        <f t="shared" si="2"/>
        <v>2117394813.75</v>
      </c>
      <c r="Z11" s="225"/>
    </row>
    <row r="12" spans="1:26" s="70" customFormat="1" ht="53.45" customHeight="1" x14ac:dyDescent="0.2">
      <c r="A12" s="67"/>
      <c r="B12" s="68" t="str">
        <f>Portafolio_Cadena_Maíz!D145</f>
        <v>9.5. Constitución y fortalecimiento de la Organización de Cadena de maíz.</v>
      </c>
      <c r="C12" s="143" t="s">
        <v>251</v>
      </c>
      <c r="D12" s="113" t="s">
        <v>185</v>
      </c>
      <c r="E12" s="144">
        <f>+H151</f>
        <v>320314491</v>
      </c>
      <c r="F12" s="69">
        <f>+H151</f>
        <v>320314491</v>
      </c>
      <c r="G12" s="69">
        <f>+H151</f>
        <v>320314491</v>
      </c>
      <c r="H12" s="113" t="s">
        <v>250</v>
      </c>
      <c r="I12" s="113" t="s">
        <v>250</v>
      </c>
      <c r="J12" s="113" t="s">
        <v>250</v>
      </c>
      <c r="K12" s="113" t="s">
        <v>250</v>
      </c>
      <c r="L12" s="113" t="s">
        <v>250</v>
      </c>
      <c r="M12" s="113" t="s">
        <v>250</v>
      </c>
      <c r="N12" s="113" t="s">
        <v>250</v>
      </c>
      <c r="O12" s="113" t="s">
        <v>250</v>
      </c>
      <c r="P12" s="113" t="s">
        <v>250</v>
      </c>
      <c r="Q12" s="113" t="s">
        <v>250</v>
      </c>
      <c r="R12" s="113" t="s">
        <v>250</v>
      </c>
      <c r="S12" s="113" t="s">
        <v>250</v>
      </c>
      <c r="T12" s="113" t="s">
        <v>250</v>
      </c>
      <c r="U12" s="113" t="s">
        <v>250</v>
      </c>
      <c r="V12" s="113" t="s">
        <v>250</v>
      </c>
      <c r="W12" s="113" t="s">
        <v>250</v>
      </c>
      <c r="X12" s="113" t="s">
        <v>250</v>
      </c>
      <c r="Y12" s="69">
        <f t="shared" si="2"/>
        <v>960943473</v>
      </c>
      <c r="Z12" s="225"/>
    </row>
    <row r="13" spans="1:26" s="70" customFormat="1" ht="42.95" customHeight="1" x14ac:dyDescent="0.2">
      <c r="A13" s="67"/>
      <c r="B13" s="68" t="str">
        <f>Portafolio_Cadena_Maíz!D150</f>
        <v>9.6. Adopción, promoción y monitoreo de la política pública para la cadena de maíz.</v>
      </c>
      <c r="C13" s="143" t="s">
        <v>251</v>
      </c>
      <c r="D13" s="113" t="s">
        <v>185</v>
      </c>
      <c r="E13" s="145">
        <f>+H176</f>
        <v>355371043</v>
      </c>
      <c r="F13" s="69">
        <f>+H176</f>
        <v>355371043</v>
      </c>
      <c r="G13" s="69">
        <f>+H176</f>
        <v>355371043</v>
      </c>
      <c r="H13" s="113" t="s">
        <v>250</v>
      </c>
      <c r="I13" s="113" t="s">
        <v>250</v>
      </c>
      <c r="J13" s="113" t="s">
        <v>250</v>
      </c>
      <c r="K13" s="113" t="s">
        <v>250</v>
      </c>
      <c r="L13" s="113" t="s">
        <v>250</v>
      </c>
      <c r="M13" s="113" t="s">
        <v>250</v>
      </c>
      <c r="N13" s="113" t="s">
        <v>250</v>
      </c>
      <c r="O13" s="113" t="s">
        <v>250</v>
      </c>
      <c r="P13" s="113" t="s">
        <v>250</v>
      </c>
      <c r="Q13" s="113" t="s">
        <v>250</v>
      </c>
      <c r="R13" s="113" t="s">
        <v>250</v>
      </c>
      <c r="S13" s="113" t="s">
        <v>250</v>
      </c>
      <c r="T13" s="113" t="s">
        <v>250</v>
      </c>
      <c r="U13" s="113" t="s">
        <v>250</v>
      </c>
      <c r="V13" s="113" t="s">
        <v>250</v>
      </c>
      <c r="W13" s="113" t="s">
        <v>250</v>
      </c>
      <c r="X13" s="113" t="s">
        <v>250</v>
      </c>
      <c r="Y13" s="69">
        <f t="shared" si="2"/>
        <v>1066113129</v>
      </c>
      <c r="Z13" s="225"/>
    </row>
    <row r="14" spans="1:26" s="226" customFormat="1" ht="24.6" customHeight="1" x14ac:dyDescent="0.25">
      <c r="A14" s="216"/>
      <c r="B14" s="222" t="s">
        <v>32</v>
      </c>
      <c r="C14" s="222"/>
      <c r="D14" s="222"/>
      <c r="E14" s="227">
        <f>SUM(E8:E13)</f>
        <v>2881306180</v>
      </c>
      <c r="F14" s="227">
        <f t="shared" ref="F14:X14" si="3">SUM(F8:F13)</f>
        <v>2504495959.75</v>
      </c>
      <c r="G14" s="227">
        <f t="shared" si="3"/>
        <v>675685534</v>
      </c>
      <c r="H14" s="227">
        <f t="shared" si="3"/>
        <v>0</v>
      </c>
      <c r="I14" s="227">
        <f t="shared" si="3"/>
        <v>0</v>
      </c>
      <c r="J14" s="227">
        <f t="shared" si="3"/>
        <v>1547336232.75</v>
      </c>
      <c r="K14" s="227">
        <f t="shared" si="3"/>
        <v>0</v>
      </c>
      <c r="L14" s="227">
        <f t="shared" si="3"/>
        <v>0</v>
      </c>
      <c r="M14" s="227">
        <f t="shared" si="3"/>
        <v>0</v>
      </c>
      <c r="N14" s="227">
        <f t="shared" si="3"/>
        <v>652978695.75</v>
      </c>
      <c r="O14" s="227">
        <f t="shared" si="3"/>
        <v>894357537</v>
      </c>
      <c r="P14" s="227">
        <f t="shared" si="3"/>
        <v>0</v>
      </c>
      <c r="Q14" s="227">
        <f t="shared" si="3"/>
        <v>0</v>
      </c>
      <c r="R14" s="227">
        <f t="shared" si="3"/>
        <v>0</v>
      </c>
      <c r="S14" s="227">
        <f t="shared" si="3"/>
        <v>652978695.75</v>
      </c>
      <c r="T14" s="227">
        <f t="shared" si="3"/>
        <v>894357537</v>
      </c>
      <c r="U14" s="227">
        <f t="shared" si="3"/>
        <v>0</v>
      </c>
      <c r="V14" s="227">
        <f t="shared" si="3"/>
        <v>0</v>
      </c>
      <c r="W14" s="227">
        <f t="shared" si="3"/>
        <v>0</v>
      </c>
      <c r="X14" s="227">
        <f t="shared" si="3"/>
        <v>982697615.75</v>
      </c>
      <c r="Y14" s="227">
        <f>SUM(Y8:Y13)</f>
        <v>11686193987.75</v>
      </c>
      <c r="Z14" s="225"/>
    </row>
    <row r="15" spans="1:26" s="231" customFormat="1" ht="24.6" customHeight="1" x14ac:dyDescent="0.25">
      <c r="A15" s="67"/>
      <c r="B15" s="228"/>
      <c r="C15" s="228"/>
      <c r="D15" s="228"/>
      <c r="E15" s="228"/>
      <c r="F15" s="229"/>
      <c r="G15" s="230"/>
      <c r="H15" s="229"/>
      <c r="I15" s="229"/>
      <c r="J15" s="229"/>
      <c r="K15" s="229"/>
      <c r="L15" s="229"/>
      <c r="M15" s="229"/>
      <c r="N15" s="229"/>
      <c r="O15" s="229"/>
      <c r="P15" s="229"/>
      <c r="Q15" s="229"/>
      <c r="R15" s="229"/>
      <c r="S15" s="229"/>
      <c r="T15" s="229"/>
      <c r="U15" s="229"/>
      <c r="V15" s="229"/>
      <c r="W15" s="229"/>
      <c r="X15" s="229"/>
      <c r="Y15" s="229"/>
      <c r="Z15" s="229"/>
    </row>
    <row r="17" spans="2:24" s="67" customFormat="1" ht="14.45" customHeight="1" x14ac:dyDescent="0.25">
      <c r="B17" s="865" t="str">
        <f>B8</f>
        <v>9.1. Fortalecimiento del Sistema de Inspección, Vigilancia y Control para la cadena de maíz.</v>
      </c>
      <c r="C17" s="866"/>
      <c r="D17" s="866"/>
      <c r="E17" s="866"/>
      <c r="F17" s="866"/>
      <c r="G17" s="866"/>
      <c r="H17" s="866"/>
      <c r="I17" s="232"/>
      <c r="X17" s="233"/>
    </row>
    <row r="18" spans="2:24" s="67" customFormat="1" ht="14.45" customHeight="1" x14ac:dyDescent="0.25">
      <c r="B18" s="866"/>
      <c r="C18" s="866"/>
      <c r="D18" s="866"/>
      <c r="E18" s="866"/>
      <c r="F18" s="866"/>
      <c r="G18" s="866"/>
      <c r="H18" s="866"/>
      <c r="I18" s="232"/>
      <c r="X18" s="233"/>
    </row>
    <row r="19" spans="2:24" s="102" customFormat="1" ht="27.6" customHeight="1" x14ac:dyDescent="0.25">
      <c r="B19" s="854" t="str">
        <f>Portafolio_Cadena_Maíz!H118</f>
        <v>9.1.1. Identificar las necesidades en aspectos técnicos, humanos, físicos y presupuestales, para el fortalecimiento de las autoridades sanitarias, en concordancia con los resultados esperados en materia de sanidad e inocuidad, del POP para la cadena de maíz.</v>
      </c>
      <c r="C19" s="855"/>
      <c r="D19" s="855"/>
      <c r="E19" s="855"/>
      <c r="F19" s="855"/>
      <c r="G19" s="855"/>
      <c r="H19" s="855"/>
      <c r="I19" s="414"/>
      <c r="X19" s="77"/>
    </row>
    <row r="20" spans="2:24" s="102" customFormat="1" ht="14.45" customHeight="1" x14ac:dyDescent="0.25">
      <c r="B20" s="854" t="str">
        <f>Portafolio_Cadena_Maíz!H119</f>
        <v>9.1.2. Actualizar el plan estratégico de las autoridades sanitarias y de inocuidad, considerando las necesidades y particularidades regionales de la cadena de maíz y en concordancia con la normatividad vigente.</v>
      </c>
      <c r="C20" s="855"/>
      <c r="D20" s="855"/>
      <c r="E20" s="855"/>
      <c r="F20" s="855"/>
      <c r="G20" s="855"/>
      <c r="H20" s="855"/>
      <c r="I20" s="414"/>
      <c r="X20" s="77"/>
    </row>
    <row r="21" spans="2:24" s="102" customFormat="1" ht="38.1" customHeight="1" x14ac:dyDescent="0.25">
      <c r="B21" s="854" t="str">
        <f>Portafolio_Cadena_Maíz!H120</f>
        <v>9.1.3. Evaluar y mejorar los programas del ICA en materia de producción, comercialización y uso de semillas certificadas, monitoreo y control integrado de plagas y enfermedades, condiciones de secado y almacenamiento de granos, generando acciones oportunas para prevenir riesgos fitosanitarios y de inocuidad.</v>
      </c>
      <c r="C21" s="855"/>
      <c r="D21" s="855"/>
      <c r="E21" s="855"/>
      <c r="F21" s="855"/>
      <c r="G21" s="855"/>
      <c r="H21" s="855"/>
      <c r="I21" s="414"/>
      <c r="X21" s="77"/>
    </row>
    <row r="22" spans="2:24" s="101" customFormat="1" ht="27.95" customHeight="1" x14ac:dyDescent="0.25">
      <c r="B22" s="854" t="str">
        <f>Portafolio_Cadena_Maíz!H121</f>
        <v>9.1.4. Desarrollar una estrategia financiera para garantizar la disponibilidad de los recursos requeridos por el Sistema Nacional de IVC en correcta articulación interinstitucional y bajo el amparo de estándares internacionales, teniendo en cuenta los esquemas tarifarios reglamentados para servicios operados por las autoridades sanitarias y de inocuidad.</v>
      </c>
      <c r="C22" s="855"/>
      <c r="D22" s="855"/>
      <c r="E22" s="855"/>
      <c r="F22" s="855"/>
      <c r="G22" s="855"/>
      <c r="H22" s="855"/>
    </row>
    <row r="23" spans="2:24" s="101" customFormat="1" ht="30" customHeight="1" x14ac:dyDescent="0.25">
      <c r="B23" s="854" t="str">
        <f>Portafolio_Cadena_Maíz!H122</f>
        <v>9.1.5. Fortalecer el control de calidad e inocuidad y la identificación de riesgos sanitarios en la cadena del maíz, a través de la consolidación de una red integrada por laboratorios regionales de monitoreo y servicios básicos y por laboratorios centralizados de servicios de mayor complejidad, operados o autorizados, por el ICA para el consumo animal, y por el Invima para consumo humano, bajo el principio de la regulación sanitaria competitiva.</v>
      </c>
      <c r="C23" s="855"/>
      <c r="D23" s="855"/>
      <c r="E23" s="855"/>
      <c r="F23" s="855"/>
      <c r="G23" s="855"/>
      <c r="H23" s="855"/>
    </row>
    <row r="24" spans="2:24" s="101" customFormat="1" ht="31.5" customHeight="1" x14ac:dyDescent="0.25">
      <c r="B24" s="854" t="str">
        <f>Portafolio_Cadena_Maíz!H123</f>
        <v>9.1.6. Fortalecer la capacidad operativa del Sistema de IVC, con el fin de mejorar el estatus fitosanitario, de inocuidad y calidad del grano, a partir de las recomendaciones de la Mesa Técnica del Subsistema de la Cadena de Cereales y Alimentos Balanceados, en el marco de la implementación de la Resolución 329 de 2021 del Minagricultura, sobre el Sistema de Información Nacional de Trazabilidad Vegetal.</v>
      </c>
      <c r="C24" s="855"/>
      <c r="D24" s="855"/>
      <c r="E24" s="855"/>
      <c r="F24" s="855"/>
      <c r="G24" s="855"/>
      <c r="H24" s="855"/>
    </row>
    <row r="25" spans="2:24" s="101" customFormat="1" ht="15" x14ac:dyDescent="0.25">
      <c r="B25" s="854" t="str">
        <f>Portafolio_Cadena_Maíz!H124</f>
        <v xml:space="preserve">9.1.7. Diseñar e implementar una estrategia de comunicación y divulgación de la normatividad del sistema IVC con acompañamiento técnico por parte de las entidades de IVC, dirigida a los diferentes actores a lo largo de la cadena. </v>
      </c>
      <c r="C25" s="855"/>
      <c r="D25" s="855"/>
      <c r="E25" s="855"/>
      <c r="F25" s="855"/>
      <c r="G25" s="855"/>
      <c r="H25" s="855"/>
    </row>
    <row r="26" spans="2:24" s="101" customFormat="1" ht="15" x14ac:dyDescent="0.25">
      <c r="B26" s="854" t="str">
        <f>Portafolio_Cadena_Maíz!H125</f>
        <v>9.1.8. Realizar el seguimiento y monitoreo del fortalecimiento del sistema IVC.</v>
      </c>
      <c r="C26" s="855"/>
      <c r="D26" s="855"/>
      <c r="E26" s="855"/>
      <c r="F26" s="855"/>
      <c r="G26" s="855"/>
      <c r="H26" s="855"/>
    </row>
    <row r="27" spans="2:24" s="101" customFormat="1" ht="15" x14ac:dyDescent="0.25">
      <c r="B27" s="854"/>
      <c r="C27" s="855"/>
      <c r="D27" s="855"/>
      <c r="E27" s="855"/>
      <c r="F27" s="855"/>
      <c r="G27" s="855"/>
      <c r="H27" s="855"/>
    </row>
    <row r="28" spans="2:24" s="101" customFormat="1" ht="15" x14ac:dyDescent="0.25">
      <c r="B28" s="396"/>
      <c r="C28" s="415"/>
      <c r="D28" s="415"/>
      <c r="E28" s="415"/>
      <c r="F28" s="415"/>
      <c r="G28" s="415"/>
      <c r="H28" s="415"/>
    </row>
    <row r="29" spans="2:24" s="101" customFormat="1" ht="15" x14ac:dyDescent="0.25">
      <c r="B29" s="858" t="s">
        <v>595</v>
      </c>
      <c r="C29" s="859"/>
      <c r="D29" s="859"/>
      <c r="E29" s="859"/>
      <c r="F29" s="859"/>
      <c r="G29" s="859"/>
      <c r="H29" s="859"/>
    </row>
    <row r="30" spans="2:24" ht="15" x14ac:dyDescent="0.25">
      <c r="B30" s="234" t="s">
        <v>68</v>
      </c>
      <c r="C30" s="234" t="s">
        <v>58</v>
      </c>
      <c r="D30" s="234" t="s">
        <v>55</v>
      </c>
      <c r="E30" s="234" t="s">
        <v>54</v>
      </c>
      <c r="F30" s="235" t="s">
        <v>96</v>
      </c>
      <c r="G30" s="234" t="s">
        <v>70</v>
      </c>
      <c r="H30" s="234" t="s">
        <v>71</v>
      </c>
      <c r="X30" s="236"/>
    </row>
    <row r="31" spans="2:24" x14ac:dyDescent="0.2">
      <c r="B31" s="104" t="s">
        <v>252</v>
      </c>
      <c r="C31" s="237">
        <v>8</v>
      </c>
      <c r="D31" s="238" t="s">
        <v>253</v>
      </c>
      <c r="E31" s="239">
        <v>2300000</v>
      </c>
      <c r="F31" s="237"/>
      <c r="G31" s="237"/>
      <c r="H31" s="239">
        <f>+C31*E31</f>
        <v>18400000</v>
      </c>
      <c r="J31" s="361"/>
    </row>
    <row r="32" spans="2:24" x14ac:dyDescent="0.2">
      <c r="B32" s="104" t="s">
        <v>147</v>
      </c>
      <c r="C32" s="107">
        <v>19</v>
      </c>
      <c r="D32" s="238" t="s">
        <v>253</v>
      </c>
      <c r="E32" s="239">
        <v>460000</v>
      </c>
      <c r="F32" s="237"/>
      <c r="G32" s="237"/>
      <c r="H32" s="239">
        <f t="shared" ref="H32:H38" si="4">+C32*E32</f>
        <v>8740000</v>
      </c>
      <c r="I32" s="67"/>
      <c r="J32" s="361"/>
    </row>
    <row r="33" spans="2:10" x14ac:dyDescent="0.2">
      <c r="B33" s="104" t="s">
        <v>217</v>
      </c>
      <c r="C33" s="107">
        <f>19*2</f>
        <v>38</v>
      </c>
      <c r="D33" s="238" t="s">
        <v>253</v>
      </c>
      <c r="E33" s="239">
        <v>100000</v>
      </c>
      <c r="F33" s="237"/>
      <c r="G33" s="237"/>
      <c r="H33" s="239">
        <f t="shared" si="4"/>
        <v>3800000</v>
      </c>
      <c r="I33" s="67"/>
      <c r="J33" s="361"/>
    </row>
    <row r="34" spans="2:10" x14ac:dyDescent="0.2">
      <c r="B34" s="104" t="s">
        <v>72</v>
      </c>
      <c r="C34" s="107">
        <v>7</v>
      </c>
      <c r="D34" s="238" t="s">
        <v>253</v>
      </c>
      <c r="E34" s="239">
        <v>500000</v>
      </c>
      <c r="F34" s="237"/>
      <c r="G34" s="237"/>
      <c r="H34" s="239">
        <f t="shared" si="4"/>
        <v>3500000</v>
      </c>
      <c r="I34" s="67"/>
      <c r="J34" s="361"/>
    </row>
    <row r="35" spans="2:10" x14ac:dyDescent="0.2">
      <c r="B35" s="104" t="s">
        <v>254</v>
      </c>
      <c r="C35" s="107">
        <v>1</v>
      </c>
      <c r="D35" s="238" t="s">
        <v>253</v>
      </c>
      <c r="E35" s="240">
        <v>142800000</v>
      </c>
      <c r="F35" s="237"/>
      <c r="G35" s="237"/>
      <c r="H35" s="239">
        <f t="shared" si="4"/>
        <v>142800000</v>
      </c>
      <c r="I35" s="67"/>
      <c r="J35" s="361"/>
    </row>
    <row r="36" spans="2:10" x14ac:dyDescent="0.2">
      <c r="B36" s="104" t="s">
        <v>321</v>
      </c>
      <c r="C36" s="107">
        <v>19</v>
      </c>
      <c r="D36" s="238" t="s">
        <v>253</v>
      </c>
      <c r="E36" s="239">
        <v>14500000</v>
      </c>
      <c r="F36" s="237"/>
      <c r="G36" s="237"/>
      <c r="H36" s="239">
        <f t="shared" si="4"/>
        <v>275500000</v>
      </c>
      <c r="I36" s="67"/>
      <c r="J36" s="362"/>
    </row>
    <row r="37" spans="2:10" x14ac:dyDescent="0.2">
      <c r="B37" s="104" t="s">
        <v>320</v>
      </c>
      <c r="C37" s="107">
        <v>1</v>
      </c>
      <c r="D37" s="238" t="s">
        <v>73</v>
      </c>
      <c r="E37" s="239">
        <v>1800000</v>
      </c>
      <c r="F37" s="237"/>
      <c r="G37" s="237"/>
      <c r="H37" s="239">
        <f t="shared" si="4"/>
        <v>1800000</v>
      </c>
      <c r="I37" s="67"/>
      <c r="J37" s="361"/>
    </row>
    <row r="38" spans="2:10" x14ac:dyDescent="0.2">
      <c r="B38" s="104" t="s">
        <v>289</v>
      </c>
      <c r="C38" s="107">
        <v>1</v>
      </c>
      <c r="D38" s="238" t="s">
        <v>73</v>
      </c>
      <c r="E38" s="239">
        <v>3381852</v>
      </c>
      <c r="F38" s="237"/>
      <c r="G38" s="237"/>
      <c r="H38" s="239">
        <f t="shared" si="4"/>
        <v>3381852</v>
      </c>
      <c r="I38" s="67"/>
      <c r="J38" s="361"/>
    </row>
    <row r="39" spans="2:10" x14ac:dyDescent="0.2">
      <c r="B39" s="104" t="s">
        <v>197</v>
      </c>
      <c r="C39" s="241">
        <v>3</v>
      </c>
      <c r="D39" s="242" t="s">
        <v>255</v>
      </c>
      <c r="E39" s="243">
        <v>7862772</v>
      </c>
      <c r="F39" s="244"/>
      <c r="G39" s="241">
        <v>12</v>
      </c>
      <c r="H39" s="239">
        <f>+C39*E39*G39</f>
        <v>283059792</v>
      </c>
      <c r="I39" s="67"/>
      <c r="J39" s="362"/>
    </row>
    <row r="40" spans="2:10" x14ac:dyDescent="0.2">
      <c r="B40" s="104" t="s">
        <v>256</v>
      </c>
      <c r="C40" s="241">
        <v>3</v>
      </c>
      <c r="D40" s="242" t="s">
        <v>255</v>
      </c>
      <c r="E40" s="243">
        <v>1313122</v>
      </c>
      <c r="F40" s="244"/>
      <c r="G40" s="241"/>
      <c r="H40" s="245">
        <f>+E40*C40</f>
        <v>3939366</v>
      </c>
      <c r="I40" s="67"/>
      <c r="J40" s="362"/>
    </row>
    <row r="41" spans="2:10" x14ac:dyDescent="0.2">
      <c r="B41" s="104" t="s">
        <v>257</v>
      </c>
      <c r="C41" s="241">
        <v>10</v>
      </c>
      <c r="D41" s="242" t="s">
        <v>255</v>
      </c>
      <c r="E41" s="243">
        <v>3931384</v>
      </c>
      <c r="F41" s="244"/>
      <c r="G41" s="241">
        <v>8</v>
      </c>
      <c r="H41" s="245">
        <f>C41*E41*G41</f>
        <v>314510720</v>
      </c>
      <c r="I41" s="246"/>
      <c r="J41" s="362"/>
    </row>
    <row r="42" spans="2:10" x14ac:dyDescent="0.2">
      <c r="B42" s="104" t="s">
        <v>56</v>
      </c>
      <c r="C42" s="241">
        <v>10</v>
      </c>
      <c r="D42" s="242" t="s">
        <v>255</v>
      </c>
      <c r="E42" s="243">
        <v>1300000</v>
      </c>
      <c r="F42" s="244"/>
      <c r="G42" s="241">
        <v>8</v>
      </c>
      <c r="H42" s="245">
        <f>C42*E42*G42</f>
        <v>104000000</v>
      </c>
      <c r="I42" s="246"/>
      <c r="J42" s="362"/>
    </row>
    <row r="43" spans="2:10" x14ac:dyDescent="0.2">
      <c r="B43" s="104" t="s">
        <v>178</v>
      </c>
      <c r="C43" s="241">
        <v>10</v>
      </c>
      <c r="D43" s="242" t="s">
        <v>73</v>
      </c>
      <c r="E43" s="243">
        <v>155000</v>
      </c>
      <c r="F43" s="247"/>
      <c r="G43" s="241">
        <v>8</v>
      </c>
      <c r="H43" s="245">
        <f>C43*E43*G43</f>
        <v>12400000</v>
      </c>
      <c r="I43" s="246"/>
      <c r="J43" s="362"/>
    </row>
    <row r="44" spans="2:10" x14ac:dyDescent="0.2">
      <c r="B44" s="104" t="s">
        <v>323</v>
      </c>
      <c r="C44" s="107"/>
      <c r="D44" s="107"/>
      <c r="E44" s="81"/>
      <c r="F44" s="104"/>
      <c r="G44" s="104"/>
      <c r="H44" s="81" t="s">
        <v>250</v>
      </c>
      <c r="I44" s="248"/>
      <c r="J44" s="361"/>
    </row>
    <row r="45" spans="2:10" x14ac:dyDescent="0.2">
      <c r="B45" s="104" t="s">
        <v>330</v>
      </c>
      <c r="C45" s="107"/>
      <c r="D45" s="107"/>
      <c r="E45" s="81"/>
      <c r="F45" s="104"/>
      <c r="G45" s="104"/>
      <c r="H45" s="81" t="s">
        <v>250</v>
      </c>
      <c r="I45" s="246"/>
      <c r="J45" s="361"/>
    </row>
    <row r="46" spans="2:10" x14ac:dyDescent="0.2">
      <c r="B46" s="104" t="s">
        <v>322</v>
      </c>
      <c r="C46" s="107"/>
      <c r="D46" s="238"/>
      <c r="E46" s="239"/>
      <c r="F46" s="366"/>
      <c r="G46" s="237"/>
      <c r="H46" s="239" t="s">
        <v>250</v>
      </c>
      <c r="I46" s="67"/>
      <c r="J46" s="362"/>
    </row>
    <row r="47" spans="2:10" ht="15" x14ac:dyDescent="0.25">
      <c r="B47" s="104"/>
      <c r="C47" s="107"/>
      <c r="D47" s="107"/>
      <c r="E47" s="81"/>
      <c r="F47" s="104"/>
      <c r="G47" s="104"/>
      <c r="H47" s="81"/>
      <c r="I47" s="252" t="s">
        <v>159</v>
      </c>
      <c r="J47" s="361"/>
    </row>
    <row r="48" spans="2:10" ht="15" x14ac:dyDescent="0.25">
      <c r="B48" s="249" t="s">
        <v>399</v>
      </c>
      <c r="C48" s="250"/>
      <c r="D48" s="250"/>
      <c r="E48" s="250"/>
      <c r="F48" s="251"/>
      <c r="G48" s="251"/>
      <c r="H48" s="252">
        <f>SUM(H31:H45)</f>
        <v>1175831730</v>
      </c>
      <c r="I48" s="252">
        <f>H48/12</f>
        <v>97985977.5</v>
      </c>
      <c r="J48" s="362"/>
    </row>
    <row r="49" spans="2:24" s="67" customFormat="1" ht="242.25" x14ac:dyDescent="0.2">
      <c r="B49" s="254" t="s">
        <v>405</v>
      </c>
      <c r="C49" s="255"/>
      <c r="D49" s="255"/>
      <c r="E49" s="255"/>
      <c r="F49" s="255"/>
      <c r="G49" s="255"/>
      <c r="H49" s="255"/>
    </row>
    <row r="50" spans="2:24" ht="15" x14ac:dyDescent="0.25">
      <c r="B50" s="256"/>
      <c r="C50" s="256"/>
      <c r="D50" s="256"/>
      <c r="E50" s="256"/>
      <c r="F50" s="256"/>
      <c r="G50" s="256"/>
      <c r="H50" s="256"/>
      <c r="I50" s="257"/>
    </row>
    <row r="51" spans="2:24" ht="15" x14ac:dyDescent="0.25">
      <c r="B51" s="256"/>
      <c r="C51" s="256"/>
      <c r="D51" s="256"/>
      <c r="E51" s="256"/>
      <c r="F51" s="256"/>
      <c r="G51" s="256"/>
      <c r="H51" s="256"/>
      <c r="I51" s="257"/>
    </row>
    <row r="52" spans="2:24" s="67" customFormat="1" ht="14.45" customHeight="1" x14ac:dyDescent="0.25">
      <c r="B52" s="867" t="str">
        <f>+B9</f>
        <v>9.2. Diseño y mejora de los instrumentos de financiamiento, comercialización, gestión de riesgos y empresarización para la cadena de maíz.</v>
      </c>
      <c r="C52" s="868"/>
      <c r="D52" s="868"/>
      <c r="E52" s="868"/>
      <c r="F52" s="868"/>
      <c r="G52" s="868"/>
      <c r="H52" s="868"/>
    </row>
    <row r="53" spans="2:24" hidden="1" x14ac:dyDescent="0.2">
      <c r="B53" s="256"/>
      <c r="C53" s="256"/>
      <c r="D53" s="256"/>
      <c r="E53" s="256"/>
      <c r="F53" s="256"/>
      <c r="G53" s="256"/>
      <c r="H53" s="256"/>
    </row>
    <row r="54" spans="2:24" s="102" customFormat="1" ht="27.6" customHeight="1" x14ac:dyDescent="0.25">
      <c r="B54" s="854" t="str">
        <f>Portafolio_Cadena_Maíz!H126</f>
        <v xml:space="preserve">9.2.1.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v>
      </c>
      <c r="C54" s="855"/>
      <c r="D54" s="855"/>
      <c r="E54" s="855"/>
      <c r="F54" s="855"/>
      <c r="G54" s="855"/>
      <c r="H54" s="855"/>
      <c r="I54" s="414"/>
      <c r="X54" s="77"/>
    </row>
    <row r="55" spans="2:24" s="102" customFormat="1" ht="33" customHeight="1" x14ac:dyDescent="0.25">
      <c r="B55" s="854" t="str">
        <f>Portafolio_Cadena_Maíz!H127</f>
        <v>9.2.2.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v>
      </c>
      <c r="C55" s="855"/>
      <c r="D55" s="855"/>
      <c r="E55" s="855"/>
      <c r="F55" s="855"/>
      <c r="G55" s="855"/>
      <c r="H55" s="855"/>
      <c r="I55" s="414"/>
      <c r="X55" s="77"/>
    </row>
    <row r="56" spans="2:24" s="102" customFormat="1" ht="33" customHeight="1" x14ac:dyDescent="0.25">
      <c r="B56" s="854" t="str">
        <f>Portafolio_Cadena_Maíz!H128</f>
        <v>9.2.3. Diseñar y/o mejorar programas que permitan la inclusión financiera de pequeños y medianos productores de maíz y MiPymes relacionadas con la cadena, que redunden en la mejora en el acceso y cobertura tanto al crédito de fomento como al formal.</v>
      </c>
      <c r="C56" s="855"/>
      <c r="D56" s="855"/>
      <c r="E56" s="855"/>
      <c r="F56" s="855"/>
      <c r="G56" s="855"/>
      <c r="H56" s="855"/>
      <c r="I56" s="414"/>
      <c r="X56" s="77"/>
    </row>
    <row r="57" spans="2:24" s="101" customFormat="1" ht="14.45" customHeight="1" x14ac:dyDescent="0.25">
      <c r="B57" s="854" t="str">
        <f>Portafolio_Cadena_Maíz!H129</f>
        <v xml:space="preserve">9.2.4. Diseñar y/o mejorar las normas técnicas para la comercialización de maíz, acorde con los estándares internacionales, que determinan la clase, el tipo y el grado, así como promover su aplicación entre los actores de la cadena. </v>
      </c>
      <c r="C57" s="855"/>
      <c r="D57" s="855"/>
      <c r="E57" s="855"/>
      <c r="F57" s="855"/>
      <c r="G57" s="855"/>
      <c r="H57" s="855"/>
    </row>
    <row r="58" spans="2:24" s="101" customFormat="1" ht="27.95" customHeight="1" x14ac:dyDescent="0.25">
      <c r="B58" s="854" t="str">
        <f>Portafolio_Cadena_Maíz!H130</f>
        <v>9.2.5. Diseñar y/o mejorar instrumentos de comercialización y financiación no bancaria a lo largo de la cadena maicera, tales como contratos con entrega a término, con anticipo financiero y garantía FAG, repos, valoración de activos biológicos, entre otros.</v>
      </c>
      <c r="C58" s="855"/>
      <c r="D58" s="855"/>
      <c r="E58" s="855"/>
      <c r="F58" s="855"/>
      <c r="G58" s="855"/>
      <c r="H58" s="855"/>
    </row>
    <row r="59" spans="2:24" s="101" customFormat="1" ht="34.5" customHeight="1" x14ac:dyDescent="0.25">
      <c r="B59" s="854" t="str">
        <f>Portafolio_Cadena_Maíz!H131</f>
        <v xml:space="preserve">9.2.6. Evaluar, adaptar, mejorar y/o profundizar los instrumentos, bien sea que ya existan en el país o no, pero que son ampliamente utilizados en otros países, para la gestión de riesgos climáticos y de mercados, fortaleciendo e incrementando el uso de seguros agrícolas, los contratos de futuro y las coberturas de precios y tasa de cambio, entre otros, relacionados con la cadena de maíz. </v>
      </c>
      <c r="C59" s="855"/>
      <c r="D59" s="855"/>
      <c r="E59" s="855"/>
      <c r="F59" s="855"/>
      <c r="G59" s="855"/>
      <c r="H59" s="855"/>
    </row>
    <row r="60" spans="2:24" s="101" customFormat="1" ht="14.45" customHeight="1" x14ac:dyDescent="0.25">
      <c r="B60" s="854" t="str">
        <f>Portafolio_Cadena_Maíz!H132</f>
        <v xml:space="preserve">9.2.7. Diseñar y/o mejorar instrumentos de política, para promover la asociatividad, la integración, y el emprendimiento, a lo largo de la cadena maicera.  </v>
      </c>
      <c r="C60" s="855"/>
      <c r="D60" s="855"/>
      <c r="E60" s="855"/>
      <c r="F60" s="855"/>
      <c r="G60" s="855"/>
      <c r="H60" s="855"/>
    </row>
    <row r="61" spans="2:24" s="101" customFormat="1" ht="14.45" customHeight="1" x14ac:dyDescent="0.25">
      <c r="B61" s="854" t="str">
        <f>Portafolio_Cadena_Maíz!H133</f>
        <v xml:space="preserve">9.2.8. Contribuir en el desarrollo de acciones que mejoren la gestión y el recaudo de la cuota de fomento cerealista. </v>
      </c>
      <c r="C61" s="855"/>
      <c r="D61" s="855"/>
      <c r="E61" s="855"/>
      <c r="F61" s="855"/>
      <c r="G61" s="855"/>
      <c r="H61" s="855"/>
    </row>
    <row r="62" spans="2:24" s="101" customFormat="1" ht="25.5" customHeight="1" x14ac:dyDescent="0.25">
      <c r="B62" s="854"/>
      <c r="C62" s="855"/>
      <c r="D62" s="855"/>
      <c r="E62" s="855"/>
      <c r="F62" s="855"/>
      <c r="G62" s="855"/>
      <c r="H62" s="855"/>
    </row>
    <row r="63" spans="2:24" s="101" customFormat="1" ht="15" x14ac:dyDescent="0.25">
      <c r="B63" s="858" t="s">
        <v>595</v>
      </c>
      <c r="C63" s="859"/>
      <c r="D63" s="859"/>
      <c r="E63" s="859"/>
      <c r="F63" s="859"/>
      <c r="G63" s="859"/>
      <c r="H63" s="859"/>
    </row>
    <row r="64" spans="2:24" ht="15" x14ac:dyDescent="0.25">
      <c r="B64" s="234" t="s">
        <v>68</v>
      </c>
      <c r="C64" s="234" t="s">
        <v>58</v>
      </c>
      <c r="D64" s="234" t="s">
        <v>55</v>
      </c>
      <c r="E64" s="234" t="s">
        <v>54</v>
      </c>
      <c r="F64" s="234" t="s">
        <v>69</v>
      </c>
      <c r="G64" s="234" t="s">
        <v>70</v>
      </c>
      <c r="H64" s="234" t="s">
        <v>71</v>
      </c>
    </row>
    <row r="65" spans="1:24" s="67" customFormat="1" x14ac:dyDescent="0.2">
      <c r="A65" s="216"/>
      <c r="B65" s="258" t="s">
        <v>72</v>
      </c>
      <c r="C65" s="107">
        <v>7</v>
      </c>
      <c r="D65" s="104" t="s">
        <v>253</v>
      </c>
      <c r="E65" s="81">
        <v>500000</v>
      </c>
      <c r="F65" s="104"/>
      <c r="G65" s="104"/>
      <c r="H65" s="81">
        <f>+C65*E65</f>
        <v>3500000</v>
      </c>
      <c r="I65" s="248"/>
      <c r="J65" s="362"/>
    </row>
    <row r="66" spans="1:24" s="67" customFormat="1" x14ac:dyDescent="0.2">
      <c r="B66" s="258" t="s">
        <v>324</v>
      </c>
      <c r="C66" s="107">
        <v>10</v>
      </c>
      <c r="D66" s="104" t="s">
        <v>253</v>
      </c>
      <c r="E66" s="81">
        <v>100000</v>
      </c>
      <c r="F66" s="104"/>
      <c r="G66" s="104"/>
      <c r="H66" s="81">
        <f t="shared" ref="H66:H68" si="5">+C66*E66</f>
        <v>1000000</v>
      </c>
      <c r="I66" s="248"/>
      <c r="J66" s="362"/>
    </row>
    <row r="67" spans="1:24" s="67" customFormat="1" x14ac:dyDescent="0.2">
      <c r="A67" s="216"/>
      <c r="B67" s="258" t="s">
        <v>252</v>
      </c>
      <c r="C67" s="107">
        <v>11</v>
      </c>
      <c r="D67" s="258" t="s">
        <v>253</v>
      </c>
      <c r="E67" s="81">
        <v>2300000</v>
      </c>
      <c r="F67" s="258"/>
      <c r="G67" s="258"/>
      <c r="H67" s="81">
        <f t="shared" si="5"/>
        <v>25300000</v>
      </c>
      <c r="I67" s="253"/>
      <c r="J67" s="362"/>
    </row>
    <row r="68" spans="1:24" s="67" customFormat="1" x14ac:dyDescent="0.2">
      <c r="A68" s="216"/>
      <c r="B68" s="258" t="s">
        <v>147</v>
      </c>
      <c r="C68" s="107">
        <v>19</v>
      </c>
      <c r="D68" s="258" t="s">
        <v>253</v>
      </c>
      <c r="E68" s="81">
        <v>460000</v>
      </c>
      <c r="F68" s="258"/>
      <c r="G68" s="258"/>
      <c r="H68" s="81">
        <f t="shared" si="5"/>
        <v>8740000</v>
      </c>
      <c r="I68" s="253"/>
      <c r="J68" s="362"/>
    </row>
    <row r="69" spans="1:24" x14ac:dyDescent="0.2">
      <c r="B69" s="258" t="s">
        <v>197</v>
      </c>
      <c r="C69" s="107">
        <v>3</v>
      </c>
      <c r="D69" s="258" t="s">
        <v>255</v>
      </c>
      <c r="E69" s="81">
        <v>7862772</v>
      </c>
      <c r="F69" s="258"/>
      <c r="G69" s="258">
        <v>8</v>
      </c>
      <c r="H69" s="81">
        <f>+C69*E69*G69</f>
        <v>188706528</v>
      </c>
      <c r="I69" s="248"/>
      <c r="J69" s="361"/>
    </row>
    <row r="70" spans="1:24" x14ac:dyDescent="0.2">
      <c r="B70" s="258" t="s">
        <v>256</v>
      </c>
      <c r="C70" s="107">
        <v>3</v>
      </c>
      <c r="D70" s="258" t="s">
        <v>255</v>
      </c>
      <c r="E70" s="81">
        <v>1769683</v>
      </c>
      <c r="F70" s="258"/>
      <c r="G70" s="258">
        <v>8</v>
      </c>
      <c r="H70" s="81">
        <f>+C70*E70*G70</f>
        <v>42472392</v>
      </c>
      <c r="I70" s="248"/>
      <c r="J70" s="361"/>
    </row>
    <row r="71" spans="1:24" x14ac:dyDescent="0.2">
      <c r="B71" s="258" t="s">
        <v>400</v>
      </c>
      <c r="C71" s="107">
        <v>1</v>
      </c>
      <c r="D71" s="258" t="s">
        <v>253</v>
      </c>
      <c r="E71" s="81">
        <v>60000000</v>
      </c>
      <c r="F71" s="258"/>
      <c r="G71" s="258"/>
      <c r="H71" s="81">
        <f>C71*E71</f>
        <v>60000000</v>
      </c>
      <c r="I71" s="248"/>
      <c r="J71" s="361"/>
    </row>
    <row r="72" spans="1:24" ht="15" x14ac:dyDescent="0.25">
      <c r="B72" s="258" t="s">
        <v>187</v>
      </c>
      <c r="C72" s="258"/>
      <c r="D72" s="258"/>
      <c r="E72" s="258"/>
      <c r="F72" s="258"/>
      <c r="G72" s="258"/>
      <c r="H72" s="81" t="s">
        <v>250</v>
      </c>
      <c r="I72" s="259" t="s">
        <v>159</v>
      </c>
      <c r="J72" s="361"/>
    </row>
    <row r="73" spans="1:24" ht="15" x14ac:dyDescent="0.25">
      <c r="B73" s="249" t="s">
        <v>85</v>
      </c>
      <c r="C73" s="250"/>
      <c r="D73" s="250"/>
      <c r="E73" s="251"/>
      <c r="F73" s="251"/>
      <c r="G73" s="250"/>
      <c r="H73" s="259">
        <f>SUM(H65:H72)</f>
        <v>329718920</v>
      </c>
      <c r="I73" s="259">
        <f>H73/12</f>
        <v>27476576.666666668</v>
      </c>
      <c r="J73" s="361"/>
    </row>
    <row r="74" spans="1:24" s="67" customFormat="1" ht="260.45" hidden="1" customHeight="1" x14ac:dyDescent="0.2">
      <c r="B74" s="99" t="s">
        <v>86</v>
      </c>
      <c r="C74" s="256"/>
      <c r="D74" s="256"/>
      <c r="E74" s="256"/>
      <c r="F74" s="256"/>
      <c r="G74" s="256"/>
      <c r="H74" s="256"/>
      <c r="J74" s="216"/>
    </row>
    <row r="75" spans="1:24" ht="208.5" customHeight="1" x14ac:dyDescent="0.2">
      <c r="B75" s="254" t="s">
        <v>398</v>
      </c>
      <c r="C75" s="67"/>
      <c r="D75" s="67"/>
      <c r="E75" s="67"/>
      <c r="F75" s="233"/>
      <c r="G75" s="233"/>
      <c r="H75" s="67"/>
    </row>
    <row r="76" spans="1:24" x14ac:dyDescent="0.2">
      <c r="B76" s="67"/>
      <c r="C76" s="67"/>
      <c r="D76" s="67"/>
      <c r="E76" s="67"/>
      <c r="F76" s="67"/>
      <c r="G76" s="67"/>
    </row>
    <row r="78" spans="1:24" s="67" customFormat="1" ht="14.45" customHeight="1" x14ac:dyDescent="0.25">
      <c r="B78" s="867" t="str">
        <f>Portafolio_Cadena_Maíz!D134</f>
        <v>9.3. Fortalecimiento de mecanismos institucionales para el impulso a las inversiones en producción de maíz a mediana y gran escala.</v>
      </c>
      <c r="C78" s="868"/>
      <c r="D78" s="868"/>
      <c r="E78" s="868"/>
      <c r="F78" s="868"/>
      <c r="G78" s="868"/>
      <c r="H78" s="868"/>
    </row>
    <row r="79" spans="1:24" hidden="1" x14ac:dyDescent="0.2">
      <c r="B79" s="256"/>
      <c r="C79" s="256"/>
      <c r="D79" s="256"/>
      <c r="E79" s="256"/>
      <c r="F79" s="256"/>
      <c r="G79" s="256"/>
      <c r="H79" s="256"/>
    </row>
    <row r="80" spans="1:24" s="102" customFormat="1" ht="27.6" customHeight="1" x14ac:dyDescent="0.25">
      <c r="B80" s="854" t="str">
        <f>Portafolio_Cadena_Maíz!H134</f>
        <v>9.3.1. Promover la conformación de una red colaborativa entre actores nacionales e internacionales, que facilite y agilice los procesos de validación tecnológica, necesarios para la adopción rápida de semillas de última tecnología, la protección de cultivares y el acceso a la producción de biológicos, entre otros avances tecnológicos, para unidades productivas de maíz a mediana y gran escala.</v>
      </c>
      <c r="C80" s="855"/>
      <c r="D80" s="855"/>
      <c r="E80" s="855"/>
      <c r="F80" s="855"/>
      <c r="G80" s="855"/>
      <c r="H80" s="855"/>
      <c r="I80" s="414"/>
      <c r="X80" s="77"/>
    </row>
    <row r="81" spans="1:24" s="102" customFormat="1" ht="15" x14ac:dyDescent="0.25">
      <c r="B81" s="854" t="str">
        <f>Portafolio_Cadena_Maíz!H135</f>
        <v xml:space="preserve">9.3.2. Analizar el procedimiento de importación de material genético de maíz, identificando oportunidades de mejora para agilizar los trámites de ingreso al país y gestionando los respectivos cambios. </v>
      </c>
      <c r="C81" s="855"/>
      <c r="D81" s="855"/>
      <c r="E81" s="855"/>
      <c r="F81" s="855"/>
      <c r="G81" s="855"/>
      <c r="H81" s="855"/>
      <c r="I81" s="414"/>
      <c r="X81" s="77"/>
    </row>
    <row r="82" spans="1:24" s="102" customFormat="1" ht="15" x14ac:dyDescent="0.25">
      <c r="B82" s="854" t="str">
        <f>Portafolio_Cadena_Maíz!H136</f>
        <v>9.3.3. Analizar los trámites asociados al cumplimiento de los requisitos ambientales para el desarrollo de modelos agroempresariales de la cadena de maíz, y gestionar su simplificación, automatización y estandarización.</v>
      </c>
      <c r="C82" s="855"/>
      <c r="D82" s="855"/>
      <c r="E82" s="855"/>
      <c r="F82" s="855"/>
      <c r="G82" s="855"/>
      <c r="H82" s="855"/>
      <c r="I82" s="414"/>
      <c r="X82" s="77"/>
    </row>
    <row r="83" spans="1:24" s="101" customFormat="1" ht="27" customHeight="1" x14ac:dyDescent="0.25">
      <c r="B83" s="854" t="str">
        <f>Portafolio_Cadena_Maíz!H137</f>
        <v xml:space="preserve">9.3.4. Revisar la normatividad vigente sobre el acceso a la tierra para la consolidación y seguridad jurídica de las inversiones privadas en la producción de maíz, teniendo en cuenta las diferentes escalas de inversión y los tiempos de retorno. </v>
      </c>
      <c r="C83" s="855"/>
      <c r="D83" s="855"/>
      <c r="E83" s="855"/>
      <c r="F83" s="855"/>
      <c r="G83" s="855"/>
      <c r="H83" s="855"/>
    </row>
    <row r="84" spans="1:24" s="101" customFormat="1" ht="44.1" customHeight="1" x14ac:dyDescent="0.25">
      <c r="B84" s="854" t="str">
        <f>Portafolio_Cadena_Maíz!H138</f>
        <v>9.3.5. Promover la evaluación y actualización periódica de los beneficios tributarios para las grandes inversiones, acordes con las necesidades de los agroempresarios de la cadena de maíz, valorando las condiciones de acceso a estos y su aplicación a las particularidades de la actividad productiva, así como su impacto en la inversión, empleo, avance tecnológico y competitividad en la cadena maicera (ej.: Resolución 194 de 2020, Decreto 1157 de 2020, Estatuto Tributario, entre otras).</v>
      </c>
      <c r="C84" s="855"/>
      <c r="D84" s="855"/>
      <c r="E84" s="855"/>
      <c r="F84" s="855"/>
      <c r="G84" s="855"/>
      <c r="H84" s="855"/>
    </row>
    <row r="85" spans="1:24" s="101" customFormat="1" ht="34.5" customHeight="1" x14ac:dyDescent="0.25">
      <c r="B85" s="854" t="str">
        <f>Portafolio_Cadena_Maíz!H139</f>
        <v>9.3.6. Diseñar incentivos para inversiones de mediana y gran escala que incluyan topes acordes a la realidad del mercado y de la actividad, para el establecimiento de sistemas productivos que mantienen de forma permanente la rotación de cultivos de ciclo corto.</v>
      </c>
      <c r="C85" s="855"/>
      <c r="D85" s="855"/>
      <c r="E85" s="855"/>
      <c r="F85" s="855"/>
      <c r="G85" s="855"/>
      <c r="H85" s="855"/>
    </row>
    <row r="86" spans="1:24" s="101" customFormat="1" ht="34.5" customHeight="1" x14ac:dyDescent="0.25">
      <c r="B86" s="854" t="str">
        <f>Portafolio_Cadena_Maíz!H140</f>
        <v>9.3.7. Analizar la situación del mercado y el potencial para aprovechar instrumentos como los contratos a término y de futuros, con garantías de cumplimiento para productores y compradores, teniendo en cuenta las proyecciones de crecimiento de la cadena de maíz y las necesidades de los actores, generando las recomendaciones y planes de implementación para el uso de estos instrumentos.</v>
      </c>
      <c r="C86" s="855"/>
      <c r="D86" s="855"/>
      <c r="E86" s="855"/>
      <c r="F86" s="855"/>
      <c r="G86" s="855"/>
      <c r="H86" s="855"/>
    </row>
    <row r="87" spans="1:24" s="101" customFormat="1" ht="12.95" customHeight="1" x14ac:dyDescent="0.25">
      <c r="B87" s="659"/>
      <c r="C87" s="660"/>
      <c r="D87" s="660"/>
      <c r="E87" s="660"/>
      <c r="F87" s="660"/>
      <c r="G87" s="660"/>
      <c r="H87" s="660"/>
    </row>
    <row r="88" spans="1:24" s="101" customFormat="1" ht="15" x14ac:dyDescent="0.25">
      <c r="B88" s="854"/>
      <c r="C88" s="855"/>
      <c r="D88" s="855"/>
      <c r="E88" s="855"/>
      <c r="F88" s="855"/>
      <c r="G88" s="855"/>
      <c r="H88" s="855"/>
    </row>
    <row r="89" spans="1:24" s="101" customFormat="1" ht="15" x14ac:dyDescent="0.25">
      <c r="B89" s="858" t="s">
        <v>595</v>
      </c>
      <c r="C89" s="859"/>
      <c r="D89" s="859"/>
      <c r="E89" s="859"/>
      <c r="F89" s="859"/>
      <c r="G89" s="859"/>
      <c r="H89" s="859"/>
    </row>
    <row r="90" spans="1:24" ht="15" x14ac:dyDescent="0.25">
      <c r="B90" s="234" t="s">
        <v>68</v>
      </c>
      <c r="C90" s="234" t="s">
        <v>58</v>
      </c>
      <c r="D90" s="234" t="s">
        <v>55</v>
      </c>
      <c r="E90" s="234" t="s">
        <v>54</v>
      </c>
      <c r="F90" s="234" t="s">
        <v>69</v>
      </c>
      <c r="G90" s="234" t="s">
        <v>70</v>
      </c>
      <c r="H90" s="234" t="s">
        <v>71</v>
      </c>
      <c r="J90" s="67"/>
    </row>
    <row r="91" spans="1:24" s="67" customFormat="1" x14ac:dyDescent="0.2">
      <c r="A91" s="216"/>
      <c r="B91" s="258" t="s">
        <v>252</v>
      </c>
      <c r="C91" s="107">
        <v>8</v>
      </c>
      <c r="D91" s="104" t="s">
        <v>253</v>
      </c>
      <c r="E91" s="81">
        <v>2300000</v>
      </c>
      <c r="F91" s="104"/>
      <c r="G91" s="104"/>
      <c r="H91" s="81">
        <f>+C91*E91</f>
        <v>18400000</v>
      </c>
      <c r="I91" s="248"/>
      <c r="J91" s="362"/>
    </row>
    <row r="92" spans="1:24" s="67" customFormat="1" x14ac:dyDescent="0.2">
      <c r="B92" s="258" t="s">
        <v>147</v>
      </c>
      <c r="C92" s="107">
        <v>20</v>
      </c>
      <c r="D92" s="104" t="s">
        <v>253</v>
      </c>
      <c r="E92" s="81">
        <v>460000</v>
      </c>
      <c r="F92" s="104"/>
      <c r="G92" s="104"/>
      <c r="H92" s="81">
        <f>+C92*E92</f>
        <v>9200000</v>
      </c>
      <c r="I92" s="248"/>
      <c r="J92" s="362"/>
    </row>
    <row r="93" spans="1:24" s="67" customFormat="1" x14ac:dyDescent="0.2">
      <c r="A93" s="216"/>
      <c r="B93" s="258" t="s">
        <v>217</v>
      </c>
      <c r="C93" s="107">
        <v>14</v>
      </c>
      <c r="D93" s="258" t="s">
        <v>253</v>
      </c>
      <c r="E93" s="81">
        <v>100000</v>
      </c>
      <c r="F93" s="258"/>
      <c r="G93" s="258"/>
      <c r="H93" s="81">
        <f>+C93*E93</f>
        <v>1400000</v>
      </c>
      <c r="I93" s="253"/>
      <c r="J93" s="362"/>
    </row>
    <row r="94" spans="1:24" s="67" customFormat="1" x14ac:dyDescent="0.2">
      <c r="A94" s="216"/>
      <c r="B94" s="258" t="s">
        <v>72</v>
      </c>
      <c r="C94" s="107">
        <v>7</v>
      </c>
      <c r="D94" s="258" t="s">
        <v>253</v>
      </c>
      <c r="E94" s="81">
        <v>500000</v>
      </c>
      <c r="F94" s="258"/>
      <c r="G94" s="258"/>
      <c r="H94" s="81">
        <f>+C94*E94</f>
        <v>3500000</v>
      </c>
      <c r="I94" s="253"/>
      <c r="J94" s="361"/>
    </row>
    <row r="95" spans="1:24" x14ac:dyDescent="0.2">
      <c r="B95" s="258" t="s">
        <v>320</v>
      </c>
      <c r="C95" s="107">
        <v>4</v>
      </c>
      <c r="D95" s="258" t="s">
        <v>73</v>
      </c>
      <c r="E95" s="81">
        <v>1800000</v>
      </c>
      <c r="F95" s="258"/>
      <c r="G95" s="258"/>
      <c r="H95" s="81">
        <f>C95*E95</f>
        <v>7200000</v>
      </c>
      <c r="I95" s="248"/>
      <c r="J95" s="362"/>
    </row>
    <row r="96" spans="1:24" s="67" customFormat="1" x14ac:dyDescent="0.2">
      <c r="A96" s="216"/>
      <c r="B96" s="258" t="s">
        <v>289</v>
      </c>
      <c r="C96" s="107">
        <v>4</v>
      </c>
      <c r="D96" s="258" t="s">
        <v>73</v>
      </c>
      <c r="E96" s="81">
        <v>3381852</v>
      </c>
      <c r="F96" s="258"/>
      <c r="G96" s="258"/>
      <c r="H96" s="81">
        <f>C96*E96</f>
        <v>13527408</v>
      </c>
      <c r="I96" s="248"/>
      <c r="J96" s="362"/>
    </row>
    <row r="97" spans="1:24" s="67" customFormat="1" x14ac:dyDescent="0.2">
      <c r="B97" s="258" t="s">
        <v>254</v>
      </c>
      <c r="C97" s="280">
        <v>1</v>
      </c>
      <c r="D97" s="258" t="s">
        <v>253</v>
      </c>
      <c r="E97" s="81">
        <v>142800000</v>
      </c>
      <c r="F97" s="258"/>
      <c r="G97" s="258"/>
      <c r="H97" s="81">
        <f t="shared" ref="H97" si="6">+C97*E97</f>
        <v>142800000</v>
      </c>
      <c r="I97" s="248"/>
      <c r="J97" s="362"/>
    </row>
    <row r="98" spans="1:24" s="67" customFormat="1" x14ac:dyDescent="0.2">
      <c r="A98" s="216"/>
      <c r="B98" s="258" t="s">
        <v>321</v>
      </c>
      <c r="C98" s="107">
        <v>10</v>
      </c>
      <c r="D98" s="104" t="s">
        <v>253</v>
      </c>
      <c r="E98" s="81">
        <v>14500000</v>
      </c>
      <c r="F98" s="104"/>
      <c r="G98" s="104"/>
      <c r="H98" s="81">
        <f>+C98*E98</f>
        <v>145000000</v>
      </c>
      <c r="I98" s="253"/>
      <c r="J98" s="362"/>
    </row>
    <row r="99" spans="1:24" s="67" customFormat="1" x14ac:dyDescent="0.2">
      <c r="A99" s="216"/>
      <c r="B99" s="258" t="s">
        <v>197</v>
      </c>
      <c r="C99" s="107">
        <v>5</v>
      </c>
      <c r="D99" s="104" t="s">
        <v>255</v>
      </c>
      <c r="E99" s="81">
        <v>8963563</v>
      </c>
      <c r="F99" s="104"/>
      <c r="G99" s="107">
        <v>8</v>
      </c>
      <c r="H99" s="81">
        <f>+C99*E99*G99</f>
        <v>358542520</v>
      </c>
      <c r="I99" s="253"/>
      <c r="J99" s="361"/>
    </row>
    <row r="100" spans="1:24" ht="15" x14ac:dyDescent="0.25">
      <c r="B100" s="258" t="s">
        <v>256</v>
      </c>
      <c r="C100" s="107">
        <v>5</v>
      </c>
      <c r="D100" s="258" t="s">
        <v>255</v>
      </c>
      <c r="E100" s="81">
        <v>856561</v>
      </c>
      <c r="F100" s="258"/>
      <c r="G100" s="280"/>
      <c r="H100" s="81">
        <f>C100*E100</f>
        <v>4282805</v>
      </c>
      <c r="I100" s="308"/>
      <c r="J100" s="361"/>
    </row>
    <row r="101" spans="1:24" ht="15" x14ac:dyDescent="0.25">
      <c r="B101" s="258" t="s">
        <v>257</v>
      </c>
      <c r="C101" s="107">
        <v>7</v>
      </c>
      <c r="D101" s="258" t="s">
        <v>255</v>
      </c>
      <c r="E101" s="81">
        <v>2516084</v>
      </c>
      <c r="F101" s="258"/>
      <c r="G101" s="280">
        <v>6</v>
      </c>
      <c r="H101" s="81">
        <f>+G101*E101*C101</f>
        <v>105675528</v>
      </c>
      <c r="I101" s="308"/>
      <c r="J101" s="361"/>
    </row>
    <row r="102" spans="1:24" ht="15" x14ac:dyDescent="0.25">
      <c r="B102" s="258" t="s">
        <v>56</v>
      </c>
      <c r="C102" s="107">
        <v>7</v>
      </c>
      <c r="D102" s="258" t="s">
        <v>255</v>
      </c>
      <c r="E102" s="81">
        <v>1300000</v>
      </c>
      <c r="F102" s="258"/>
      <c r="G102" s="280">
        <v>6</v>
      </c>
      <c r="H102" s="81">
        <f>+G102*E102*C102</f>
        <v>54600000</v>
      </c>
      <c r="I102" s="308"/>
      <c r="J102" s="361"/>
    </row>
    <row r="103" spans="1:24" ht="15" x14ac:dyDescent="0.25">
      <c r="B103" s="258" t="s">
        <v>178</v>
      </c>
      <c r="C103" s="107">
        <v>7</v>
      </c>
      <c r="D103" s="258" t="s">
        <v>255</v>
      </c>
      <c r="E103" s="81">
        <v>155000</v>
      </c>
      <c r="F103" s="258"/>
      <c r="G103" s="280">
        <v>6</v>
      </c>
      <c r="H103" s="81">
        <f>+G103*E103*C103</f>
        <v>6510000</v>
      </c>
      <c r="I103" s="308"/>
      <c r="J103" s="361"/>
    </row>
    <row r="104" spans="1:24" s="67" customFormat="1" ht="260.45" hidden="1" customHeight="1" x14ac:dyDescent="0.25">
      <c r="B104" s="258" t="s">
        <v>292</v>
      </c>
      <c r="C104" s="258"/>
      <c r="D104" s="258"/>
      <c r="E104" s="258"/>
      <c r="F104" s="258"/>
      <c r="G104" s="258"/>
      <c r="H104" s="81" t="s">
        <v>250</v>
      </c>
      <c r="I104" s="308"/>
      <c r="J104" s="216"/>
    </row>
    <row r="105" spans="1:24" s="67" customFormat="1" ht="15" x14ac:dyDescent="0.25">
      <c r="B105" s="258" t="s">
        <v>336</v>
      </c>
      <c r="C105" s="258"/>
      <c r="D105" s="258"/>
      <c r="E105" s="258"/>
      <c r="F105" s="258"/>
      <c r="G105" s="258"/>
      <c r="H105" s="81" t="s">
        <v>250</v>
      </c>
      <c r="I105" s="259" t="s">
        <v>159</v>
      </c>
      <c r="J105" s="216"/>
    </row>
    <row r="106" spans="1:24" ht="15" x14ac:dyDescent="0.25">
      <c r="B106" s="249" t="s">
        <v>85</v>
      </c>
      <c r="C106" s="250"/>
      <c r="D106" s="250"/>
      <c r="E106" s="251"/>
      <c r="F106" s="251"/>
      <c r="G106" s="250"/>
      <c r="H106" s="259">
        <f>SUM(H91:H104)</f>
        <v>870638261</v>
      </c>
      <c r="I106" s="259">
        <f>H106/12</f>
        <v>72553188.416666672</v>
      </c>
      <c r="J106" s="362"/>
    </row>
    <row r="107" spans="1:24" s="67" customFormat="1" ht="256.5" x14ac:dyDescent="0.25">
      <c r="B107" s="254" t="s">
        <v>337</v>
      </c>
      <c r="C107" s="306"/>
      <c r="D107" s="306"/>
      <c r="E107" s="307"/>
      <c r="F107" s="307"/>
      <c r="G107" s="306"/>
      <c r="H107" s="308"/>
      <c r="I107" s="308"/>
    </row>
    <row r="108" spans="1:24" s="67" customFormat="1" ht="15" x14ac:dyDescent="0.25">
      <c r="B108" s="305"/>
      <c r="C108" s="306"/>
      <c r="D108" s="306"/>
      <c r="E108" s="307"/>
      <c r="F108" s="307"/>
      <c r="G108" s="306"/>
      <c r="H108" s="308"/>
      <c r="I108" s="308"/>
    </row>
    <row r="110" spans="1:24" x14ac:dyDescent="0.2">
      <c r="B110" s="869" t="str">
        <f>Portafolio_Cadena_Maíz!D141</f>
        <v>9.4. Diseño y operación del Sistema nacional de Información para la cadena de maíz.</v>
      </c>
      <c r="C110" s="870"/>
      <c r="D110" s="870"/>
      <c r="E110" s="870"/>
      <c r="F110" s="870"/>
      <c r="G110" s="870"/>
      <c r="H110" s="870"/>
    </row>
    <row r="111" spans="1:24" s="102" customFormat="1" ht="41.1" customHeight="1" x14ac:dyDescent="0.25">
      <c r="B111" s="854" t="str">
        <f>Portafolio_Cadena_Maíz!H141</f>
        <v xml:space="preserve">9.4.1. Elaborar un estudio técnico, financiero, jurídico y operativo para el desarrollo de un Sistema de Información para la cadena de maíz,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seleccionando la mejor alternativa para la gestión de la información sectorial a nivel nacional y regional. </v>
      </c>
      <c r="C111" s="855"/>
      <c r="D111" s="855"/>
      <c r="E111" s="855"/>
      <c r="F111" s="855"/>
      <c r="G111" s="855"/>
      <c r="H111" s="855"/>
      <c r="I111" s="414"/>
      <c r="X111" s="77"/>
    </row>
    <row r="112" spans="1:24" s="102" customFormat="1" ht="50.1" customHeight="1" x14ac:dyDescent="0.25">
      <c r="B112" s="854" t="str">
        <f>Portafolio_Cadena_Maíz!H142</f>
        <v xml:space="preserve">9.4.2. Poner en funcionamiento el sistema de información para la cadena maicera, a partir del establecimiento de acuerdos con los actores generadores de información, que aseguren la interoperabilidad del sistema, y realizando el levantamiento, procesamiento, análisis, monitoreo, actualización, publicación y divulgación de la información, requerida por los diferentes actores dirigidos al monitoreo de la competitividad y sostenibilidad de la cadena estableciendo: reportes y análisis de precio y calidad según el tipo y destino del maíz, indicadores de costos y eficiencia productiva y de desempeño (área, producción y rendimiento), consumo aparente, informes agroclimáticos, entre otros. </v>
      </c>
      <c r="C112" s="855"/>
      <c r="D112" s="855"/>
      <c r="E112" s="855"/>
      <c r="F112" s="855"/>
      <c r="G112" s="855"/>
      <c r="H112" s="855"/>
      <c r="I112" s="414"/>
      <c r="X112" s="77"/>
    </row>
    <row r="113" spans="2:24" s="102" customFormat="1" ht="40.5" customHeight="1" x14ac:dyDescent="0.25">
      <c r="B113" s="854" t="str">
        <f>Portafolio_Cadena_Maíz!H143</f>
        <v>9.4.3. Caracterizar la producción, comercialización y procesamiento de maíz, a nivel subregional, incluyendo tanto sistema de producción tradicional como tecnificado, e identificando productores, empresas, esquemas asociativos, y de integración vertical y horizontal, actuales y potenciales, y su oferta de productos y desempeño, modelos de negocio exitosos a lo largo de la cadena; necesidades de formación básica y técnica de productores, procesadores, y comercializadores, entre otros aspectos.</v>
      </c>
      <c r="C113" s="855"/>
      <c r="D113" s="855"/>
      <c r="E113" s="855"/>
      <c r="F113" s="855"/>
      <c r="G113" s="855"/>
      <c r="H113" s="855"/>
      <c r="I113" s="414"/>
      <c r="X113" s="77"/>
    </row>
    <row r="114" spans="2:24" s="101" customFormat="1" ht="27" customHeight="1" x14ac:dyDescent="0.25">
      <c r="B114" s="854" t="str">
        <f>Portafolio_Cadena_Maíz!H144</f>
        <v>9.4.4. Monitorear el comportamiento del abastecimiento del mercado y de los requerimientos de la demanda nacional para las diferentes líneas de producción, y caracterizar el consumo nacional de maíz en sus diferentes segmentos de mercado, escalas de producción y tipos de industria del consumo humano y animal.</v>
      </c>
      <c r="C114" s="855"/>
      <c r="D114" s="855"/>
      <c r="E114" s="855"/>
      <c r="F114" s="855"/>
      <c r="G114" s="855"/>
      <c r="H114" s="855"/>
    </row>
    <row r="115" spans="2:24" s="101" customFormat="1" ht="15.6" customHeight="1" x14ac:dyDescent="0.25">
      <c r="B115" s="854"/>
      <c r="C115" s="855"/>
      <c r="D115" s="855"/>
      <c r="E115" s="855"/>
      <c r="F115" s="855"/>
      <c r="G115" s="855"/>
      <c r="H115" s="855"/>
    </row>
    <row r="116" spans="2:24" s="101" customFormat="1" ht="15" x14ac:dyDescent="0.25">
      <c r="B116" s="854"/>
      <c r="C116" s="855"/>
      <c r="D116" s="855"/>
      <c r="E116" s="855"/>
      <c r="F116" s="855"/>
      <c r="G116" s="855"/>
      <c r="H116" s="855"/>
    </row>
    <row r="117" spans="2:24" s="101" customFormat="1" ht="15" x14ac:dyDescent="0.25">
      <c r="B117" s="858" t="s">
        <v>595</v>
      </c>
      <c r="C117" s="859"/>
      <c r="D117" s="859"/>
      <c r="E117" s="859"/>
      <c r="F117" s="859"/>
      <c r="G117" s="859"/>
      <c r="H117" s="859"/>
    </row>
    <row r="118" spans="2:24" ht="15" x14ac:dyDescent="0.2">
      <c r="B118" s="260" t="s">
        <v>68</v>
      </c>
      <c r="C118" s="260" t="s">
        <v>58</v>
      </c>
      <c r="D118" s="260" t="s">
        <v>55</v>
      </c>
      <c r="E118" s="260" t="s">
        <v>54</v>
      </c>
      <c r="F118" s="260" t="s">
        <v>69</v>
      </c>
      <c r="G118" s="260" t="s">
        <v>70</v>
      </c>
      <c r="H118" s="260" t="s">
        <v>71</v>
      </c>
      <c r="J118" s="361"/>
    </row>
    <row r="119" spans="2:24" ht="28.5" x14ac:dyDescent="0.2">
      <c r="B119" s="261" t="s">
        <v>252</v>
      </c>
      <c r="C119" s="237">
        <f>7+7+1</f>
        <v>15</v>
      </c>
      <c r="D119" s="238" t="s">
        <v>253</v>
      </c>
      <c r="E119" s="239">
        <v>2300000</v>
      </c>
      <c r="F119" s="262"/>
      <c r="G119" s="262"/>
      <c r="H119" s="263">
        <f>C119*E119</f>
        <v>34500000</v>
      </c>
      <c r="J119" s="361"/>
    </row>
    <row r="120" spans="2:24" x14ac:dyDescent="0.2">
      <c r="B120" s="264" t="s">
        <v>147</v>
      </c>
      <c r="C120" s="107">
        <f>19</f>
        <v>19</v>
      </c>
      <c r="D120" s="238" t="s">
        <v>253</v>
      </c>
      <c r="E120" s="239">
        <v>460000</v>
      </c>
      <c r="F120" s="262"/>
      <c r="G120" s="262"/>
      <c r="H120" s="263">
        <f t="shared" ref="H120:H122" si="7">C120*E120</f>
        <v>8740000</v>
      </c>
      <c r="J120" s="361"/>
    </row>
    <row r="121" spans="2:24" x14ac:dyDescent="0.2">
      <c r="B121" s="261" t="s">
        <v>217</v>
      </c>
      <c r="C121" s="107">
        <v>7</v>
      </c>
      <c r="D121" s="238" t="s">
        <v>253</v>
      </c>
      <c r="E121" s="239">
        <v>100000</v>
      </c>
      <c r="F121" s="262"/>
      <c r="G121" s="262"/>
      <c r="H121" s="263">
        <f t="shared" si="7"/>
        <v>700000</v>
      </c>
      <c r="J121" s="361"/>
    </row>
    <row r="122" spans="2:24" x14ac:dyDescent="0.2">
      <c r="B122" s="261" t="s">
        <v>72</v>
      </c>
      <c r="C122" s="107">
        <v>7</v>
      </c>
      <c r="D122" s="238" t="s">
        <v>253</v>
      </c>
      <c r="E122" s="239">
        <v>500000</v>
      </c>
      <c r="F122" s="262"/>
      <c r="G122" s="262"/>
      <c r="H122" s="263">
        <f t="shared" si="7"/>
        <v>3500000</v>
      </c>
      <c r="J122" s="361"/>
    </row>
    <row r="123" spans="2:24" x14ac:dyDescent="0.2">
      <c r="B123" s="264" t="s">
        <v>197</v>
      </c>
      <c r="C123" s="241">
        <v>3</v>
      </c>
      <c r="D123" s="242" t="s">
        <v>255</v>
      </c>
      <c r="E123" s="243">
        <v>7862772</v>
      </c>
      <c r="F123" s="262"/>
      <c r="G123" s="265">
        <v>8</v>
      </c>
      <c r="H123" s="263">
        <f>C123*E123*G123</f>
        <v>188706528</v>
      </c>
      <c r="J123" s="361"/>
    </row>
    <row r="124" spans="2:24" x14ac:dyDescent="0.2">
      <c r="B124" s="264" t="s">
        <v>256</v>
      </c>
      <c r="C124" s="241">
        <v>3</v>
      </c>
      <c r="D124" s="242" t="s">
        <v>255</v>
      </c>
      <c r="E124" s="243">
        <v>1769683</v>
      </c>
      <c r="F124" s="262"/>
      <c r="G124" s="265"/>
      <c r="H124" s="263">
        <f>C124*E124</f>
        <v>5309049</v>
      </c>
      <c r="J124" s="361"/>
    </row>
    <row r="125" spans="2:24" x14ac:dyDescent="0.2">
      <c r="B125" s="264" t="s">
        <v>257</v>
      </c>
      <c r="C125" s="241">
        <v>10</v>
      </c>
      <c r="D125" s="242" t="s">
        <v>255</v>
      </c>
      <c r="E125" s="243">
        <v>3931384</v>
      </c>
      <c r="F125" s="262"/>
      <c r="G125" s="265">
        <v>6</v>
      </c>
      <c r="H125" s="263">
        <f>C125*E125*G125</f>
        <v>235883040</v>
      </c>
      <c r="J125" s="361"/>
    </row>
    <row r="126" spans="2:24" x14ac:dyDescent="0.2">
      <c r="B126" s="264" t="s">
        <v>56</v>
      </c>
      <c r="C126" s="241">
        <v>10</v>
      </c>
      <c r="D126" s="242" t="s">
        <v>255</v>
      </c>
      <c r="E126" s="243">
        <v>1300000</v>
      </c>
      <c r="F126" s="266"/>
      <c r="G126" s="265">
        <v>6</v>
      </c>
      <c r="H126" s="263">
        <f t="shared" ref="H126:H128" si="8">C126*E126*G126</f>
        <v>78000000</v>
      </c>
      <c r="J126" s="361"/>
    </row>
    <row r="127" spans="2:24" x14ac:dyDescent="0.2">
      <c r="B127" s="264" t="s">
        <v>178</v>
      </c>
      <c r="C127" s="241">
        <v>10</v>
      </c>
      <c r="D127" s="242" t="s">
        <v>73</v>
      </c>
      <c r="E127" s="243">
        <v>155000</v>
      </c>
      <c r="F127" s="262"/>
      <c r="G127" s="265">
        <v>6</v>
      </c>
      <c r="H127" s="263">
        <f t="shared" si="8"/>
        <v>9300000</v>
      </c>
      <c r="J127" s="361"/>
    </row>
    <row r="128" spans="2:24" ht="15" x14ac:dyDescent="0.2">
      <c r="B128" s="262" t="s">
        <v>325</v>
      </c>
      <c r="C128" s="262"/>
      <c r="D128" s="262"/>
      <c r="E128" s="262"/>
      <c r="F128" s="262"/>
      <c r="G128" s="262"/>
      <c r="H128" s="263">
        <f t="shared" si="8"/>
        <v>0</v>
      </c>
      <c r="I128" s="269" t="s">
        <v>159</v>
      </c>
      <c r="J128" s="361"/>
    </row>
    <row r="129" spans="2:24" ht="15" x14ac:dyDescent="0.2">
      <c r="B129" s="260" t="s">
        <v>85</v>
      </c>
      <c r="C129" s="267"/>
      <c r="D129" s="267"/>
      <c r="E129" s="268"/>
      <c r="F129" s="268"/>
      <c r="G129" s="267"/>
      <c r="H129" s="269">
        <f>SUM(H119:H128)</f>
        <v>564638617</v>
      </c>
      <c r="I129" s="269">
        <f>H129/12</f>
        <v>47053218.083333336</v>
      </c>
      <c r="J129" s="361"/>
    </row>
    <row r="130" spans="2:24" ht="199.5" x14ac:dyDescent="0.2">
      <c r="B130" s="254" t="s">
        <v>331</v>
      </c>
      <c r="C130" s="270"/>
      <c r="D130" s="271"/>
      <c r="E130" s="271"/>
      <c r="F130" s="271"/>
      <c r="G130" s="271"/>
      <c r="H130" s="271"/>
    </row>
    <row r="133" spans="2:24" ht="15" x14ac:dyDescent="0.2">
      <c r="B133" s="869" t="str">
        <f>+B12</f>
        <v>9.5. Constitución y fortalecimiento de la Organización de Cadena de maíz.</v>
      </c>
      <c r="C133" s="869"/>
      <c r="D133" s="869"/>
      <c r="E133" s="869"/>
      <c r="F133" s="869"/>
      <c r="G133" s="869"/>
      <c r="H133" s="869"/>
    </row>
    <row r="134" spans="2:24" s="102" customFormat="1" ht="15" x14ac:dyDescent="0.25">
      <c r="B134" s="854" t="str">
        <f>Portafolio_Cadena_Maíz!H145</f>
        <v>9.5.1. Priorizar las subregiones maiceras de acuerdo con criterios de aptitud, productividad, infraestructura, bienes y servicios, mercado actual y potencial, interés y participación de los actores, entre otros factores.</v>
      </c>
      <c r="C134" s="855"/>
      <c r="D134" s="855"/>
      <c r="E134" s="855"/>
      <c r="F134" s="855"/>
      <c r="G134" s="855"/>
      <c r="H134" s="855"/>
      <c r="I134" s="414"/>
      <c r="X134" s="77"/>
    </row>
    <row r="135" spans="2:24" s="102" customFormat="1" ht="15" x14ac:dyDescent="0.25">
      <c r="B135" s="854" t="str">
        <f>Portafolio_Cadena_Maíz!H146</f>
        <v>9.5.2. Crear, fortalecer y gestionar los recursos para el funcionamiento de los comités regionales de la cadena de maíz, en el marco de la Ley 811 de 2003.</v>
      </c>
      <c r="C135" s="855"/>
      <c r="D135" s="855"/>
      <c r="E135" s="855"/>
      <c r="F135" s="855"/>
      <c r="G135" s="855"/>
      <c r="H135" s="855"/>
      <c r="I135" s="414"/>
      <c r="X135" s="77"/>
    </row>
    <row r="136" spans="2:24" s="102" customFormat="1" ht="15" x14ac:dyDescent="0.25">
      <c r="B136" s="854" t="str">
        <f>Portafolio_Cadena_Maíz!H147</f>
        <v>9.5.3. Propiciar la creación de la Organización de Cadena a nivel nacional, a partir de los avances en la dinámica y fortalecimiento de los comités regionales de la cadena de maíz.</v>
      </c>
      <c r="C136" s="855"/>
      <c r="D136" s="855"/>
      <c r="E136" s="855"/>
      <c r="F136" s="855"/>
      <c r="G136" s="855"/>
      <c r="H136" s="855"/>
      <c r="I136" s="414"/>
      <c r="X136" s="77"/>
    </row>
    <row r="137" spans="2:24" s="101" customFormat="1" ht="15" x14ac:dyDescent="0.25">
      <c r="B137" s="854" t="str">
        <f>Portafolio_Cadena_Maíz!H148</f>
        <v xml:space="preserve">9.5.4. Acompañar el desarrollo y progreso de los comités regionales de la cadena de maíz y la Organización de Cadena a nivel nacional para lograr su sostenibilidad y capacidad ejecutiva. </v>
      </c>
      <c r="C137" s="855"/>
      <c r="D137" s="855"/>
      <c r="E137" s="855"/>
      <c r="F137" s="855"/>
      <c r="G137" s="855"/>
      <c r="H137" s="855"/>
    </row>
    <row r="138" spans="2:24" s="101" customFormat="1" ht="29.1" customHeight="1" x14ac:dyDescent="0.25">
      <c r="B138" s="854" t="str">
        <f>Portafolio_Cadena_Maíz!H149</f>
        <v>9.5.5. Consolidar la gestión de los comités regionales de la cadena de maíz, a través de la gestión gradual del POP para la cadena maicera y los Planes Maestros de Reconversión Productiva - PMRP, en concordancia con el proyecto 9.6. Adopción, promoción y monitoreo de la política pública para la cadena de maíz.</v>
      </c>
      <c r="C138" s="855"/>
      <c r="D138" s="855"/>
      <c r="E138" s="855"/>
      <c r="F138" s="855"/>
      <c r="G138" s="855"/>
      <c r="H138" s="855"/>
    </row>
    <row r="139" spans="2:24" s="101" customFormat="1" ht="15" x14ac:dyDescent="0.25">
      <c r="B139" s="854"/>
      <c r="C139" s="855"/>
      <c r="D139" s="855"/>
      <c r="E139" s="855"/>
      <c r="F139" s="855"/>
      <c r="G139" s="855"/>
      <c r="H139" s="855"/>
    </row>
    <row r="140" spans="2:24" s="101" customFormat="1" ht="15" x14ac:dyDescent="0.25">
      <c r="B140" s="858" t="s">
        <v>595</v>
      </c>
      <c r="C140" s="859"/>
      <c r="D140" s="859"/>
      <c r="E140" s="859"/>
      <c r="F140" s="859"/>
      <c r="G140" s="859"/>
      <c r="H140" s="859"/>
    </row>
    <row r="141" spans="2:24" ht="15" x14ac:dyDescent="0.2">
      <c r="B141" s="272" t="s">
        <v>68</v>
      </c>
      <c r="C141" s="272" t="s">
        <v>58</v>
      </c>
      <c r="D141" s="272" t="s">
        <v>55</v>
      </c>
      <c r="E141" s="272" t="s">
        <v>54</v>
      </c>
      <c r="F141" s="273" t="s">
        <v>69</v>
      </c>
      <c r="G141" s="272" t="s">
        <v>70</v>
      </c>
      <c r="H141" s="272" t="s">
        <v>71</v>
      </c>
    </row>
    <row r="142" spans="2:24" x14ac:dyDescent="0.2">
      <c r="B142" s="104" t="s">
        <v>72</v>
      </c>
      <c r="C142" s="274">
        <v>7</v>
      </c>
      <c r="D142" s="275" t="s">
        <v>73</v>
      </c>
      <c r="E142" s="263">
        <v>500000</v>
      </c>
      <c r="F142" s="276"/>
      <c r="G142" s="277"/>
      <c r="H142" s="263">
        <f>C142*E142</f>
        <v>3500000</v>
      </c>
      <c r="J142" s="361"/>
    </row>
    <row r="143" spans="2:24" x14ac:dyDescent="0.2">
      <c r="B143" s="104" t="s">
        <v>217</v>
      </c>
      <c r="C143" s="274">
        <v>19</v>
      </c>
      <c r="D143" s="275" t="s">
        <v>73</v>
      </c>
      <c r="E143" s="263">
        <v>100000</v>
      </c>
      <c r="F143" s="276"/>
      <c r="G143" s="277"/>
      <c r="H143" s="263">
        <f>C143*E143</f>
        <v>1900000</v>
      </c>
      <c r="J143" s="361"/>
    </row>
    <row r="144" spans="2:24" x14ac:dyDescent="0.2">
      <c r="B144" s="278" t="s">
        <v>252</v>
      </c>
      <c r="C144" s="274">
        <v>7</v>
      </c>
      <c r="D144" s="275" t="s">
        <v>73</v>
      </c>
      <c r="E144" s="263">
        <v>2300000</v>
      </c>
      <c r="F144" s="276"/>
      <c r="G144" s="277"/>
      <c r="H144" s="263">
        <f>C144*E144</f>
        <v>16100000</v>
      </c>
      <c r="J144" s="361"/>
    </row>
    <row r="145" spans="2:24" x14ac:dyDescent="0.2">
      <c r="B145" s="278" t="s">
        <v>79</v>
      </c>
      <c r="C145" s="274">
        <v>2</v>
      </c>
      <c r="D145" s="275" t="s">
        <v>240</v>
      </c>
      <c r="E145" s="263">
        <v>5661197</v>
      </c>
      <c r="F145" s="276">
        <v>0.5</v>
      </c>
      <c r="G145" s="277">
        <v>12</v>
      </c>
      <c r="H145" s="263">
        <f>C145*E145*G145*F145</f>
        <v>67934364</v>
      </c>
      <c r="J145" s="361"/>
    </row>
    <row r="146" spans="2:24" x14ac:dyDescent="0.2">
      <c r="B146" s="278" t="s">
        <v>80</v>
      </c>
      <c r="C146" s="274">
        <v>4</v>
      </c>
      <c r="D146" s="275" t="s">
        <v>73</v>
      </c>
      <c r="E146" s="263">
        <v>957268</v>
      </c>
      <c r="F146" s="276"/>
      <c r="G146" s="277"/>
      <c r="H146" s="263">
        <f>C146*E146</f>
        <v>3829072</v>
      </c>
      <c r="J146" s="361"/>
    </row>
    <row r="147" spans="2:24" x14ac:dyDescent="0.2">
      <c r="B147" s="278" t="s">
        <v>228</v>
      </c>
      <c r="C147" s="274">
        <v>7</v>
      </c>
      <c r="D147" s="275" t="s">
        <v>240</v>
      </c>
      <c r="E147" s="263">
        <v>5032173</v>
      </c>
      <c r="F147" s="276">
        <v>0.5</v>
      </c>
      <c r="G147" s="277">
        <v>10</v>
      </c>
      <c r="H147" s="263">
        <f>C147*E147*G147*F147</f>
        <v>176126055</v>
      </c>
      <c r="J147" s="361"/>
    </row>
    <row r="148" spans="2:24" x14ac:dyDescent="0.2">
      <c r="B148" s="278" t="s">
        <v>56</v>
      </c>
      <c r="C148" s="274">
        <v>7</v>
      </c>
      <c r="D148" s="275" t="s">
        <v>73</v>
      </c>
      <c r="E148" s="263">
        <v>1300000</v>
      </c>
      <c r="F148" s="276">
        <v>0.5</v>
      </c>
      <c r="G148" s="277">
        <v>10</v>
      </c>
      <c r="H148" s="263">
        <f>C148*E148*F148*G148</f>
        <v>45500000</v>
      </c>
      <c r="J148" s="361"/>
    </row>
    <row r="149" spans="2:24" x14ac:dyDescent="0.2">
      <c r="B149" s="279" t="s">
        <v>178</v>
      </c>
      <c r="C149" s="280">
        <v>7</v>
      </c>
      <c r="D149" s="258" t="s">
        <v>73</v>
      </c>
      <c r="E149" s="281">
        <v>155000</v>
      </c>
      <c r="F149" s="282">
        <v>0.5</v>
      </c>
      <c r="G149" s="279">
        <v>10</v>
      </c>
      <c r="H149" s="263">
        <f>C149*E149*F149*G149</f>
        <v>5425000</v>
      </c>
      <c r="J149" s="361"/>
    </row>
    <row r="150" spans="2:24" x14ac:dyDescent="0.2">
      <c r="B150" s="279" t="s">
        <v>326</v>
      </c>
      <c r="C150" s="279"/>
      <c r="D150" s="279"/>
      <c r="E150" s="281"/>
      <c r="F150" s="279"/>
      <c r="G150" s="279"/>
      <c r="H150" s="283" t="s">
        <v>67</v>
      </c>
      <c r="J150" s="361"/>
    </row>
    <row r="151" spans="2:24" ht="15" x14ac:dyDescent="0.2">
      <c r="B151" s="284" t="s">
        <v>32</v>
      </c>
      <c r="C151" s="285"/>
      <c r="D151" s="285"/>
      <c r="E151" s="285"/>
      <c r="F151" s="286"/>
      <c r="G151" s="286"/>
      <c r="H151" s="287">
        <f>SUM(H142:H150)</f>
        <v>320314491</v>
      </c>
      <c r="J151" s="361"/>
    </row>
    <row r="152" spans="2:24" ht="132.75" customHeight="1" x14ac:dyDescent="0.2">
      <c r="B152" s="288" t="s">
        <v>327</v>
      </c>
      <c r="C152" s="289"/>
      <c r="D152" s="289"/>
      <c r="E152" s="289"/>
      <c r="F152" s="289"/>
      <c r="G152" s="289"/>
      <c r="H152" s="289"/>
    </row>
    <row r="154" spans="2:24" x14ac:dyDescent="0.2">
      <c r="B154" s="869" t="str">
        <f>+B13</f>
        <v>9.6. Adopción, promoción y monitoreo de la política pública para la cadena de maíz.</v>
      </c>
      <c r="C154" s="870"/>
      <c r="D154" s="870"/>
      <c r="E154" s="870"/>
      <c r="F154" s="870"/>
      <c r="G154" s="870"/>
      <c r="H154" s="870"/>
    </row>
    <row r="155" spans="2:24" s="102" customFormat="1" ht="15" x14ac:dyDescent="0.25">
      <c r="B155" s="854" t="str">
        <f>Portafolio_Cadena_Maíz!H150</f>
        <v xml:space="preserve">9.6.1. Adoptar como política pública el Plan de Ordenamiento Productivo para la cadena de maíz, mediante resolución expedida por el Minagricultura. </v>
      </c>
      <c r="C155" s="855"/>
      <c r="D155" s="855"/>
      <c r="E155" s="855"/>
      <c r="F155" s="855"/>
      <c r="G155" s="855"/>
      <c r="H155" s="855"/>
      <c r="I155" s="414"/>
      <c r="X155" s="77"/>
    </row>
    <row r="156" spans="2:24" s="102" customFormat="1" ht="15" x14ac:dyDescent="0.25">
      <c r="B156" s="854" t="str">
        <f>Portafolio_Cadena_Maíz!H151</f>
        <v>9.6.2. Establecer el cronograma anual para la implementación del Plan de Ordenamiento Productivo de la cadena de maíz.</v>
      </c>
      <c r="C156" s="855"/>
      <c r="D156" s="855"/>
      <c r="E156" s="855"/>
      <c r="F156" s="855"/>
      <c r="G156" s="855"/>
      <c r="H156" s="855"/>
      <c r="I156" s="414"/>
      <c r="X156" s="77"/>
    </row>
    <row r="157" spans="2:24" s="102" customFormat="1" ht="15" x14ac:dyDescent="0.25">
      <c r="B157" s="854" t="str">
        <f>Portafolio_Cadena_Maíz!H152</f>
        <v>9.6.3. Socializar y divulgar el Plan de Ordenamiento Productivo para la cadena de maíz, a nivel nacional y territorial.</v>
      </c>
      <c r="C157" s="855"/>
      <c r="D157" s="855"/>
      <c r="E157" s="855"/>
      <c r="F157" s="855"/>
      <c r="G157" s="855"/>
      <c r="H157" s="855"/>
      <c r="I157" s="414"/>
      <c r="X157" s="77"/>
    </row>
    <row r="158" spans="2:24" s="101" customFormat="1" ht="33.950000000000003" customHeight="1" x14ac:dyDescent="0.25">
      <c r="B158" s="854" t="str">
        <f>Portafolio_Cadena_Maíz!H153</f>
        <v>9.6.4. Gestionar ante las entidades pertinentes, tanto nacionales como locales, los recursos requeridos y estructurar el presupuesto para cada uno de los proyectos de este Plan de Acción, teniendo en cuenta la estimación de costos del portafolio de programas y proyectos, los actores líderes y aliados, y los instrumentos de política identificados en el componente de entorno político.</v>
      </c>
      <c r="C158" s="855"/>
      <c r="D158" s="855"/>
      <c r="E158" s="855"/>
      <c r="F158" s="855"/>
      <c r="G158" s="855"/>
      <c r="H158" s="855"/>
    </row>
    <row r="159" spans="2:24" s="101" customFormat="1" ht="15" x14ac:dyDescent="0.25">
      <c r="B159" s="854" t="str">
        <f>Portafolio_Cadena_Maíz!H154</f>
        <v>9.6.5. Empoderar gradualmente los diferentes comités regionales que se constituyan, para que tomen el liderazgo en la implementación del POP de la cadena de maíz.</v>
      </c>
      <c r="C159" s="855"/>
      <c r="D159" s="855"/>
      <c r="E159" s="855"/>
      <c r="F159" s="855"/>
      <c r="G159" s="855"/>
      <c r="H159" s="855"/>
    </row>
    <row r="160" spans="2:24" s="101" customFormat="1" ht="15" x14ac:dyDescent="0.25">
      <c r="B160" s="854" t="str">
        <f>Portafolio_Cadena_Maíz!H155</f>
        <v>9.6.6. Diseñar e implementar el sistema de seguimiento y evaluación del Plan de Ordenamiento Productivo para la cadena de maíz.</v>
      </c>
      <c r="C160" s="855"/>
      <c r="D160" s="855"/>
      <c r="E160" s="855"/>
      <c r="F160" s="855"/>
      <c r="G160" s="855"/>
      <c r="H160" s="855"/>
    </row>
    <row r="161" spans="2:10" s="101" customFormat="1" ht="15" x14ac:dyDescent="0.25">
      <c r="B161" s="854"/>
      <c r="C161" s="855"/>
      <c r="D161" s="855"/>
      <c r="E161" s="855"/>
      <c r="F161" s="855"/>
      <c r="G161" s="855"/>
      <c r="H161" s="855"/>
    </row>
    <row r="162" spans="2:10" s="101" customFormat="1" ht="15" x14ac:dyDescent="0.25">
      <c r="B162" s="854"/>
      <c r="C162" s="855"/>
      <c r="D162" s="855"/>
      <c r="E162" s="855"/>
      <c r="F162" s="855"/>
      <c r="G162" s="855"/>
      <c r="H162" s="855"/>
    </row>
    <row r="163" spans="2:10" s="101" customFormat="1" ht="15" x14ac:dyDescent="0.25">
      <c r="B163" s="858" t="s">
        <v>595</v>
      </c>
      <c r="C163" s="859"/>
      <c r="D163" s="859"/>
      <c r="E163" s="859"/>
      <c r="F163" s="859"/>
      <c r="G163" s="859"/>
      <c r="H163" s="859"/>
    </row>
    <row r="164" spans="2:10" ht="15" x14ac:dyDescent="0.2">
      <c r="B164" s="290" t="s">
        <v>68</v>
      </c>
      <c r="C164" s="290" t="s">
        <v>58</v>
      </c>
      <c r="D164" s="290" t="s">
        <v>55</v>
      </c>
      <c r="E164" s="290" t="s">
        <v>54</v>
      </c>
      <c r="F164" s="290" t="s">
        <v>69</v>
      </c>
      <c r="G164" s="290" t="s">
        <v>70</v>
      </c>
      <c r="H164" s="290" t="s">
        <v>71</v>
      </c>
    </row>
    <row r="165" spans="2:10" x14ac:dyDescent="0.2">
      <c r="B165" s="104" t="s">
        <v>72</v>
      </c>
      <c r="C165" s="280">
        <v>7</v>
      </c>
      <c r="D165" s="279" t="s">
        <v>73</v>
      </c>
      <c r="E165" s="263">
        <v>500000</v>
      </c>
      <c r="F165" s="279"/>
      <c r="G165" s="279"/>
      <c r="H165" s="263">
        <f>+C165*E165</f>
        <v>3500000</v>
      </c>
      <c r="J165" s="361"/>
    </row>
    <row r="166" spans="2:10" x14ac:dyDescent="0.2">
      <c r="B166" s="104" t="s">
        <v>217</v>
      </c>
      <c r="C166" s="280">
        <v>19</v>
      </c>
      <c r="D166" s="279" t="s">
        <v>73</v>
      </c>
      <c r="E166" s="263">
        <v>100000</v>
      </c>
      <c r="F166" s="279"/>
      <c r="G166" s="279"/>
      <c r="H166" s="263">
        <f>+C166*E166</f>
        <v>1900000</v>
      </c>
      <c r="J166" s="361"/>
    </row>
    <row r="167" spans="2:10" x14ac:dyDescent="0.2">
      <c r="B167" s="278" t="s">
        <v>252</v>
      </c>
      <c r="C167" s="280">
        <v>8</v>
      </c>
      <c r="D167" s="279" t="s">
        <v>73</v>
      </c>
      <c r="E167" s="263">
        <v>2300000</v>
      </c>
      <c r="F167" s="279"/>
      <c r="G167" s="279"/>
      <c r="H167" s="263">
        <f>+C167*E167</f>
        <v>18400000</v>
      </c>
      <c r="J167" s="361"/>
    </row>
    <row r="168" spans="2:10" x14ac:dyDescent="0.2">
      <c r="B168" s="279" t="s">
        <v>259</v>
      </c>
      <c r="C168" s="280">
        <v>7</v>
      </c>
      <c r="D168" s="279" t="s">
        <v>73</v>
      </c>
      <c r="E168" s="263">
        <v>460000</v>
      </c>
      <c r="F168" s="279"/>
      <c r="G168" s="279"/>
      <c r="H168" s="263">
        <f t="shared" ref="H168" si="9">+C168*E168</f>
        <v>3220000</v>
      </c>
      <c r="J168" s="361"/>
    </row>
    <row r="169" spans="2:10" x14ac:dyDescent="0.2">
      <c r="B169" s="279" t="s">
        <v>79</v>
      </c>
      <c r="C169" s="280">
        <v>2</v>
      </c>
      <c r="D169" s="279" t="s">
        <v>73</v>
      </c>
      <c r="E169" s="263">
        <v>5661197</v>
      </c>
      <c r="F169" s="282">
        <v>0.5</v>
      </c>
      <c r="G169" s="279">
        <v>12</v>
      </c>
      <c r="H169" s="263">
        <f>+C169*E169*F169*G169</f>
        <v>67934364</v>
      </c>
      <c r="J169" s="361"/>
    </row>
    <row r="170" spans="2:10" x14ac:dyDescent="0.2">
      <c r="B170" s="278" t="s">
        <v>80</v>
      </c>
      <c r="C170" s="280">
        <v>2</v>
      </c>
      <c r="D170" s="279" t="s">
        <v>73</v>
      </c>
      <c r="E170" s="263">
        <v>957268</v>
      </c>
      <c r="F170" s="282"/>
      <c r="G170" s="279"/>
      <c r="H170" s="263">
        <f>C170*E170</f>
        <v>1914536</v>
      </c>
      <c r="J170" s="361"/>
    </row>
    <row r="171" spans="2:10" x14ac:dyDescent="0.2">
      <c r="B171" s="278" t="s">
        <v>328</v>
      </c>
      <c r="C171" s="280">
        <v>1</v>
      </c>
      <c r="D171" s="279" t="s">
        <v>73</v>
      </c>
      <c r="E171" s="263">
        <v>7862772</v>
      </c>
      <c r="F171" s="282"/>
      <c r="G171" s="279">
        <v>4</v>
      </c>
      <c r="H171" s="263">
        <f>+C171*E171*G171</f>
        <v>31451088</v>
      </c>
      <c r="J171" s="361"/>
    </row>
    <row r="172" spans="2:10" x14ac:dyDescent="0.2">
      <c r="B172" s="278" t="s">
        <v>228</v>
      </c>
      <c r="C172" s="274">
        <v>7</v>
      </c>
      <c r="D172" s="277" t="s">
        <v>240</v>
      </c>
      <c r="E172" s="263">
        <v>5032173</v>
      </c>
      <c r="F172" s="276">
        <v>0.5</v>
      </c>
      <c r="G172" s="277">
        <v>10</v>
      </c>
      <c r="H172" s="263">
        <f>C172*E172*G172*F172</f>
        <v>176126055</v>
      </c>
      <c r="J172" s="361"/>
    </row>
    <row r="173" spans="2:10" x14ac:dyDescent="0.2">
      <c r="B173" s="278" t="s">
        <v>56</v>
      </c>
      <c r="C173" s="274">
        <v>7</v>
      </c>
      <c r="D173" s="277" t="s">
        <v>73</v>
      </c>
      <c r="E173" s="263">
        <v>1300000</v>
      </c>
      <c r="F173" s="276">
        <v>0.5</v>
      </c>
      <c r="G173" s="277">
        <v>10</v>
      </c>
      <c r="H173" s="263">
        <f t="shared" ref="H173:H174" si="10">C173*E173*G173*F173</f>
        <v>45500000</v>
      </c>
      <c r="J173" s="361"/>
    </row>
    <row r="174" spans="2:10" x14ac:dyDescent="0.2">
      <c r="B174" s="279" t="s">
        <v>178</v>
      </c>
      <c r="C174" s="280">
        <v>7</v>
      </c>
      <c r="D174" s="279" t="s">
        <v>73</v>
      </c>
      <c r="E174" s="281">
        <v>155000</v>
      </c>
      <c r="F174" s="282">
        <v>0.5</v>
      </c>
      <c r="G174" s="279">
        <v>10</v>
      </c>
      <c r="H174" s="263">
        <f t="shared" si="10"/>
        <v>5425000</v>
      </c>
      <c r="J174" s="361"/>
    </row>
    <row r="175" spans="2:10" x14ac:dyDescent="0.2">
      <c r="B175" s="279" t="s">
        <v>171</v>
      </c>
      <c r="C175" s="279"/>
      <c r="D175" s="279"/>
      <c r="E175" s="281"/>
      <c r="F175" s="282"/>
      <c r="G175" s="279"/>
      <c r="H175" s="263" t="s">
        <v>67</v>
      </c>
      <c r="J175" s="361"/>
    </row>
    <row r="176" spans="2:10" ht="15" x14ac:dyDescent="0.2">
      <c r="B176" s="291" t="s">
        <v>85</v>
      </c>
      <c r="C176" s="292"/>
      <c r="D176" s="292"/>
      <c r="E176" s="293"/>
      <c r="F176" s="293"/>
      <c r="G176" s="292"/>
      <c r="H176" s="294">
        <f>SUM(H165:H174)</f>
        <v>355371043</v>
      </c>
      <c r="J176" s="361"/>
    </row>
    <row r="177" spans="2:8" ht="145.5" customHeight="1" x14ac:dyDescent="0.2">
      <c r="B177" s="270" t="s">
        <v>329</v>
      </c>
      <c r="C177" s="295"/>
      <c r="D177" s="295"/>
      <c r="E177" s="295"/>
      <c r="F177" s="295"/>
      <c r="G177" s="295"/>
      <c r="H177" s="295"/>
    </row>
  </sheetData>
  <sheetProtection algorithmName="SHA-512" hashValue="uJVYCcKhdYBI3vyog581jakRB6PHbSHlM6ggUslZY0XSboEU3gKCj99oea3wnPtBK68GFoxTytFxKP7EfnpqkA==" saltValue="QHY7ZMgeLfIoPrRnmRNS1Q==" spinCount="100000" sheet="1" objects="1" scenarios="1"/>
  <mergeCells count="58">
    <mergeCell ref="B17:H18"/>
    <mergeCell ref="B52:H52"/>
    <mergeCell ref="B110:H110"/>
    <mergeCell ref="B133:H133"/>
    <mergeCell ref="B154:H154"/>
    <mergeCell ref="B78:H78"/>
    <mergeCell ref="B19:H19"/>
    <mergeCell ref="B20:H20"/>
    <mergeCell ref="B21:H21"/>
    <mergeCell ref="B22:H22"/>
    <mergeCell ref="B23:H23"/>
    <mergeCell ref="B24:H24"/>
    <mergeCell ref="B25:H25"/>
    <mergeCell ref="B26:H26"/>
    <mergeCell ref="B27:H27"/>
    <mergeCell ref="B29:H29"/>
    <mergeCell ref="B54:H54"/>
    <mergeCell ref="B55:H55"/>
    <mergeCell ref="B56:H56"/>
    <mergeCell ref="B57:H57"/>
    <mergeCell ref="B58:H58"/>
    <mergeCell ref="B59:H59"/>
    <mergeCell ref="B60:H60"/>
    <mergeCell ref="B61:H61"/>
    <mergeCell ref="B63:H63"/>
    <mergeCell ref="B62:H62"/>
    <mergeCell ref="B80:H80"/>
    <mergeCell ref="B81:H81"/>
    <mergeCell ref="B82:H82"/>
    <mergeCell ref="B83:H83"/>
    <mergeCell ref="B84:H84"/>
    <mergeCell ref="B85:H85"/>
    <mergeCell ref="B88:H88"/>
    <mergeCell ref="B89:H89"/>
    <mergeCell ref="B111:H111"/>
    <mergeCell ref="B112:H112"/>
    <mergeCell ref="B86:H86"/>
    <mergeCell ref="B113:H113"/>
    <mergeCell ref="B114:H114"/>
    <mergeCell ref="B116:H116"/>
    <mergeCell ref="B117:H117"/>
    <mergeCell ref="B134:H134"/>
    <mergeCell ref="B115:H115"/>
    <mergeCell ref="B135:H135"/>
    <mergeCell ref="B136:H136"/>
    <mergeCell ref="B137:H137"/>
    <mergeCell ref="B138:H138"/>
    <mergeCell ref="B140:H140"/>
    <mergeCell ref="B139:H139"/>
    <mergeCell ref="B162:H162"/>
    <mergeCell ref="B163:H163"/>
    <mergeCell ref="B160:H160"/>
    <mergeCell ref="B155:H155"/>
    <mergeCell ref="B156:H156"/>
    <mergeCell ref="B157:H157"/>
    <mergeCell ref="B158:H158"/>
    <mergeCell ref="B159:H159"/>
    <mergeCell ref="B161:H161"/>
  </mergeCells>
  <phoneticPr fontId="27" type="noConversion"/>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zoomScale="60" zoomScaleNormal="60" workbookViewId="0">
      <pane xSplit="4" ySplit="1" topLeftCell="H2" activePane="bottomRight" state="frozen"/>
      <selection pane="topRight" activeCell="E1" sqref="E1"/>
      <selection pane="bottomLeft" activeCell="A2" sqref="A2"/>
      <selection pane="bottomRight" activeCell="D1" sqref="D1"/>
    </sheetView>
  </sheetViews>
  <sheetFormatPr baseColWidth="10" defaultColWidth="11.85546875" defaultRowHeight="15" x14ac:dyDescent="0.2"/>
  <cols>
    <col min="1" max="1" width="21.85546875" style="214" customWidth="1"/>
    <col min="2" max="2" width="24.5703125" style="213" customWidth="1"/>
    <col min="3" max="3" width="15.42578125" style="214" customWidth="1"/>
    <col min="4" max="4" width="19.5703125" style="213" customWidth="1"/>
    <col min="5" max="5" width="93.42578125" style="378" hidden="1" customWidth="1"/>
    <col min="6" max="7" width="43.140625" style="214" hidden="1" customWidth="1"/>
    <col min="8" max="8" width="90.5703125" style="214" customWidth="1"/>
    <col min="9" max="9" width="66.5703125" style="680" customWidth="1"/>
    <col min="10" max="10" width="41.42578125" style="676" customWidth="1"/>
    <col min="11" max="11" width="20.85546875" style="213" bestFit="1" customWidth="1"/>
    <col min="12" max="16384" width="11.85546875" style="213"/>
  </cols>
  <sheetData>
    <row r="1" spans="1:10" ht="40.5" customHeight="1" x14ac:dyDescent="0.2">
      <c r="A1" s="211" t="s">
        <v>104</v>
      </c>
      <c r="B1" s="211" t="s">
        <v>105</v>
      </c>
      <c r="C1" s="212" t="s">
        <v>106</v>
      </c>
      <c r="D1" s="212" t="s">
        <v>107</v>
      </c>
      <c r="E1" s="211" t="s">
        <v>408</v>
      </c>
      <c r="F1" s="212" t="s">
        <v>409</v>
      </c>
      <c r="G1" s="211" t="s">
        <v>410</v>
      </c>
      <c r="H1" s="211" t="s">
        <v>411</v>
      </c>
      <c r="I1" s="677" t="s">
        <v>406</v>
      </c>
      <c r="J1" s="673" t="s">
        <v>607</v>
      </c>
    </row>
    <row r="2" spans="1:10" ht="91.5" customHeight="1" x14ac:dyDescent="0.2">
      <c r="A2" s="878" t="s">
        <v>108</v>
      </c>
      <c r="B2" s="878" t="s">
        <v>109</v>
      </c>
      <c r="C2" s="878" t="s">
        <v>88</v>
      </c>
      <c r="D2" s="878" t="s">
        <v>89</v>
      </c>
      <c r="E2" s="877" t="s">
        <v>412</v>
      </c>
      <c r="F2" s="878" t="s">
        <v>413</v>
      </c>
      <c r="G2" s="878" t="s">
        <v>1262</v>
      </c>
      <c r="H2" s="364" t="s">
        <v>414</v>
      </c>
      <c r="I2" s="877" t="str">
        <f>'P1'!B49</f>
        <v>Se estiman 6 mesas de trabajo presencial y 6 virtuales (una por mes), pago de plataformas de información. Se supone la intervención a 10 subregiones porque  tienen más del 30% en producción de maíz tecnificado, se estiman 20 talleres y/o eventos de divulgación nacionales y/o regionales presenciales y 20 virtuales,  se supone la intervención en solo 4 regiones  mayores de acuerdo a la importancia actual y potencial en el mercado, 10 ruedas de negocios presenciales y 10 ruedas de negocios virtuales. Se estima 10 cursos cortos por subregión a intervenir presencial y 10 cursos cortos virtuales,  4 campañas institucionales por área a intervenir, cursos libres virtuales, para 10 personas por región, ruedas de negocios presenciales y virtuales por subregión,  2 ferias comerciales por región a intervenir. Se estima un equipo humano  de 5 personas compartido para los proyectos 1.1 y 1.2 con un salario promedio mensual de $7.862.772 por 12 meses, se estima 8 desplazamientos  con sus tiquetes y viáticos. Se estima equipo de trabajo, rodamiento, y apoyos tecnológicos en las 4 regiones a intervenir. Se sugiere la creación de un incentivo para el pago de la comisión Fag de contratos de suministro,  se parte de 193.401 has, área de maíz tecnificado en el año base 2020, tomado del análisis de prospectiva y se supone un incremento en un 10% anual, con una productividad inicial de 5.8 t/h (año base 2020), estimando su crecimiento en  5% anual. Se estima que un  20% de la producción de cada año, se comercialicen con contratos anticipados. Se supuso un valor de maíz de 1.000.000 por tonelada,  y se estimó que el porcentaje de comisión del FAG es del 3.75% y el registro en la BMC del vendedor es de 0.04% del valor de la negociación, lo que arroja un valor de $37.900 por tonelada de maíz registrada en la BMC, se estima que el 50% de este valor que sea asumido por el estado  durante los cinco primeros años .  Se deja por definir otras formas de aumento.</v>
      </c>
      <c r="J2" s="872">
        <f>'P1'!Y8</f>
        <v>70744263715.696716</v>
      </c>
    </row>
    <row r="3" spans="1:10" ht="90.75" customHeight="1" x14ac:dyDescent="0.2">
      <c r="A3" s="878"/>
      <c r="B3" s="878"/>
      <c r="C3" s="878"/>
      <c r="D3" s="878"/>
      <c r="E3" s="877"/>
      <c r="F3" s="878"/>
      <c r="G3" s="878"/>
      <c r="H3" s="364" t="s">
        <v>415</v>
      </c>
      <c r="I3" s="877">
        <v>0</v>
      </c>
      <c r="J3" s="872"/>
    </row>
    <row r="4" spans="1:10" ht="77.25" customHeight="1" x14ac:dyDescent="0.2">
      <c r="A4" s="878"/>
      <c r="B4" s="878"/>
      <c r="C4" s="878"/>
      <c r="D4" s="878"/>
      <c r="E4" s="877"/>
      <c r="F4" s="878"/>
      <c r="G4" s="878"/>
      <c r="H4" s="364" t="s">
        <v>416</v>
      </c>
      <c r="I4" s="877">
        <v>0</v>
      </c>
      <c r="J4" s="872"/>
    </row>
    <row r="5" spans="1:10" ht="111.75" customHeight="1" x14ac:dyDescent="0.2">
      <c r="A5" s="878"/>
      <c r="B5" s="878"/>
      <c r="C5" s="878"/>
      <c r="D5" s="878"/>
      <c r="E5" s="877"/>
      <c r="F5" s="878"/>
      <c r="G5" s="878"/>
      <c r="H5" s="364" t="s">
        <v>417</v>
      </c>
      <c r="I5" s="877">
        <v>0</v>
      </c>
      <c r="J5" s="872"/>
    </row>
    <row r="6" spans="1:10" ht="108" customHeight="1" x14ac:dyDescent="0.2">
      <c r="A6" s="878"/>
      <c r="B6" s="878"/>
      <c r="C6" s="878"/>
      <c r="D6" s="878"/>
      <c r="E6" s="877"/>
      <c r="F6" s="878"/>
      <c r="G6" s="878"/>
      <c r="H6" s="364" t="s">
        <v>418</v>
      </c>
      <c r="I6" s="877">
        <v>0</v>
      </c>
      <c r="J6" s="872"/>
    </row>
    <row r="7" spans="1:10" ht="99.75" customHeight="1" x14ac:dyDescent="0.2">
      <c r="A7" s="878"/>
      <c r="B7" s="878"/>
      <c r="C7" s="878"/>
      <c r="D7" s="878"/>
      <c r="E7" s="877"/>
      <c r="F7" s="878"/>
      <c r="G7" s="878"/>
      <c r="H7" s="661" t="s">
        <v>1261</v>
      </c>
      <c r="I7" s="877">
        <v>0</v>
      </c>
      <c r="J7" s="872"/>
    </row>
    <row r="8" spans="1:10" ht="90" customHeight="1" x14ac:dyDescent="0.2">
      <c r="A8" s="878" t="s">
        <v>108</v>
      </c>
      <c r="B8" s="878" t="s">
        <v>109</v>
      </c>
      <c r="C8" s="878" t="s">
        <v>88</v>
      </c>
      <c r="D8" s="878" t="s">
        <v>419</v>
      </c>
      <c r="E8" s="877" t="s">
        <v>420</v>
      </c>
      <c r="F8" s="878" t="s">
        <v>421</v>
      </c>
      <c r="G8" s="878" t="s">
        <v>422</v>
      </c>
      <c r="H8" s="364" t="s">
        <v>423</v>
      </c>
      <c r="I8" s="877" t="str">
        <f>'P1'!B49</f>
        <v>Se estiman 6 mesas de trabajo presencial y 6 virtuales (una por mes), pago de plataformas de información. Se supone la intervención a 10 subregiones porque  tienen más del 30% en producción de maíz tecnificado, se estiman 20 talleres y/o eventos de divulgación nacionales y/o regionales presenciales y 20 virtuales,  se supone la intervención en solo 4 regiones  mayores de acuerdo a la importancia actual y potencial en el mercado, 10 ruedas de negocios presenciales y 10 ruedas de negocios virtuales. Se estima 10 cursos cortos por subregión a intervenir presencial y 10 cursos cortos virtuales,  4 campañas institucionales por área a intervenir, cursos libres virtuales, para 10 personas por región, ruedas de negocios presenciales y virtuales por subregión,  2 ferias comerciales por región a intervenir. Se estima un equipo humano  de 5 personas compartido para los proyectos 1.1 y 1.2 con un salario promedio mensual de $7.862.772 por 12 meses, se estima 8 desplazamientos  con sus tiquetes y viáticos. Se estima equipo de trabajo, rodamiento, y apoyos tecnológicos en las 4 regiones a intervenir. Se sugiere la creación de un incentivo para el pago de la comisión Fag de contratos de suministro,  se parte de 193.401 has, área de maíz tecnificado en el año base 2020, tomado del análisis de prospectiva y se supone un incremento en un 10% anual, con una productividad inicial de 5.8 t/h (año base 2020), estimando su crecimiento en  5% anual. Se estima que un  20% de la producción de cada año, se comercialicen con contratos anticipados. Se supuso un valor de maíz de 1.000.000 por tonelada,  y se estimó que el porcentaje de comisión del FAG es del 3.75% y el registro en la BMC del vendedor es de 0.04% del valor de la negociación, lo que arroja un valor de $37.900 por tonelada de maíz registrada en la BMC, se estima que el 50% de este valor que sea asumido por el estado  durante los cinco primeros años .  Se deja por definir otras formas de aumento.</v>
      </c>
      <c r="J8" s="872">
        <f>'P1'!Y9</f>
        <v>51138546939.287483</v>
      </c>
    </row>
    <row r="9" spans="1:10" ht="74.25" customHeight="1" x14ac:dyDescent="0.2">
      <c r="A9" s="878"/>
      <c r="B9" s="878"/>
      <c r="C9" s="878"/>
      <c r="D9" s="878"/>
      <c r="E9" s="877"/>
      <c r="F9" s="878"/>
      <c r="G9" s="878"/>
      <c r="H9" s="364" t="s">
        <v>424</v>
      </c>
      <c r="I9" s="877">
        <v>0</v>
      </c>
      <c r="J9" s="872"/>
    </row>
    <row r="10" spans="1:10" ht="123" customHeight="1" x14ac:dyDescent="0.2">
      <c r="A10" s="878"/>
      <c r="B10" s="878"/>
      <c r="C10" s="878"/>
      <c r="D10" s="878"/>
      <c r="E10" s="877"/>
      <c r="F10" s="878"/>
      <c r="G10" s="878"/>
      <c r="H10" s="364" t="s">
        <v>425</v>
      </c>
      <c r="I10" s="877">
        <v>0</v>
      </c>
      <c r="J10" s="872"/>
    </row>
    <row r="11" spans="1:10" ht="78" customHeight="1" x14ac:dyDescent="0.2">
      <c r="A11" s="878"/>
      <c r="B11" s="878"/>
      <c r="C11" s="878"/>
      <c r="D11" s="878"/>
      <c r="E11" s="877"/>
      <c r="F11" s="878"/>
      <c r="G11" s="878"/>
      <c r="H11" s="364" t="s">
        <v>426</v>
      </c>
      <c r="I11" s="877">
        <v>0</v>
      </c>
      <c r="J11" s="872"/>
    </row>
    <row r="12" spans="1:10" ht="63" customHeight="1" x14ac:dyDescent="0.2">
      <c r="A12" s="878"/>
      <c r="B12" s="878"/>
      <c r="C12" s="878"/>
      <c r="D12" s="878"/>
      <c r="E12" s="877"/>
      <c r="F12" s="878"/>
      <c r="G12" s="878"/>
      <c r="H12" s="364" t="s">
        <v>427</v>
      </c>
      <c r="I12" s="877">
        <v>0</v>
      </c>
      <c r="J12" s="872"/>
    </row>
    <row r="13" spans="1:10" ht="102" customHeight="1" x14ac:dyDescent="0.2">
      <c r="A13" s="878"/>
      <c r="B13" s="878"/>
      <c r="C13" s="878"/>
      <c r="D13" s="878"/>
      <c r="E13" s="877"/>
      <c r="F13" s="878"/>
      <c r="G13" s="878"/>
      <c r="H13" s="364" t="s">
        <v>428</v>
      </c>
      <c r="I13" s="877">
        <v>0</v>
      </c>
      <c r="J13" s="872"/>
    </row>
    <row r="14" spans="1:10" s="665" customFormat="1" ht="48" customHeight="1" x14ac:dyDescent="0.2">
      <c r="A14" s="874" t="s">
        <v>108</v>
      </c>
      <c r="B14" s="874" t="s">
        <v>308</v>
      </c>
      <c r="C14" s="874" t="s">
        <v>110</v>
      </c>
      <c r="D14" s="874" t="s">
        <v>1263</v>
      </c>
      <c r="E14" s="871" t="s">
        <v>1264</v>
      </c>
      <c r="F14" s="874" t="s">
        <v>1265</v>
      </c>
      <c r="G14" s="874" t="s">
        <v>1266</v>
      </c>
      <c r="H14" s="664" t="s">
        <v>1267</v>
      </c>
      <c r="I14" s="871" t="str">
        <f>'P2'!B52</f>
        <v>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desarrolladores de plataformas por 4 meses, mesas de trabajo 12 virtuales y 12 presenciales, talleres y se estima la realización de  talleres y/o eventos de divulgación nacional y/regional, uno por mes, tanto de  manera presencial como virtual, también se estima realización de 4 cursos cortos presenciales por subregión de manera presencial y 4 cursos cortos por subregión de manera virtual, en el cual el 50% es asumido por el que toma el curso,  se estima la realización de diplomados (3 por región) de manera presencial y virtual, se estima apoyar el 50% de formación tecnológico a una persona por región, se estima la realización de plan de medios radial regional para difundir el proyecto. Se estima un incentivo a la unidad productiva basados en proveer insumos para sembrar una hectárea de maíz tradicional de manera óptima, que es un valor de $1.610.000 por familia, se estima intervenir al 30% de las familias durante le desarrollo del plan. Se estima un equipo humano a nivel nacional y en región, de 4 personas con un valor promedio de $5.661.197 por diez meses, una persona por cada región con un valor promedio de $3.931.384 con su respectivo rodamiento  y apoyos tecnológicos por un período de 8 meses. Se estima un grupo de personas para asistir el 100% de las familias con producción tradicional durante el desarrollo del POP, asistencia que se dará 50% de manera virtual y 50% presencial, personal que se va reduciendo ya que se estima que las familias tradicionales disminuyen a lo largo del tiempo al ser más tecnificadas. Se considera por definir convenios y programas y otras formas de contribución.</v>
      </c>
      <c r="J14" s="872">
        <f>'P2'!Y8</f>
        <v>82225694130.594788</v>
      </c>
    </row>
    <row r="15" spans="1:10" s="665" customFormat="1" ht="66.75" customHeight="1" x14ac:dyDescent="0.2">
      <c r="A15" s="874"/>
      <c r="B15" s="874"/>
      <c r="C15" s="874"/>
      <c r="D15" s="874"/>
      <c r="E15" s="871"/>
      <c r="F15" s="874"/>
      <c r="G15" s="874"/>
      <c r="H15" s="664" t="s">
        <v>1268</v>
      </c>
      <c r="I15" s="871"/>
      <c r="J15" s="872"/>
    </row>
    <row r="16" spans="1:10" s="665" customFormat="1" ht="92.25" customHeight="1" x14ac:dyDescent="0.2">
      <c r="A16" s="874"/>
      <c r="B16" s="874"/>
      <c r="C16" s="874"/>
      <c r="D16" s="874"/>
      <c r="E16" s="871"/>
      <c r="F16" s="874"/>
      <c r="G16" s="874"/>
      <c r="H16" s="664" t="s">
        <v>1269</v>
      </c>
      <c r="I16" s="871"/>
      <c r="J16" s="872"/>
    </row>
    <row r="17" spans="1:10" s="665" customFormat="1" ht="78" customHeight="1" x14ac:dyDescent="0.2">
      <c r="A17" s="874"/>
      <c r="B17" s="874"/>
      <c r="C17" s="874"/>
      <c r="D17" s="874"/>
      <c r="E17" s="871"/>
      <c r="F17" s="874"/>
      <c r="G17" s="874"/>
      <c r="H17" s="664" t="s">
        <v>1270</v>
      </c>
      <c r="I17" s="871"/>
      <c r="J17" s="872"/>
    </row>
    <row r="18" spans="1:10" s="665" customFormat="1" ht="47.25" customHeight="1" x14ac:dyDescent="0.2">
      <c r="A18" s="874"/>
      <c r="B18" s="874"/>
      <c r="C18" s="874"/>
      <c r="D18" s="874"/>
      <c r="E18" s="871"/>
      <c r="F18" s="874"/>
      <c r="G18" s="874"/>
      <c r="H18" s="664" t="s">
        <v>1271</v>
      </c>
      <c r="I18" s="871"/>
      <c r="J18" s="872"/>
    </row>
    <row r="19" spans="1:10" s="665" customFormat="1" ht="76.5" customHeight="1" x14ac:dyDescent="0.2">
      <c r="A19" s="874"/>
      <c r="B19" s="874"/>
      <c r="C19" s="874"/>
      <c r="D19" s="874"/>
      <c r="E19" s="871"/>
      <c r="F19" s="874"/>
      <c r="G19" s="874"/>
      <c r="H19" s="664" t="s">
        <v>1272</v>
      </c>
      <c r="I19" s="871"/>
      <c r="J19" s="872"/>
    </row>
    <row r="20" spans="1:10" s="665" customFormat="1" ht="51.75" customHeight="1" x14ac:dyDescent="0.2">
      <c r="A20" s="874"/>
      <c r="B20" s="874"/>
      <c r="C20" s="874"/>
      <c r="D20" s="874"/>
      <c r="E20" s="871"/>
      <c r="F20" s="874"/>
      <c r="G20" s="874"/>
      <c r="H20" s="664" t="s">
        <v>1273</v>
      </c>
      <c r="I20" s="871"/>
      <c r="J20" s="872"/>
    </row>
    <row r="21" spans="1:10" s="665" customFormat="1" ht="111" customHeight="1" x14ac:dyDescent="0.2">
      <c r="A21" s="874" t="s">
        <v>108</v>
      </c>
      <c r="B21" s="874" t="s">
        <v>308</v>
      </c>
      <c r="C21" s="874" t="s">
        <v>110</v>
      </c>
      <c r="D21" s="874" t="s">
        <v>1274</v>
      </c>
      <c r="E21" s="871" t="s">
        <v>429</v>
      </c>
      <c r="F21" s="874" t="s">
        <v>430</v>
      </c>
      <c r="G21" s="874" t="s">
        <v>431</v>
      </c>
      <c r="H21" s="664" t="s">
        <v>1275</v>
      </c>
      <c r="I21" s="871" t="str">
        <f>'P2'!B95</f>
        <v xml:space="preserve">Se supone la intervención a 10 subregiones porque  tienen más del 30% en producción de maíz tecnificado, que se agrupan en 4 regiones mayores. (Costa, Valle, Tolima y Llanos). Se propone realizar 20 mesas de trabajo presenciales y 20 virtuales, 30 talleres virtuales y 30 talleres presenciales.  Se estima  complementar la capacitación con  10 cursos cortos de capacitación, 10 cursos cortos virtuales. Se estima apoyar con el 50% del costo a 1 persona por subregión a intervenir para la realización de cursos libres y 10 para cursos libres virtuales. Para acceder al oferta de consultoría agronómica y tecnología, para la alta productividad, se realizaran dos veces por año (semestrales),  en las 4 regiones mayores, un total de 8 ruedas de negocio presenciales, 8 ruedas de negocio virtuales, 8 ferias comerciales. Se propone  10 giras técnicas una por subregión a intervenir para conocer experiencias prácticas de sistemas de alta productividad. Se propone la divulgación y promoción de las actividades, mediante planes de medios, pauta en redes sociales, material promocional y de divulgación por subregión intervenir. Se estima implementar 2 lotes modelos por año (semestrales) en las 10 subregiones a  a intevenir. Se estima un apoyo del  50% del costo de la certificación de calidad para 2 plantas productoras de cal dolomita durante los primeros 5 años. Se propone una consultoría técnica especializada para alta productividad a 100 unidades de producción de 20 has por semestre, es decir 4.000 has, con un costo de 90 dólares por ha. Se propone contratar un equipo técnico humano nacional, de foco operativo, de 4 personas para la gestión de las actividades en las cuatro regiones mayores (Costa, Tolima, Valle y Llanos). Se propone contratar 4 profesionales especializados, durante 4 años, con un promedio salarial de $12.894.9491 con especialidad en tema semillas para acción nacional y 3 con especialidad en temas de suelos nutrición para acción en regiones Costa, Valle-Tolima y Llanos. Se proponen incentivos para la aplicación de cal por has sembrada y para adquirir maquinaria, los cuales se calculan de acuerdo al supuesto de gradualidad en el crecimiento en las áreas del año 2 al año 20 así: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Se propone crear un incentivo a la adecuación química de suelos, a través de  la aplicación de 5 t/h de Cal dolomita, con un costo de $150.000 por tonelada; se sugiere la asignación de un ICR del 20% durante los 10 primeros años,  ya que es una inversión de lento retorno, a partir del año 12 y hasta el 20 se propone una línea especial de crédito, que subsidie el 7.5% del interés del valor del crédito.  Para modernizar la maquinaria, se tienen en cuenta kits maquinaria para atender 400 has de capacidad, cuyo costo por kit es de $2.570.750 según estudio realizado en la iniciativa soya maíz  proyecto maíz del 2021, se propone asignar recursos de  de ICR de un 40% para asociaciones de productores y un ICR de 20% a otros productores, durante los años 2 a 11. Se estima que las hectáreas de las sociaciones de productores corresponden al 10% del área, del año 2 al 6, de 20% del área del año 7 al 11, del 30% del área del 12 al 17 y del 40% del área del año 18 al 20. Para los años 12 al 20, se sugiere asignar recursos de LEC para continuar apoyando la modernización de la maquinaria a asociaciones y a otros productores, la cual subsidia 7.5% puntos de la tasa de interés del costo de la maquinaria.
</v>
      </c>
      <c r="J21" s="872">
        <f>'P2'!Y9</f>
        <v>1300005814498.5</v>
      </c>
    </row>
    <row r="22" spans="1:10" s="665" customFormat="1" ht="100.5" customHeight="1" x14ac:dyDescent="0.2">
      <c r="A22" s="874"/>
      <c r="B22" s="874"/>
      <c r="C22" s="874"/>
      <c r="D22" s="874"/>
      <c r="E22" s="871"/>
      <c r="F22" s="874"/>
      <c r="G22" s="874"/>
      <c r="H22" s="664" t="s">
        <v>1276</v>
      </c>
      <c r="I22" s="871"/>
      <c r="J22" s="872"/>
    </row>
    <row r="23" spans="1:10" s="665" customFormat="1" ht="92.25" customHeight="1" x14ac:dyDescent="0.2">
      <c r="A23" s="874"/>
      <c r="B23" s="874"/>
      <c r="C23" s="874"/>
      <c r="D23" s="874"/>
      <c r="E23" s="871"/>
      <c r="F23" s="874"/>
      <c r="G23" s="874"/>
      <c r="H23" s="664" t="s">
        <v>1277</v>
      </c>
      <c r="I23" s="871"/>
      <c r="J23" s="872"/>
    </row>
    <row r="24" spans="1:10" s="665" customFormat="1" ht="128.25" customHeight="1" x14ac:dyDescent="0.2">
      <c r="A24" s="874"/>
      <c r="B24" s="874"/>
      <c r="C24" s="874"/>
      <c r="D24" s="874"/>
      <c r="E24" s="871"/>
      <c r="F24" s="874"/>
      <c r="G24" s="874"/>
      <c r="H24" s="664" t="s">
        <v>1278</v>
      </c>
      <c r="I24" s="871"/>
      <c r="J24" s="872"/>
    </row>
    <row r="25" spans="1:10" s="665" customFormat="1" ht="110.25" customHeight="1" x14ac:dyDescent="0.2">
      <c r="A25" s="874"/>
      <c r="B25" s="874"/>
      <c r="C25" s="874"/>
      <c r="D25" s="874"/>
      <c r="E25" s="871"/>
      <c r="F25" s="874"/>
      <c r="G25" s="874"/>
      <c r="H25" s="664" t="s">
        <v>1279</v>
      </c>
      <c r="I25" s="871"/>
      <c r="J25" s="872"/>
    </row>
    <row r="26" spans="1:10" s="665" customFormat="1" ht="106.5" customHeight="1" x14ac:dyDescent="0.2">
      <c r="A26" s="874"/>
      <c r="B26" s="874"/>
      <c r="C26" s="874"/>
      <c r="D26" s="874"/>
      <c r="E26" s="871"/>
      <c r="F26" s="874"/>
      <c r="G26" s="874"/>
      <c r="H26" s="664" t="s">
        <v>1280</v>
      </c>
      <c r="I26" s="871"/>
      <c r="J26" s="872"/>
    </row>
    <row r="27" spans="1:10" s="665" customFormat="1" ht="80.25" customHeight="1" x14ac:dyDescent="0.2">
      <c r="A27" s="874"/>
      <c r="B27" s="874"/>
      <c r="C27" s="874"/>
      <c r="D27" s="874"/>
      <c r="E27" s="871"/>
      <c r="F27" s="874"/>
      <c r="G27" s="874"/>
      <c r="H27" s="664" t="s">
        <v>1281</v>
      </c>
      <c r="I27" s="871"/>
      <c r="J27" s="872"/>
    </row>
    <row r="28" spans="1:10" s="665" customFormat="1" ht="55.5" customHeight="1" x14ac:dyDescent="0.2">
      <c r="A28" s="874" t="s">
        <v>309</v>
      </c>
      <c r="B28" s="874" t="s">
        <v>308</v>
      </c>
      <c r="C28" s="874" t="s">
        <v>110</v>
      </c>
      <c r="D28" s="874" t="s">
        <v>1282</v>
      </c>
      <c r="E28" s="871" t="s">
        <v>432</v>
      </c>
      <c r="F28" s="874" t="s">
        <v>433</v>
      </c>
      <c r="G28" s="874" t="s">
        <v>434</v>
      </c>
      <c r="H28" s="664" t="s">
        <v>1283</v>
      </c>
      <c r="I28" s="871" t="str">
        <f>'P2'!B117</f>
        <v>Se propone realizar una mesa de trabajo mensuales, talleres de carácter nacional cada 3 meses, se sugiere participar en 2 ferias comerciales internacionales para promover inversión. Se propone realizar 2 visitas a conocer en el terreno, las regiones con potencial para recibir las inversiones. Se sugiere contratar un equipo de consultor de 4 personas para  gestión, estructuración de proyectos y para brindar orientación y acompañamiento  a los empresarios e inversionistas, se incluyen los cálculos de desplazamientos a las regiones.</v>
      </c>
      <c r="J28" s="872">
        <f>'P2'!Y10</f>
        <v>7515731518</v>
      </c>
    </row>
    <row r="29" spans="1:10" s="665" customFormat="1" ht="57.75" customHeight="1" x14ac:dyDescent="0.2">
      <c r="A29" s="874"/>
      <c r="B29" s="874"/>
      <c r="C29" s="874"/>
      <c r="D29" s="874"/>
      <c r="E29" s="871"/>
      <c r="F29" s="874"/>
      <c r="G29" s="874"/>
      <c r="H29" s="664" t="s">
        <v>1284</v>
      </c>
      <c r="I29" s="871"/>
      <c r="J29" s="872"/>
    </row>
    <row r="30" spans="1:10" s="665" customFormat="1" ht="63.95" customHeight="1" x14ac:dyDescent="0.2">
      <c r="A30" s="874"/>
      <c r="B30" s="874"/>
      <c r="C30" s="874"/>
      <c r="D30" s="874"/>
      <c r="E30" s="871"/>
      <c r="F30" s="874"/>
      <c r="G30" s="874"/>
      <c r="H30" s="664" t="s">
        <v>1285</v>
      </c>
      <c r="I30" s="871"/>
      <c r="J30" s="872"/>
    </row>
    <row r="31" spans="1:10" s="665" customFormat="1" ht="110.25" customHeight="1" x14ac:dyDescent="0.2">
      <c r="A31" s="874"/>
      <c r="B31" s="874"/>
      <c r="C31" s="874"/>
      <c r="D31" s="874"/>
      <c r="E31" s="871"/>
      <c r="F31" s="874"/>
      <c r="G31" s="874"/>
      <c r="H31" s="664" t="s">
        <v>1286</v>
      </c>
      <c r="I31" s="871"/>
      <c r="J31" s="872"/>
    </row>
    <row r="32" spans="1:10" s="665" customFormat="1" ht="96" customHeight="1" x14ac:dyDescent="0.2">
      <c r="A32" s="874"/>
      <c r="B32" s="874"/>
      <c r="C32" s="874"/>
      <c r="D32" s="874"/>
      <c r="E32" s="871"/>
      <c r="F32" s="874"/>
      <c r="G32" s="874"/>
      <c r="H32" s="664" t="s">
        <v>1287</v>
      </c>
      <c r="I32" s="871"/>
      <c r="J32" s="872"/>
    </row>
    <row r="33" spans="1:10" s="665" customFormat="1" ht="72" customHeight="1" x14ac:dyDescent="0.2">
      <c r="A33" s="874"/>
      <c r="B33" s="874"/>
      <c r="C33" s="874"/>
      <c r="D33" s="874"/>
      <c r="E33" s="871"/>
      <c r="F33" s="874"/>
      <c r="G33" s="874"/>
      <c r="H33" s="664" t="s">
        <v>1288</v>
      </c>
      <c r="I33" s="871"/>
      <c r="J33" s="872"/>
    </row>
    <row r="34" spans="1:10" s="665" customFormat="1" ht="72.75" customHeight="1" x14ac:dyDescent="0.2">
      <c r="A34" s="874"/>
      <c r="B34" s="874"/>
      <c r="C34" s="874"/>
      <c r="D34" s="874"/>
      <c r="E34" s="871"/>
      <c r="F34" s="874"/>
      <c r="G34" s="874"/>
      <c r="H34" s="664" t="s">
        <v>1289</v>
      </c>
      <c r="I34" s="871"/>
      <c r="J34" s="872"/>
    </row>
    <row r="35" spans="1:10" ht="90" customHeight="1" x14ac:dyDescent="0.2">
      <c r="A35" s="878" t="s">
        <v>108</v>
      </c>
      <c r="B35" s="878" t="s">
        <v>111</v>
      </c>
      <c r="C35" s="878" t="s">
        <v>112</v>
      </c>
      <c r="D35" s="878" t="s">
        <v>113</v>
      </c>
      <c r="E35" s="877" t="s">
        <v>435</v>
      </c>
      <c r="F35" s="878" t="s">
        <v>436</v>
      </c>
      <c r="G35" s="878" t="s">
        <v>437</v>
      </c>
      <c r="H35" s="364" t="s">
        <v>438</v>
      </c>
      <c r="I35" s="877" t="str">
        <f>'P3'!B41</f>
        <v>Se supone la intervención a 10 subregiones porque  tienen más del 30% en producción de maíz tecnificado. Las actividades de promoción y fortalecimiento se estiman durante los primeros 5 años. Se propone realizar 10 mesas de trabajo presenciales y 10 virtuales, una por subregión, para la selección de organizaciones priorizadas para el proyecto. Se propone realizar 2 talleres en cada subregión para capacitar y orientación a los productores en el desarrollo de empresas de economía solidaria. Se propone realizar una gira técnica desde cada subregión para conocer empresas cooperativas que operen exitosamente. Se sugiere complementar la capacitación con cursos cortos, presenciales y virtuales, a personas vinculadas con las organizaciones de economía solidaria en cada subregión. Se presupuesta  un equipo de dos personas y sus desplazamientos, con campo de operación nacional  especializados en las temáticas del desarrollo empresarial y alianzas estratégicas, para coordinar y realizar las actividades de capacitación y consultoría. Se estima un equipo humano de campo con  rodamientos y apoyos tecnológicos de operación subregional, para las actividades operativas, de coordinación y monitoreo del avance de los proyectos. A partir del año 6, para las empresas ya consolidades, se sugiere incentivos LEC  de 10%, para créditos de capitalización de $500.000.000 por empresa asociativa cada subregión.</v>
      </c>
      <c r="J35" s="872">
        <f>'P3'!Y7</f>
        <v>24061173910</v>
      </c>
    </row>
    <row r="36" spans="1:10" ht="72" customHeight="1" x14ac:dyDescent="0.2">
      <c r="A36" s="878" t="s">
        <v>439</v>
      </c>
      <c r="B36" s="878" t="s">
        <v>114</v>
      </c>
      <c r="C36" s="878"/>
      <c r="D36" s="878"/>
      <c r="E36" s="877"/>
      <c r="F36" s="878"/>
      <c r="G36" s="878"/>
      <c r="H36" s="364" t="s">
        <v>440</v>
      </c>
      <c r="I36" s="877"/>
      <c r="J36" s="872"/>
    </row>
    <row r="37" spans="1:10" ht="101.25" customHeight="1" x14ac:dyDescent="0.2">
      <c r="A37" s="878" t="s">
        <v>439</v>
      </c>
      <c r="B37" s="878" t="s">
        <v>114</v>
      </c>
      <c r="C37" s="878"/>
      <c r="D37" s="878"/>
      <c r="E37" s="877"/>
      <c r="F37" s="878"/>
      <c r="G37" s="878"/>
      <c r="H37" s="364" t="s">
        <v>441</v>
      </c>
      <c r="I37" s="877"/>
      <c r="J37" s="872"/>
    </row>
    <row r="38" spans="1:10" ht="64.5" customHeight="1" x14ac:dyDescent="0.2">
      <c r="A38" s="878" t="s">
        <v>439</v>
      </c>
      <c r="B38" s="878" t="s">
        <v>114</v>
      </c>
      <c r="C38" s="878"/>
      <c r="D38" s="878"/>
      <c r="E38" s="877"/>
      <c r="F38" s="878"/>
      <c r="G38" s="878"/>
      <c r="H38" s="364" t="s">
        <v>442</v>
      </c>
      <c r="I38" s="877"/>
      <c r="J38" s="872"/>
    </row>
    <row r="39" spans="1:10" ht="78.75" customHeight="1" x14ac:dyDescent="0.2">
      <c r="A39" s="878" t="s">
        <v>108</v>
      </c>
      <c r="B39" s="878" t="s">
        <v>114</v>
      </c>
      <c r="C39" s="878" t="s">
        <v>112</v>
      </c>
      <c r="D39" s="878" t="s">
        <v>115</v>
      </c>
      <c r="E39" s="877" t="s">
        <v>443</v>
      </c>
      <c r="F39" s="878" t="s">
        <v>444</v>
      </c>
      <c r="G39" s="878" t="s">
        <v>445</v>
      </c>
      <c r="H39" s="364" t="s">
        <v>446</v>
      </c>
      <c r="I39" s="877" t="str">
        <f>'P3'!B75</f>
        <v xml:space="preserve">Se supone la intervención a 10 subregiones porque  tienen más del 30% en producción de maíz tecnificado, que se agrupan en 4 macro regiones (Costa, Valle, Tolima y Llanos). Se proponen 10 mesas de trabajo presenciales, complementadas con 10 virtuales, una por subregión para promover las alianzas estratégicas entre los agentes de la cadena.  Cada semestre en la época de siembras y previo a cosecha se propone realizar talleres/eventos en las 4 regiones mayores,  para acompañar gestiones comerciales alrededor de las integraciones, alianzas y acuerdos entre productores comercializadores y procesadores. En las 4 macro regiones, se estiman cursos cortos, presenciales y virtuales de capacitación en gestión empresarial y planeación estratégica, uno por semestre en cada región mayor. Se estima patrocinar  la realización de diplomados presenciales y virtuales, en gerencia y administración de empresas a 5 lideres de esquemas empresariales en cada una de las 4 macro regiones. Una vez por semestre se realizan ruedas de negocio, presenciales y virtuales, para  la definición de contratos entre productores e industria y para evaluar el resultado de los contratos definidos el semestre anterior. Para promocionar estas actividades, se sugiere un plan de medios y  material promocional por subregión. Se considera un equipo de dos personas con un promedio de $8.963.563 con su desplazamiento con campo de operación nacional especializados en las temáticas del desarrollo empresarial y alianzas estratégicas, para coordinar y realizar las actividades de capacitación y consultoría en el desarrollo de las alianzas. Se estima un equipo humano de campo de operación subregional, una persona por subregión con rodamientos y apoyos tecnológicos, para las actividades operativas, de coordinación y monitoreo del avance de los proyectos, actividades compartidas con el proyecto 3.1. </v>
      </c>
      <c r="J39" s="872">
        <f>'P3'!Y8</f>
        <v>37997628165.5</v>
      </c>
    </row>
    <row r="40" spans="1:10" ht="124.5" customHeight="1" x14ac:dyDescent="0.2">
      <c r="A40" s="878" t="s">
        <v>439</v>
      </c>
      <c r="B40" s="878" t="s">
        <v>114</v>
      </c>
      <c r="C40" s="878"/>
      <c r="D40" s="878"/>
      <c r="E40" s="877"/>
      <c r="F40" s="878"/>
      <c r="G40" s="878"/>
      <c r="H40" s="364" t="s">
        <v>447</v>
      </c>
      <c r="I40" s="877"/>
      <c r="J40" s="872"/>
    </row>
    <row r="41" spans="1:10" ht="50.25" customHeight="1" x14ac:dyDescent="0.2">
      <c r="A41" s="878" t="s">
        <v>439</v>
      </c>
      <c r="B41" s="878" t="s">
        <v>114</v>
      </c>
      <c r="C41" s="878"/>
      <c r="D41" s="878"/>
      <c r="E41" s="877"/>
      <c r="F41" s="878"/>
      <c r="G41" s="878"/>
      <c r="H41" s="365" t="s">
        <v>448</v>
      </c>
      <c r="I41" s="877"/>
      <c r="J41" s="872"/>
    </row>
    <row r="42" spans="1:10" ht="90.75" customHeight="1" x14ac:dyDescent="0.2">
      <c r="A42" s="878" t="s">
        <v>108</v>
      </c>
      <c r="B42" s="878" t="s">
        <v>111</v>
      </c>
      <c r="C42" s="878" t="s">
        <v>112</v>
      </c>
      <c r="D42" s="878" t="s">
        <v>449</v>
      </c>
      <c r="E42" s="878" t="s">
        <v>450</v>
      </c>
      <c r="F42" s="878" t="s">
        <v>444</v>
      </c>
      <c r="G42" s="878" t="s">
        <v>451</v>
      </c>
      <c r="H42" s="364" t="s">
        <v>452</v>
      </c>
      <c r="I42" s="877" t="str">
        <f>'P3'!B106</f>
        <v>Se supone la intervención a 10 subregiones porque  tienen más del 30% en producción de maíz tecnificado, que se agrupan en 4 regiones mayores (Costa, Valle, Tolima y Llanos). Se estiman actividades de gestión desde el año 1 al 11. Se estima la realización de mesas de trabajo presenciales y virtuales, a nivel subregional por una parte se trabaja la selección de locaciones adecuadas para planificar la construcción de infraestructura de secamiento y almacenamiento. También explorar sobre el interés en los procesos industriales de transformación y productos derivados. Se sugiere talleres se da capacitación sobre los aspectos técnicos para la instalación de plantas de secamiento y almacenamiento, sobre los procesos de transformación, formulación de planes de negocio  y el desarrollo de empresas con este fin. Igualmente en estos talleres o eventos de divulgación se generan conexiones entre los productores, los comercializadores y las empresas constructoras de plantas industriales. Se sugiere complementar la capacitación con giras técnicas a instalaciones en funcionamiento, cursos cortos, presenciales y virtuales. Los estima procesos de capacitación y acompañamiento para la construcción de infraestructura y constitución de empresas de transformación se realizan durante 10 años. Se parte de la meta de prospectiva de contar con 3.000.000 de toneladas de capacidad de secamiento y almacenamiento, que se va incrementando con  la misma tendencia que lo hace el área con crecimiento en las áreas del año 2 al año 20 así: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Por tano  entre el año 2 al 6 se estima haber llegado al 22% de la capacidad requerida, del año 7 al 12  alcanzar un 53% adicional, y del año 13 al 20 alcanzar el 26% restante,  para alcanzar el 100% durante el transcurso del plan. De esta cantidad se estima que el  10% sea para pequeños productores y el 40% para asociaciones de pequeños productores, a los  primero se les otroga un ICR del 30% y a los segundo se les otorgaría un ICR del 40% y para medianos productores un ICR del 20%;  la cantidad de capacidad instalada para medianos productores, se estimó en un 30%, el 20% restante sería para grandes productores, que no serían objeto de incentivo. El costo promedio de esta infraestructura es de USD 974 / ton de capacidad instalada construida por pequeños productores individuales (1000 ton de almacenamiento y 35 ton / día de secamiento), de USD 743 / ton a la construida por pequeños productores asociados (3000 ton de almacenamiento y 100 ton / día de secamiento), y de USD 599 / ton a la construida por medianos productores asociados (9000 ton de almacenamiento y 300 ton / día de secamiento).  Se estima incentivos para el emprendimiento de industrias de procesamiento de maíz, a 5 microempresas, a 3 pequeñas empresas y a 1 mediana empresa. El valor del incentivo se calculó teniendo en cuenta el valor de los ingresos de micro, pequeñas y medianas empresas, de acuerdo a la clasificación de la Dian, a la cual se le estimó un porcentaje del 10%, 5% y 3% del valor anual de los ingresos estimados y a este resultado se le calculó el 10%,   5% y 2%  para hallar un valor de apoyo para el emprendimiento por un valor de $8.954.883, $19,476.575 y $39.597.850 respectivamente. Se considera un equipo humano de acción nacional de 2 personas para liderar y coordinar las actividades de capacitación, divulgación y comerciales de los proyecto 3.3 y 3.4 . Se complementa con un equipo humano de acción subregional, con rodamientos y apoyos tecnológicos, para las actividades de coordinación, operativas, logísticas que comparten actividades con el proyecto 3.4.</v>
      </c>
      <c r="J42" s="872">
        <f>'P3'!Y9</f>
        <v>2055072656746.0415</v>
      </c>
    </row>
    <row r="43" spans="1:10" ht="75.75" customHeight="1" x14ac:dyDescent="0.2">
      <c r="A43" s="878"/>
      <c r="B43" s="878"/>
      <c r="C43" s="878"/>
      <c r="D43" s="878"/>
      <c r="E43" s="878"/>
      <c r="F43" s="878"/>
      <c r="G43" s="878"/>
      <c r="H43" s="364" t="s">
        <v>453</v>
      </c>
      <c r="I43" s="877"/>
      <c r="J43" s="872"/>
    </row>
    <row r="44" spans="1:10" ht="79.5" customHeight="1" x14ac:dyDescent="0.2">
      <c r="A44" s="878"/>
      <c r="B44" s="878"/>
      <c r="C44" s="878"/>
      <c r="D44" s="878"/>
      <c r="E44" s="878"/>
      <c r="F44" s="878"/>
      <c r="G44" s="878"/>
      <c r="H44" s="364" t="s">
        <v>454</v>
      </c>
      <c r="I44" s="877"/>
      <c r="J44" s="872"/>
    </row>
    <row r="45" spans="1:10" ht="81.75" customHeight="1" x14ac:dyDescent="0.2">
      <c r="A45" s="878"/>
      <c r="B45" s="878"/>
      <c r="C45" s="878"/>
      <c r="D45" s="878"/>
      <c r="E45" s="878"/>
      <c r="F45" s="878"/>
      <c r="G45" s="878"/>
      <c r="H45" s="364" t="s">
        <v>455</v>
      </c>
      <c r="I45" s="877"/>
      <c r="J45" s="872"/>
    </row>
    <row r="46" spans="1:10" ht="60" customHeight="1" x14ac:dyDescent="0.2">
      <c r="A46" s="878"/>
      <c r="B46" s="878"/>
      <c r="C46" s="878"/>
      <c r="D46" s="878"/>
      <c r="E46" s="878"/>
      <c r="F46" s="878"/>
      <c r="G46" s="878"/>
      <c r="H46" s="365" t="s">
        <v>456</v>
      </c>
      <c r="I46" s="877"/>
      <c r="J46" s="872"/>
    </row>
    <row r="47" spans="1:10" ht="66.75" customHeight="1" x14ac:dyDescent="0.2">
      <c r="A47" s="879" t="s">
        <v>108</v>
      </c>
      <c r="B47" s="879" t="s">
        <v>111</v>
      </c>
      <c r="C47" s="879" t="s">
        <v>112</v>
      </c>
      <c r="D47" s="879" t="s">
        <v>310</v>
      </c>
      <c r="E47" s="876" t="s">
        <v>457</v>
      </c>
      <c r="F47" s="879" t="s">
        <v>458</v>
      </c>
      <c r="G47" s="879" t="s">
        <v>459</v>
      </c>
      <c r="H47" s="364" t="s">
        <v>460</v>
      </c>
      <c r="I47" s="876" t="str">
        <f>'P3'!B142</f>
        <v>Se supone la intervención a 10 subregiones porque  tienen más del 30% en producción de maíz tecnificado, que se agrupan en 4 macro regiones (Costa, Valle, Tolima y Llanos). Se estiman actividades de gestión desde el año 1 al 11. Se proponen mesas de trabajo presenciales y virtuales, realizadas cada semestre a nivel subregional se identifican y convocan a los agentes  que participan de la cadena de suministro de insumos, bienes y servicios para los productores. Se proponen  2 talleres anuales y 2 cursos cortos (presenciales y virtuales  en cada subregión, se capacita a productores y agroindustriales en la planificación y gestión de su cadena de suministros, la logística y tecnología involucrada y se estima dar acompañamiento e información sobre los instrumentos que tienen disponibles para el emprendimiento y la creación de empresas comerciales y de suministros de bienes y servicios para la producción. Se sugiere complementar la capacitación con diplomados en gestión de las cadenas de suministro, presenciales y virtuales para dos personas/año por subregión. Se realiza una Feria - Rueda de negocios, anual por subregión, presencial y virtual, como espacio para que oferentes de semillas, fertilizantes, fitosanitarios, agro biológicos, servicios operativos, servicios técnicos y tecnológicos, maquinaria, servicios logísticos, de mecanización, etc., se encuentren con los productores y agroindustriales, para la proyección y realización de negocios. Se considera un equipo humano de acción nacional de 2 personas, con sus desplazamientos, para liderar y coordinar las actividades de capacitación, divulgación y comerciales. Se supone un equipo humano de acción subregional, con rodamientos y apoyos tecnológicos para las actividades de coordinación, operativas, logísticas, personal que compare actividades con el proyecto 3.4. Las actividades de capacitación, talleres y eventos de divulgación se estima  implementarse  durante 5 años y las ferias - ruedas de negocio durante 20 años.</v>
      </c>
      <c r="J47" s="872">
        <f>'P3'!Y10</f>
        <v>30338487270.195988</v>
      </c>
    </row>
    <row r="48" spans="1:10" ht="62.25" customHeight="1" x14ac:dyDescent="0.2">
      <c r="A48" s="879"/>
      <c r="B48" s="879"/>
      <c r="C48" s="879"/>
      <c r="D48" s="879"/>
      <c r="E48" s="876"/>
      <c r="F48" s="879"/>
      <c r="G48" s="879"/>
      <c r="H48" s="364" t="s">
        <v>461</v>
      </c>
      <c r="I48" s="876"/>
      <c r="J48" s="872"/>
    </row>
    <row r="49" spans="1:11" ht="63.75" customHeight="1" x14ac:dyDescent="0.2">
      <c r="A49" s="879"/>
      <c r="B49" s="879"/>
      <c r="C49" s="879"/>
      <c r="D49" s="879"/>
      <c r="E49" s="876"/>
      <c r="F49" s="879"/>
      <c r="G49" s="879"/>
      <c r="H49" s="365" t="s">
        <v>1290</v>
      </c>
      <c r="I49" s="876"/>
      <c r="J49" s="872"/>
    </row>
    <row r="50" spans="1:11" ht="57" customHeight="1" x14ac:dyDescent="0.2">
      <c r="A50" s="879"/>
      <c r="B50" s="879"/>
      <c r="C50" s="879"/>
      <c r="D50" s="879"/>
      <c r="E50" s="876"/>
      <c r="F50" s="879"/>
      <c r="G50" s="879"/>
      <c r="H50" s="365" t="s">
        <v>462</v>
      </c>
      <c r="I50" s="876"/>
      <c r="J50" s="872"/>
    </row>
    <row r="51" spans="1:11" ht="69" customHeight="1" x14ac:dyDescent="0.2">
      <c r="A51" s="879"/>
      <c r="B51" s="879"/>
      <c r="C51" s="879"/>
      <c r="D51" s="879"/>
      <c r="E51" s="876"/>
      <c r="F51" s="879"/>
      <c r="G51" s="879"/>
      <c r="H51" s="365" t="s">
        <v>463</v>
      </c>
      <c r="I51" s="876"/>
      <c r="J51" s="872"/>
    </row>
    <row r="52" spans="1:11" ht="48.75" customHeight="1" x14ac:dyDescent="0.2">
      <c r="A52" s="879"/>
      <c r="B52" s="879"/>
      <c r="C52" s="879"/>
      <c r="D52" s="879"/>
      <c r="E52" s="876"/>
      <c r="F52" s="879"/>
      <c r="G52" s="879"/>
      <c r="H52" s="365" t="s">
        <v>464</v>
      </c>
      <c r="I52" s="876"/>
      <c r="J52" s="872"/>
    </row>
    <row r="53" spans="1:11" s="665" customFormat="1" ht="99.75" customHeight="1" x14ac:dyDescent="0.2">
      <c r="A53" s="879" t="s">
        <v>108</v>
      </c>
      <c r="B53" s="879" t="s">
        <v>111</v>
      </c>
      <c r="C53" s="879" t="s">
        <v>112</v>
      </c>
      <c r="D53" s="879" t="s">
        <v>311</v>
      </c>
      <c r="E53" s="876" t="s">
        <v>1291</v>
      </c>
      <c r="F53" s="879" t="s">
        <v>465</v>
      </c>
      <c r="G53" s="879" t="s">
        <v>1292</v>
      </c>
      <c r="H53" s="664" t="s">
        <v>466</v>
      </c>
      <c r="I53" s="876" t="str">
        <f>'P3'!B167</f>
        <v>Se propone realizar 6 mesas de trabajo presenciales y 6 virtuales en al año,  6 talleres virtuales y 6 presenciales. Se propone apoyar el desarrollo de la industria de la cal con el desarrollo de un incentivo para el emprendimiento a 2 empresas medianas en el año durante 5 años, por un valor de $39.597.850, el cual se calculó teniendo clasificación de empresas de acuerdo con el nivel de ingresos, a lo cual se calcula un % 3  y luego un 2% para medianas empresas. Se propone la contratación de 2 personas para brindar acompañamiento técnico a los empresarios en las diferentes actividades que se desarrollan en el marco de este proyecto, con un promedio mensual de $9.907.096 y se calculan  desplazamientos a las regiones.</v>
      </c>
      <c r="J53" s="872">
        <f>'P3'!Y11</f>
        <v>10740529210.194</v>
      </c>
    </row>
    <row r="54" spans="1:11" s="665" customFormat="1" ht="66" customHeight="1" x14ac:dyDescent="0.2">
      <c r="A54" s="879"/>
      <c r="B54" s="879"/>
      <c r="C54" s="879"/>
      <c r="D54" s="879"/>
      <c r="E54" s="876"/>
      <c r="F54" s="879"/>
      <c r="G54" s="879"/>
      <c r="H54" s="664" t="s">
        <v>467</v>
      </c>
      <c r="I54" s="876"/>
      <c r="J54" s="872"/>
    </row>
    <row r="55" spans="1:11" s="665" customFormat="1" ht="70.5" customHeight="1" x14ac:dyDescent="0.2">
      <c r="A55" s="879"/>
      <c r="B55" s="879"/>
      <c r="C55" s="879"/>
      <c r="D55" s="879"/>
      <c r="E55" s="876"/>
      <c r="F55" s="879"/>
      <c r="G55" s="879"/>
      <c r="H55" s="664" t="s">
        <v>468</v>
      </c>
      <c r="I55" s="876"/>
      <c r="J55" s="872"/>
    </row>
    <row r="56" spans="1:11" s="665" customFormat="1" ht="75" customHeight="1" x14ac:dyDescent="0.2">
      <c r="A56" s="879"/>
      <c r="B56" s="879"/>
      <c r="C56" s="879"/>
      <c r="D56" s="879"/>
      <c r="E56" s="876"/>
      <c r="F56" s="879"/>
      <c r="G56" s="879"/>
      <c r="H56" s="664" t="s">
        <v>469</v>
      </c>
      <c r="I56" s="876"/>
      <c r="J56" s="872"/>
    </row>
    <row r="57" spans="1:11" s="665" customFormat="1" ht="75" customHeight="1" x14ac:dyDescent="0.2">
      <c r="A57" s="879"/>
      <c r="B57" s="879"/>
      <c r="C57" s="879"/>
      <c r="D57" s="879"/>
      <c r="E57" s="876"/>
      <c r="F57" s="879"/>
      <c r="G57" s="879"/>
      <c r="H57" s="664" t="s">
        <v>1293</v>
      </c>
      <c r="I57" s="876"/>
      <c r="J57" s="872"/>
    </row>
    <row r="58" spans="1:11" s="665" customFormat="1" ht="48" customHeight="1" x14ac:dyDescent="0.2">
      <c r="A58" s="879"/>
      <c r="B58" s="879"/>
      <c r="C58" s="879"/>
      <c r="D58" s="879"/>
      <c r="E58" s="876"/>
      <c r="F58" s="879"/>
      <c r="G58" s="879"/>
      <c r="H58" s="664" t="s">
        <v>1294</v>
      </c>
      <c r="I58" s="876"/>
      <c r="J58" s="872"/>
    </row>
    <row r="59" spans="1:11" s="665" customFormat="1" ht="53.25" customHeight="1" x14ac:dyDescent="0.2">
      <c r="A59" s="879"/>
      <c r="B59" s="879"/>
      <c r="C59" s="879"/>
      <c r="D59" s="879"/>
      <c r="E59" s="876"/>
      <c r="F59" s="879"/>
      <c r="G59" s="879"/>
      <c r="H59" s="664" t="s">
        <v>1295</v>
      </c>
      <c r="I59" s="876"/>
      <c r="J59" s="872"/>
    </row>
    <row r="60" spans="1:11" ht="64.5" customHeight="1" x14ac:dyDescent="0.2">
      <c r="A60" s="879" t="s">
        <v>116</v>
      </c>
      <c r="B60" s="879" t="s">
        <v>117</v>
      </c>
      <c r="C60" s="879" t="s">
        <v>118</v>
      </c>
      <c r="D60" s="879" t="s">
        <v>119</v>
      </c>
      <c r="E60" s="879" t="s">
        <v>470</v>
      </c>
      <c r="F60" s="879" t="s">
        <v>471</v>
      </c>
      <c r="G60" s="879" t="s">
        <v>472</v>
      </c>
      <c r="H60" s="365" t="s">
        <v>473</v>
      </c>
      <c r="I60" s="876" t="str">
        <f>'P4'!B35</f>
        <v xml:space="preserve">Se consideran 7 departamentos (Chocó, Meta, Caquetá, Nariño, Cauca,  Boyacá y Córdoba) con áreas de producción de maíz ubicadas fuera de la frontera agrícola. Se estiman 28 mesas de trabajo presencial y virtual (4 por departamento), 7 talleres y/o eventos de divulgación regionales presenciales (1 por departamento), eventos de divulgación virtuales (3 por departamento). Se estima un equipo humano en región de 7 personas, con rodamiento (peajes y combustible) y apoyos tecnológicos (GPS y Tablet); y se considera "Por definir" otras formas de contribución. </v>
      </c>
      <c r="J60" s="872">
        <f>'P4'!Y8</f>
        <v>3089539635</v>
      </c>
      <c r="K60" s="665"/>
    </row>
    <row r="61" spans="1:11" ht="80.25" customHeight="1" x14ac:dyDescent="0.2">
      <c r="A61" s="879"/>
      <c r="B61" s="879"/>
      <c r="C61" s="879"/>
      <c r="D61" s="879"/>
      <c r="E61" s="879"/>
      <c r="F61" s="879"/>
      <c r="G61" s="879"/>
      <c r="H61" s="365" t="s">
        <v>474</v>
      </c>
      <c r="I61" s="876"/>
      <c r="J61" s="872"/>
      <c r="K61" s="665"/>
    </row>
    <row r="62" spans="1:11" ht="96.75" customHeight="1" x14ac:dyDescent="0.2">
      <c r="A62" s="879"/>
      <c r="B62" s="879"/>
      <c r="C62" s="879"/>
      <c r="D62" s="879"/>
      <c r="E62" s="879"/>
      <c r="F62" s="879"/>
      <c r="G62" s="879"/>
      <c r="H62" s="365" t="s">
        <v>475</v>
      </c>
      <c r="I62" s="876"/>
      <c r="J62" s="872"/>
      <c r="K62" s="665"/>
    </row>
    <row r="63" spans="1:11" ht="111.75" customHeight="1" x14ac:dyDescent="0.2">
      <c r="A63" s="878" t="s">
        <v>116</v>
      </c>
      <c r="B63" s="878" t="s">
        <v>117</v>
      </c>
      <c r="C63" s="878" t="s">
        <v>118</v>
      </c>
      <c r="D63" s="878" t="s">
        <v>120</v>
      </c>
      <c r="E63" s="878" t="s">
        <v>476</v>
      </c>
      <c r="F63" s="878" t="s">
        <v>477</v>
      </c>
      <c r="G63" s="878" t="s">
        <v>478</v>
      </c>
      <c r="H63" s="365" t="s">
        <v>479</v>
      </c>
      <c r="I63" s="877" t="str">
        <f>'P4'!B75</f>
        <v>Se estiman 25 mesas de trabajo (4 presenciales y 19 virtuales), 4 talleres y/o eventos de divulgación nacionales, talleres y/o eventos de divulgación regionales (19 presenciales y 19 virtuales, 1 en cada subregión), 10 parcelas demostrativas (se toman 10 de las 19 subregiones porque contienen más del 30% del área en producción de maíz en sistema tecnificado, que se agrupan en 4 regiones), material de divulgación (en las 4 regiones priorizadas), escuelas, días de campo, giras técnicas,  y/o visitas (6 en cada una de las 10 subregiones). Se estiman, cursos cortos, cursos libres, y diplomados presenciales (1 en cada una de las 4 regiones priorizadas) y virtuales (1 en cada una de las 10 subregiones priorizadas); un equipo humano nacional de 2 personas, con viáticos y desplazamientos, un equipo en región de 10 personas, con rodamiento (peajes y combustible) y apoyos tecnológicos (GPS y Tablet) y unos consultores especializados para apoyar el diseño de riego intrapredial (1 en cada una de las 4 regiones priorizadas).  Se estima un 7,5% anual del valor del crédito como subsisido a tasa de interés (LEC) por adecuación de tierras para uso agropecuario. Las hectáreas a apoyar corresponden a un  30% de las áreas estimadas a incrementar durante la ejecución del plan (950.000), es decir 285.000 , la gradualidad en las hectáreas se estimó asi:  Se parte de 30.000 has en el año 2, se supone un crecimiento anual del 15% durante los primeros 4 años, es decir del año 2 al 6, luego para los años 7 al 10, se estima un crecimiento del 20%  y desde el año 11 al año 20,  se estima un decrecimiento en áreas del 20% anual hasta el año 20.  Esta gradualidad refleja un impulso en el crecimiento de las áreas durante los primeros 10 años de la implementación del plan, hasta llegar a un pico de crecimiento en el año 10 y luego descender gradualmente.  Se estima un valor por hectárea de $1.500.000 que es un supeusto técnico para la inversión en labores mecanización y encalamiento para adecuar tierras para el cultivo.  Por su parte para las soluciones individuales de riego, se estimó hectáreas a apoyar corresponden a un  5% de las áreas estimadas a incrementar durante la ejecución del plan (950.000), es decir 47.500  de los cuales se estimpo un 50% para pequeños y asociativos y un 30% para medianos, se considero un 20% para grandes; se sugiere un ICR de 40% para pequeños y pequelos asociativos y del 20% para medianos y a los grandes no les asigna incentivos. La gradualidad en las hectáreas se estimó asi: entre el año 2 al 6 se estima haber llegado al 15% del área proyectada (es decir cada año se alcanza un 3% de la meta), al año 16 haber alcanzado el 80% (cada año se alcanza un 6.5% de la meta)  y al año 20  (cada año se alcanza un 5%) para lograr el 100% . El  supuesto técnico estimado para el valor de las soluciones individuales de riego es de $7.994.184/ha (USD 2.150 a una tasa de cambio de $3.718); que corresponde a un sistema de riego por pivote que incluye equipos, y no incluye mano de obra, ni infraestructura para captación de aguas. Se considera "Por definir" Otros tipos de captación, almacenamiento y aprovechamiento de agua, y otras formas de promoción.</v>
      </c>
      <c r="J63" s="872">
        <f>'P4'!Y9</f>
        <v>114474248098.25002</v>
      </c>
      <c r="K63" s="665"/>
    </row>
    <row r="64" spans="1:11" ht="64.5" customHeight="1" x14ac:dyDescent="0.2">
      <c r="A64" s="878"/>
      <c r="B64" s="878"/>
      <c r="C64" s="878"/>
      <c r="D64" s="878"/>
      <c r="E64" s="878"/>
      <c r="F64" s="878"/>
      <c r="G64" s="878"/>
      <c r="H64" s="365" t="s">
        <v>480</v>
      </c>
      <c r="I64" s="877"/>
      <c r="J64" s="872"/>
      <c r="K64" s="665"/>
    </row>
    <row r="65" spans="1:11" ht="65.25" customHeight="1" x14ac:dyDescent="0.2">
      <c r="A65" s="878"/>
      <c r="B65" s="878"/>
      <c r="C65" s="878"/>
      <c r="D65" s="878"/>
      <c r="E65" s="878"/>
      <c r="F65" s="878"/>
      <c r="G65" s="878"/>
      <c r="H65" s="365" t="s">
        <v>481</v>
      </c>
      <c r="I65" s="877"/>
      <c r="J65" s="872"/>
      <c r="K65" s="665"/>
    </row>
    <row r="66" spans="1:11" ht="85.5" customHeight="1" x14ac:dyDescent="0.2">
      <c r="A66" s="878"/>
      <c r="B66" s="878"/>
      <c r="C66" s="878"/>
      <c r="D66" s="878"/>
      <c r="E66" s="878"/>
      <c r="F66" s="878"/>
      <c r="G66" s="878"/>
      <c r="H66" s="365" t="s">
        <v>482</v>
      </c>
      <c r="I66" s="877"/>
      <c r="J66" s="872"/>
      <c r="K66" s="665"/>
    </row>
    <row r="67" spans="1:11" ht="84" customHeight="1" x14ac:dyDescent="0.2">
      <c r="A67" s="878"/>
      <c r="B67" s="878"/>
      <c r="C67" s="878"/>
      <c r="D67" s="878"/>
      <c r="E67" s="878"/>
      <c r="F67" s="878"/>
      <c r="G67" s="878"/>
      <c r="H67" s="365" t="s">
        <v>483</v>
      </c>
      <c r="I67" s="877"/>
      <c r="J67" s="872"/>
    </row>
    <row r="68" spans="1:11" ht="63" customHeight="1" x14ac:dyDescent="0.2">
      <c r="A68" s="878"/>
      <c r="B68" s="878"/>
      <c r="C68" s="878"/>
      <c r="D68" s="878"/>
      <c r="E68" s="878"/>
      <c r="F68" s="878"/>
      <c r="G68" s="878"/>
      <c r="H68" s="365" t="s">
        <v>484</v>
      </c>
      <c r="I68" s="877"/>
      <c r="J68" s="872"/>
    </row>
    <row r="69" spans="1:11" ht="69.75" customHeight="1" x14ac:dyDescent="0.2">
      <c r="A69" s="878"/>
      <c r="B69" s="878"/>
      <c r="C69" s="878"/>
      <c r="D69" s="878"/>
      <c r="E69" s="878"/>
      <c r="F69" s="878"/>
      <c r="G69" s="878"/>
      <c r="H69" s="364" t="s">
        <v>485</v>
      </c>
      <c r="I69" s="877"/>
      <c r="J69" s="872"/>
    </row>
    <row r="70" spans="1:11" ht="59.25" customHeight="1" x14ac:dyDescent="0.2">
      <c r="A70" s="878" t="s">
        <v>116</v>
      </c>
      <c r="B70" s="878" t="s">
        <v>121</v>
      </c>
      <c r="C70" s="878" t="s">
        <v>1377</v>
      </c>
      <c r="D70" s="878" t="s">
        <v>122</v>
      </c>
      <c r="E70" s="878" t="s">
        <v>486</v>
      </c>
      <c r="F70" s="878" t="s">
        <v>487</v>
      </c>
      <c r="G70" s="878" t="s">
        <v>1296</v>
      </c>
      <c r="H70" s="365" t="s">
        <v>488</v>
      </c>
      <c r="I70" s="877" t="str">
        <f>'P5'!B48</f>
        <v xml:space="preserve">Se estiman 25 mesas de trabajo (4 presenciales y 19 virtuales), 4 talleres y/o eventos de divulgación nacionales, talleres y/o eventos de divulgación regionales (7 presenciales, 1 en cada región y 19 virtuales, 1 en cada subregión), Escuelas, días de campo, giras técnicas,  y/ o visitas y  parcelas demostrativas (1 en cada subregión). Se estiman diplomados presenciales (1 en cada una de las 7 regiones) y virtuales (1 en cada una de las 19 subregiones); un equipo humano nacional de 2 personas, con viáticos y desplazamientos, y un equipo en región de 19 personas, con rodamiento (peajes y combustible) y apoyos tecnológicos (GPS y Tablet). Se propone un incentivo para inversiones en tecnologías y prácticas sostenibles para microempresas (7 por año, 1 en cada región), pequeñas empresas (7 por año, 1 en cada región) y medianas empresas (4 por año, 1 en cada región priorizada, correspondiente a las regiones que agrupan 10 de las 19 subregiones porque contienen más del 30% del área en producción de maíz en sistema tecnificado). Se considera "Por definir" otras formas de mejora. </v>
      </c>
      <c r="J70" s="872">
        <f>'P5'!Y8</f>
        <v>21593230348.063999</v>
      </c>
    </row>
    <row r="71" spans="1:11" ht="78" customHeight="1" x14ac:dyDescent="0.2">
      <c r="A71" s="878"/>
      <c r="B71" s="878"/>
      <c r="C71" s="878"/>
      <c r="D71" s="878"/>
      <c r="E71" s="878"/>
      <c r="F71" s="878"/>
      <c r="G71" s="878"/>
      <c r="H71" s="365" t="s">
        <v>489</v>
      </c>
      <c r="I71" s="877"/>
      <c r="J71" s="872"/>
    </row>
    <row r="72" spans="1:11" ht="50.25" customHeight="1" x14ac:dyDescent="0.2">
      <c r="A72" s="878"/>
      <c r="B72" s="878"/>
      <c r="C72" s="878"/>
      <c r="D72" s="878"/>
      <c r="E72" s="878"/>
      <c r="F72" s="878"/>
      <c r="G72" s="878"/>
      <c r="H72" s="365" t="s">
        <v>490</v>
      </c>
      <c r="I72" s="877"/>
      <c r="J72" s="872"/>
    </row>
    <row r="73" spans="1:11" ht="67.5" customHeight="1" x14ac:dyDescent="0.2">
      <c r="A73" s="878"/>
      <c r="B73" s="878"/>
      <c r="C73" s="878"/>
      <c r="D73" s="878"/>
      <c r="E73" s="878"/>
      <c r="F73" s="878"/>
      <c r="G73" s="878"/>
      <c r="H73" s="365" t="s">
        <v>491</v>
      </c>
      <c r="I73" s="877"/>
      <c r="J73" s="872"/>
    </row>
    <row r="74" spans="1:11" ht="48.75" customHeight="1" x14ac:dyDescent="0.2">
      <c r="A74" s="878"/>
      <c r="B74" s="878"/>
      <c r="C74" s="878"/>
      <c r="D74" s="878"/>
      <c r="E74" s="878"/>
      <c r="F74" s="878"/>
      <c r="G74" s="878"/>
      <c r="H74" s="365" t="s">
        <v>492</v>
      </c>
      <c r="I74" s="877"/>
      <c r="J74" s="872"/>
    </row>
    <row r="75" spans="1:11" ht="48.75" customHeight="1" x14ac:dyDescent="0.2">
      <c r="A75" s="878"/>
      <c r="B75" s="878"/>
      <c r="C75" s="878"/>
      <c r="D75" s="878"/>
      <c r="E75" s="878"/>
      <c r="F75" s="878"/>
      <c r="G75" s="878"/>
      <c r="H75" s="365" t="s">
        <v>493</v>
      </c>
      <c r="I75" s="877"/>
      <c r="J75" s="872"/>
    </row>
    <row r="76" spans="1:11" ht="57.75" customHeight="1" x14ac:dyDescent="0.2">
      <c r="A76" s="878"/>
      <c r="B76" s="878"/>
      <c r="C76" s="878"/>
      <c r="D76" s="878"/>
      <c r="E76" s="878"/>
      <c r="F76" s="878"/>
      <c r="G76" s="878"/>
      <c r="H76" s="663" t="s">
        <v>1297</v>
      </c>
      <c r="I76" s="877"/>
      <c r="J76" s="872"/>
    </row>
    <row r="77" spans="1:11" ht="60.75" customHeight="1" x14ac:dyDescent="0.2">
      <c r="A77" s="878" t="s">
        <v>123</v>
      </c>
      <c r="B77" s="878" t="s">
        <v>124</v>
      </c>
      <c r="C77" s="878" t="s">
        <v>125</v>
      </c>
      <c r="D77" s="878" t="s">
        <v>126</v>
      </c>
      <c r="E77" s="877" t="s">
        <v>494</v>
      </c>
      <c r="F77" s="878" t="s">
        <v>495</v>
      </c>
      <c r="G77" s="878" t="s">
        <v>496</v>
      </c>
      <c r="H77" s="364" t="s">
        <v>497</v>
      </c>
      <c r="I77" s="877" t="str">
        <f>'P6'!B47</f>
        <v xml:space="preserve">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30 mesas de trabajo presencial y virtuales (una por subregión), se estiman contribuir a las familias para mejorar el manejo integral de  UPA,  estimando el 30% del   del establecimiento de un cultivo tradicional de mayor productividad, este porcentaje corresponde al supuesto de participación del maíz dentro de la unidad productiva, lo cual arroja un valor de $483.000,  se estima intervenir el 50% de las UPAS de maíz tradicional (39369) durante los 20 años de la realización del POP, 984 año, también se estima realización de 10 cursos cortos presenciales por región a intervenir  (15) y virtuales (15), se estima la realización de  talleres y/o eventos de divulgación nacional y/regional, dos por región a intervenir, tanto de  manera presencial como virtual,  se estima la realización de 2 mercados campesinos por subregión a intervenir, 2 desarrolladores de plataformas de mercadeo para desarrollar y promocionar los productos campesinos de manera virtual por 4 meses, plan de medios regional para promocionar los mercados campesinos. Se estimó un incentivo de vivienda para apoyar a una familia por región, en la cual se apoya con el 30% de la cuota inicial de una vivienda, la cual se estimó en 21 millones, se estimó un valor de apoyo para seis  meses de servicios públicos por un valor promedio de $25.000 apoyando a 30% de las familias durante 18 años, también se estimó un incentivo a las Tics por un valor de $300.000 que corresponde a la donación de una Tablet que se costea en $300.00 para el 30% de las familias durante 18 años, cada año se estima apoyar a 590 familias. También se estima un incentivo a la conectividad para apoyar el 30% de las familias durante los 18 años del proyecto, es decir 590 familias año por un valor de $600.000 el cual se calculó para pagar el servicio de internet por un año.  Se estima un valor material promocional de $10 millones por región.  Se estima un equipo humano a nivel nacional de 2 personas para que ejecute los proyectos 6.1 y 6.2 , con un valor promedio de $7.862.772 por diez meses, una persona por cada región con un valor promedio de $2.516.084 con su respectivo rodamiento por un período de 8 meses. </v>
      </c>
      <c r="J77" s="872">
        <f>'P6'!Y8</f>
        <v>64607271652</v>
      </c>
      <c r="K77" s="420"/>
    </row>
    <row r="78" spans="1:11" ht="66.75" customHeight="1" x14ac:dyDescent="0.2">
      <c r="A78" s="878"/>
      <c r="B78" s="878"/>
      <c r="C78" s="878"/>
      <c r="D78" s="878"/>
      <c r="E78" s="877"/>
      <c r="F78" s="878"/>
      <c r="G78" s="878"/>
      <c r="H78" s="364" t="s">
        <v>498</v>
      </c>
      <c r="I78" s="877"/>
      <c r="J78" s="872"/>
      <c r="K78" s="420"/>
    </row>
    <row r="79" spans="1:11" ht="78" customHeight="1" x14ac:dyDescent="0.2">
      <c r="A79" s="878"/>
      <c r="B79" s="878"/>
      <c r="C79" s="878"/>
      <c r="D79" s="878"/>
      <c r="E79" s="877"/>
      <c r="F79" s="878"/>
      <c r="G79" s="878"/>
      <c r="H79" s="364" t="s">
        <v>499</v>
      </c>
      <c r="I79" s="877"/>
      <c r="J79" s="872"/>
      <c r="K79" s="420"/>
    </row>
    <row r="80" spans="1:11" ht="79.5" customHeight="1" x14ac:dyDescent="0.2">
      <c r="A80" s="878"/>
      <c r="B80" s="878"/>
      <c r="C80" s="878"/>
      <c r="D80" s="878"/>
      <c r="E80" s="877"/>
      <c r="F80" s="878"/>
      <c r="G80" s="878"/>
      <c r="H80" s="364" t="s">
        <v>500</v>
      </c>
      <c r="I80" s="877"/>
      <c r="J80" s="872"/>
      <c r="K80" s="420"/>
    </row>
    <row r="81" spans="1:11" ht="77.25" customHeight="1" x14ac:dyDescent="0.2">
      <c r="A81" s="878"/>
      <c r="B81" s="878"/>
      <c r="C81" s="878"/>
      <c r="D81" s="878"/>
      <c r="E81" s="877"/>
      <c r="F81" s="878"/>
      <c r="G81" s="878"/>
      <c r="H81" s="364" t="s">
        <v>501</v>
      </c>
      <c r="I81" s="877"/>
      <c r="J81" s="872"/>
      <c r="K81" s="420"/>
    </row>
    <row r="82" spans="1:11" ht="75.75" customHeight="1" x14ac:dyDescent="0.2">
      <c r="A82" s="878" t="s">
        <v>123</v>
      </c>
      <c r="B82" s="878" t="s">
        <v>124</v>
      </c>
      <c r="C82" s="878" t="s">
        <v>125</v>
      </c>
      <c r="D82" s="878" t="s">
        <v>127</v>
      </c>
      <c r="E82" s="877" t="s">
        <v>502</v>
      </c>
      <c r="F82" s="878" t="s">
        <v>503</v>
      </c>
      <c r="G82" s="878" t="s">
        <v>504</v>
      </c>
      <c r="H82" s="364" t="s">
        <v>505</v>
      </c>
      <c r="I82" s="877" t="str">
        <f>'P6'!B75</f>
        <v>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estiman 24 mesas de trabajo presencial y virtuales (dos por mes), se estima la realización de  talleres y/o eventos de divulgación nacional y/regional, uno por subregión a intervenir, tanto de  manera presencial como virtual, se estimó un incentivo a las Tics por un valor de $300.000, que corresponde al valor de la Tablet para 10 personas por región. También se estima un incentivo a la conectividad por un valor de $600.000 el cual se calculó para pagar el servicio de internet por un año por región.   Se estima la realización de un plan de medios radial regional,  un equipo humano a nivel nacional que ejecuten el proyecto 6.1 y 6.2 , de 2 personas con un valor promedio de $7.862.772 por diez meses, una persona por cada región con un valor promedio de $2.516.084 con su respectivo rodamiento por un período de 8 meses, que comparten actividades con el proyecto 6.2. Se considera por definir convenios y programas y otras formas de contribución.</v>
      </c>
      <c r="J82" s="872">
        <f>'P6'!Y9</f>
        <v>13629695772</v>
      </c>
    </row>
    <row r="83" spans="1:11" ht="63" customHeight="1" x14ac:dyDescent="0.2">
      <c r="A83" s="878"/>
      <c r="B83" s="878"/>
      <c r="C83" s="878"/>
      <c r="D83" s="878"/>
      <c r="E83" s="877"/>
      <c r="F83" s="878"/>
      <c r="G83" s="878"/>
      <c r="H83" s="365" t="s">
        <v>506</v>
      </c>
      <c r="I83" s="877"/>
      <c r="J83" s="872"/>
    </row>
    <row r="84" spans="1:11" ht="59.25" customHeight="1" x14ac:dyDescent="0.2">
      <c r="A84" s="878"/>
      <c r="B84" s="878"/>
      <c r="C84" s="878"/>
      <c r="D84" s="878"/>
      <c r="E84" s="877"/>
      <c r="F84" s="878"/>
      <c r="G84" s="878"/>
      <c r="H84" s="365" t="s">
        <v>507</v>
      </c>
      <c r="I84" s="877"/>
      <c r="J84" s="872"/>
    </row>
    <row r="85" spans="1:11" ht="74.25" customHeight="1" x14ac:dyDescent="0.2">
      <c r="A85" s="878"/>
      <c r="B85" s="878"/>
      <c r="C85" s="878"/>
      <c r="D85" s="878"/>
      <c r="E85" s="877"/>
      <c r="F85" s="878"/>
      <c r="G85" s="878"/>
      <c r="H85" s="365" t="s">
        <v>508</v>
      </c>
      <c r="I85" s="877"/>
      <c r="J85" s="872"/>
    </row>
    <row r="86" spans="1:11" ht="83.25" customHeight="1" x14ac:dyDescent="0.2">
      <c r="A86" s="878" t="s">
        <v>123</v>
      </c>
      <c r="B86" s="878" t="s">
        <v>124</v>
      </c>
      <c r="C86" s="878" t="s">
        <v>125</v>
      </c>
      <c r="D86" s="878" t="s">
        <v>1302</v>
      </c>
      <c r="E86" s="877" t="s">
        <v>509</v>
      </c>
      <c r="F86" s="878" t="s">
        <v>510</v>
      </c>
      <c r="G86" s="878" t="s">
        <v>1307</v>
      </c>
      <c r="H86" s="662" t="s">
        <v>1298</v>
      </c>
      <c r="I86" s="877" t="str">
        <f>'P6'!B107</f>
        <v>Se estima a intervenir 15 subregiones para maíz tradicional ya que de acuerdo al documento de regionalización VI Alto Magdalena, LA Tolima Huila, LA Valle Occidente  y VI Valle del Cauca tienen un porcentaje menor del 5% en maíz tradicional y se consideran subregiones tecnificadas que no se intervienen en este programa. Se estima la realización de mesas de trabajo 12 virtuales y 12 presenciales,  se estima la realización de  talleres y/o eventos de divulgación nacional y/regional, uno por región, campañas institucionales por región a intervenir, un monto global de material promocional, también se estima realización  de cursos cortos presenciales  y virtuales por subregión,  Se estima un incentivo a la formalización de $1.610.000 para pequeños  como apoyo en asesoría, documentación, para 10 empresas por cada región, que corresponde al valor de una ha de maíz tradicional,  se estima un incentivo al emprendimiento por $8.954.883 para pequeñas empresas para 10 empresas por cada región, el cual se calculó teniendo en cuenta el valor de los ingresos  de acuerdo a la clasificación de la Dian, a la cual se le estimó un porcentaje del  5% del valor anual de los ingresos estimados y a este resultado se le calculó el  5%. Se estima un equipo humano a nivel nacional de 2 personas con un valor promedio de $7.862.772  por diez meses, una persona por cada región con un valor promedio de $3.145.107 con su respectivo rodamiento por un período de 10 meses. Se considera por definir otras formas de promoción.</v>
      </c>
      <c r="J86" s="872">
        <f>'P6'!Y10</f>
        <v>45018273391.800011</v>
      </c>
    </row>
    <row r="87" spans="1:11" ht="57" customHeight="1" x14ac:dyDescent="0.2">
      <c r="A87" s="878"/>
      <c r="B87" s="878"/>
      <c r="C87" s="878"/>
      <c r="D87" s="878"/>
      <c r="E87" s="877"/>
      <c r="F87" s="878"/>
      <c r="G87" s="878"/>
      <c r="H87" s="662" t="s">
        <v>1299</v>
      </c>
      <c r="I87" s="877"/>
      <c r="J87" s="872"/>
    </row>
    <row r="88" spans="1:11" ht="57.75" customHeight="1" x14ac:dyDescent="0.2">
      <c r="A88" s="878"/>
      <c r="B88" s="878"/>
      <c r="C88" s="878"/>
      <c r="D88" s="878"/>
      <c r="E88" s="877"/>
      <c r="F88" s="878"/>
      <c r="G88" s="878"/>
      <c r="H88" s="662" t="s">
        <v>1300</v>
      </c>
      <c r="I88" s="877"/>
      <c r="J88" s="872"/>
    </row>
    <row r="89" spans="1:11" ht="88.5" customHeight="1" x14ac:dyDescent="0.2">
      <c r="A89" s="878"/>
      <c r="B89" s="878"/>
      <c r="C89" s="878"/>
      <c r="D89" s="878"/>
      <c r="E89" s="877"/>
      <c r="F89" s="878"/>
      <c r="G89" s="878"/>
      <c r="H89" s="662" t="s">
        <v>1301</v>
      </c>
      <c r="I89" s="877"/>
      <c r="J89" s="872"/>
    </row>
    <row r="90" spans="1:11" ht="52.5" customHeight="1" x14ac:dyDescent="0.2">
      <c r="A90" s="878" t="s">
        <v>123</v>
      </c>
      <c r="B90" s="878" t="s">
        <v>312</v>
      </c>
      <c r="C90" s="878" t="s">
        <v>313</v>
      </c>
      <c r="D90" s="878" t="s">
        <v>1303</v>
      </c>
      <c r="E90" s="878" t="s">
        <v>511</v>
      </c>
      <c r="F90" s="878" t="s">
        <v>512</v>
      </c>
      <c r="G90" s="880" t="s">
        <v>1308</v>
      </c>
      <c r="H90" s="664" t="s">
        <v>1304</v>
      </c>
      <c r="I90" s="877" t="str">
        <f>'P6'!B131</f>
        <v>Se estima la realización de mesas de trabajo 12 virtuales y 12 presenciales,  se estima la realización de  talleres y/o eventos de divulgación nacional y/regional, dos por región.  Se estima 1 consultor especializado durante 5 meses, cada año para realizar asesoría en formulación de proyectos. Se estima un equipo humano a nivel nacional de 2 personas con un valor promedio de $7.862.772  por diez meses, una persona por cada región con un valor promedio de $3.145.107 con su respectivo rodamiento por un período de 10 meses. Se considera por definir otras formas de promoción.</v>
      </c>
      <c r="J90" s="872">
        <f>'P6'!Y11</f>
        <v>3742341787.5</v>
      </c>
    </row>
    <row r="91" spans="1:11" ht="68.25" customHeight="1" x14ac:dyDescent="0.2">
      <c r="A91" s="878"/>
      <c r="B91" s="878"/>
      <c r="C91" s="878"/>
      <c r="D91" s="878"/>
      <c r="E91" s="878"/>
      <c r="F91" s="878"/>
      <c r="G91" s="881"/>
      <c r="H91" s="664" t="s">
        <v>1305</v>
      </c>
      <c r="I91" s="877"/>
      <c r="J91" s="872"/>
    </row>
    <row r="92" spans="1:11" ht="60" x14ac:dyDescent="0.2">
      <c r="A92" s="878"/>
      <c r="B92" s="878"/>
      <c r="C92" s="878"/>
      <c r="D92" s="878"/>
      <c r="E92" s="878"/>
      <c r="F92" s="878"/>
      <c r="G92" s="882"/>
      <c r="H92" s="664" t="s">
        <v>1306</v>
      </c>
      <c r="I92" s="877"/>
      <c r="J92" s="872"/>
    </row>
    <row r="93" spans="1:11" ht="45.75" customHeight="1" x14ac:dyDescent="0.2">
      <c r="A93" s="878" t="s">
        <v>123</v>
      </c>
      <c r="B93" s="878" t="s">
        <v>128</v>
      </c>
      <c r="C93" s="878" t="s">
        <v>129</v>
      </c>
      <c r="D93" s="878" t="s">
        <v>130</v>
      </c>
      <c r="E93" s="878" t="s">
        <v>513</v>
      </c>
      <c r="F93" s="878" t="s">
        <v>514</v>
      </c>
      <c r="G93" s="878" t="s">
        <v>1310</v>
      </c>
      <c r="H93" s="365" t="s">
        <v>515</v>
      </c>
      <c r="I93" s="877" t="str">
        <f>'P7'!B41</f>
        <v xml:space="preserve">Este proyecto se considera para las 19 subregiones maiceras y 7 regiones a lo largo del territorio nacional. Se estiman 12 mesas de trabajo presencial, 12 mesas de trabajo virtuales, talleres y/o eventos de divulgación nacionales presenciales y 19 virtuales por subregión, un monto de material de divulgación de $3.000.0000 por subregión, se estima pautas en redes sociales por región por un valor global de 5 millones,  2 desarrolladores de plataformas para divulgar información, cursos cortos presenciales y virtuales por subregión, 2 personas que apoyen la realización de actividades a nivel nacional, una persona por región, con rodamiento, apoyos tecnológicos, se estima un 50% de dedicación a este proyecto y el restante tiempo al proyecto 7.2 . </v>
      </c>
      <c r="J93" s="872">
        <f>'P7'!Y8</f>
        <v>14243132557.5</v>
      </c>
    </row>
    <row r="94" spans="1:11" ht="45.75" customHeight="1" x14ac:dyDescent="0.2">
      <c r="A94" s="878"/>
      <c r="B94" s="878"/>
      <c r="C94" s="878"/>
      <c r="D94" s="878"/>
      <c r="E94" s="878"/>
      <c r="F94" s="878"/>
      <c r="G94" s="878"/>
      <c r="H94" s="365" t="s">
        <v>516</v>
      </c>
      <c r="I94" s="877"/>
      <c r="J94" s="872"/>
    </row>
    <row r="95" spans="1:11" ht="60" customHeight="1" x14ac:dyDescent="0.2">
      <c r="A95" s="878"/>
      <c r="B95" s="878"/>
      <c r="C95" s="878"/>
      <c r="D95" s="878"/>
      <c r="E95" s="878"/>
      <c r="F95" s="878"/>
      <c r="G95" s="878"/>
      <c r="H95" s="662" t="s">
        <v>1309</v>
      </c>
      <c r="I95" s="877"/>
      <c r="J95" s="872"/>
    </row>
    <row r="96" spans="1:11" ht="63" customHeight="1" x14ac:dyDescent="0.2">
      <c r="A96" s="878"/>
      <c r="B96" s="878"/>
      <c r="C96" s="878"/>
      <c r="D96" s="878"/>
      <c r="E96" s="878"/>
      <c r="F96" s="878"/>
      <c r="G96" s="878"/>
      <c r="H96" s="364" t="s">
        <v>517</v>
      </c>
      <c r="I96" s="877"/>
      <c r="J96" s="872"/>
    </row>
    <row r="97" spans="1:10" ht="117" customHeight="1" x14ac:dyDescent="0.2">
      <c r="A97" s="878"/>
      <c r="B97" s="878"/>
      <c r="C97" s="878"/>
      <c r="D97" s="878"/>
      <c r="E97" s="878"/>
      <c r="F97" s="878"/>
      <c r="G97" s="878"/>
      <c r="H97" s="365" t="s">
        <v>518</v>
      </c>
      <c r="I97" s="877"/>
      <c r="J97" s="872"/>
    </row>
    <row r="98" spans="1:10" ht="82.5" customHeight="1" x14ac:dyDescent="0.2">
      <c r="A98" s="878"/>
      <c r="B98" s="878"/>
      <c r="C98" s="878"/>
      <c r="D98" s="878"/>
      <c r="E98" s="878"/>
      <c r="F98" s="878"/>
      <c r="G98" s="878"/>
      <c r="H98" s="365" t="s">
        <v>519</v>
      </c>
      <c r="I98" s="877"/>
      <c r="J98" s="872"/>
    </row>
    <row r="99" spans="1:10" ht="66.75" customHeight="1" x14ac:dyDescent="0.2">
      <c r="A99" s="878" t="s">
        <v>123</v>
      </c>
      <c r="B99" s="878" t="s">
        <v>128</v>
      </c>
      <c r="C99" s="878" t="s">
        <v>129</v>
      </c>
      <c r="D99" s="878" t="s">
        <v>131</v>
      </c>
      <c r="E99" s="878" t="s">
        <v>520</v>
      </c>
      <c r="F99" s="878" t="s">
        <v>521</v>
      </c>
      <c r="G99" s="878" t="s">
        <v>1313</v>
      </c>
      <c r="H99" s="662" t="s">
        <v>522</v>
      </c>
      <c r="I99" s="877" t="str">
        <f>'P7'!B75</f>
        <v>Este proyecto se considera para las 19 subregiones maiceras que pertenecen a 7 regiones a lo largo del territorio nacional. Se estiman la realización de 12 mesas de trabajo presencial y 12 mesas de trabajo virtuales, talleres y/o eventos de divulgación nacionales presenciales y virtuales a nivel subregional, un monto de material promocional de $3.000.000 por región, se estima pautas en redes sociales por región por un valor global de 5 millones,  una campaña institucional a nivel nacional, cursos cortos presenciales y virtuales 10 por región. Se estima la creación de un incentivo a la formalización de la propiedad para pequeños con el fin de apoyar en temas de registro y documentación, por un valor de $3.000.000 a 20 productores de cada subregión, 2 personas que apoyen la realización de actividades a nivel nacional, una persona por región, con rodamiento, apoyos tecnológicos, se estima un 50% de dedicación a este proyecto y el restante tiempo al proyecto 7.1 .  Se estima un equipo gestor especializado de 2 personas durante 5 años para que acompañe los inversitas en procesos de implementación</v>
      </c>
      <c r="J99" s="872">
        <f>'P7'!Y9</f>
        <v>37995941791</v>
      </c>
    </row>
    <row r="100" spans="1:10" ht="71.25" customHeight="1" x14ac:dyDescent="0.2">
      <c r="A100" s="878"/>
      <c r="B100" s="878"/>
      <c r="C100" s="878"/>
      <c r="D100" s="878"/>
      <c r="E100" s="878"/>
      <c r="F100" s="878"/>
      <c r="G100" s="878"/>
      <c r="H100" s="662" t="s">
        <v>1311</v>
      </c>
      <c r="I100" s="877"/>
      <c r="J100" s="872"/>
    </row>
    <row r="101" spans="1:10" ht="90.75" customHeight="1" x14ac:dyDescent="0.2">
      <c r="A101" s="878"/>
      <c r="B101" s="878"/>
      <c r="C101" s="878"/>
      <c r="D101" s="878"/>
      <c r="E101" s="878"/>
      <c r="F101" s="878"/>
      <c r="G101" s="878"/>
      <c r="H101" s="662" t="s">
        <v>1312</v>
      </c>
      <c r="I101" s="877"/>
      <c r="J101" s="872"/>
    </row>
    <row r="102" spans="1:10" ht="61.5" customHeight="1" x14ac:dyDescent="0.2">
      <c r="A102" s="878"/>
      <c r="B102" s="878"/>
      <c r="C102" s="878"/>
      <c r="D102" s="878"/>
      <c r="E102" s="878"/>
      <c r="F102" s="878"/>
      <c r="G102" s="878"/>
      <c r="H102" s="662" t="s">
        <v>523</v>
      </c>
      <c r="I102" s="877"/>
      <c r="J102" s="872"/>
    </row>
    <row r="103" spans="1:10" ht="104.25" customHeight="1" x14ac:dyDescent="0.2">
      <c r="A103" s="879" t="s">
        <v>132</v>
      </c>
      <c r="B103" s="879" t="s">
        <v>133</v>
      </c>
      <c r="C103" s="879" t="s">
        <v>134</v>
      </c>
      <c r="D103" s="879" t="s">
        <v>135</v>
      </c>
      <c r="E103" s="879" t="s">
        <v>524</v>
      </c>
      <c r="F103" s="879" t="s">
        <v>525</v>
      </c>
      <c r="G103" s="879" t="s">
        <v>526</v>
      </c>
      <c r="H103" s="365" t="s">
        <v>527</v>
      </c>
      <c r="I103" s="876" t="str">
        <f>'P8'!B45</f>
        <v xml:space="preserve">Se estiman 11 mesas de trabajo (4 presenciales y 7 virtuales), talleres y/o eventos de divulgación nacional (4 talleres), regionales (1 por región) y virtuales (1 por subregión). Se estima un equipo humano nacional de 4 personas, con desplazamiento y viáticos, viajes internacionales (valor promedio tiquetes a Brasil, USA, México) y viáticos internacionales, un equipo humano en región de 7 personas, con rodamiento (Peajes y combustible) y apoyos tecnológicos (GPS y Tablet). Se propone un incentivo dirigido a promover la creación de empresas especializadas de extensión agrícola e industrial, en total 60 empresas en 5 años, es decir 12 empresas por año, entre micro, mediana y pequeña empresa (3 en cada una de las 4 regiones priorizadas, correspondiente a las regiones que agrupan 10 de las 19 subregiones porque contienen más del 30% del área en producción de maíz en sistema tecnificado). Se considera "Por definir" la implementación del modelo I+D+i y otras formas de fortalecimiento. </v>
      </c>
      <c r="J103" s="872">
        <f>'P8'!Y8</f>
        <v>7040381400.5094995</v>
      </c>
    </row>
    <row r="104" spans="1:10" ht="118.5" customHeight="1" x14ac:dyDescent="0.2">
      <c r="A104" s="879"/>
      <c r="B104" s="879"/>
      <c r="C104" s="879"/>
      <c r="D104" s="879"/>
      <c r="E104" s="879"/>
      <c r="F104" s="879"/>
      <c r="G104" s="879"/>
      <c r="H104" s="662" t="s">
        <v>1314</v>
      </c>
      <c r="I104" s="876"/>
      <c r="J104" s="872"/>
    </row>
    <row r="105" spans="1:10" ht="130.5" customHeight="1" x14ac:dyDescent="0.2">
      <c r="A105" s="879"/>
      <c r="B105" s="879"/>
      <c r="C105" s="879"/>
      <c r="D105" s="879"/>
      <c r="E105" s="879"/>
      <c r="F105" s="879"/>
      <c r="G105" s="879"/>
      <c r="H105" s="365" t="s">
        <v>528</v>
      </c>
      <c r="I105" s="876"/>
      <c r="J105" s="872"/>
    </row>
    <row r="106" spans="1:10" ht="65.25" customHeight="1" x14ac:dyDescent="0.2">
      <c r="A106" s="879"/>
      <c r="B106" s="879"/>
      <c r="C106" s="879"/>
      <c r="D106" s="879"/>
      <c r="E106" s="879"/>
      <c r="F106" s="879"/>
      <c r="G106" s="879"/>
      <c r="H106" s="365" t="s">
        <v>529</v>
      </c>
      <c r="I106" s="876"/>
      <c r="J106" s="872"/>
    </row>
    <row r="107" spans="1:10" ht="59.25" customHeight="1" x14ac:dyDescent="0.2">
      <c r="A107" s="879" t="s">
        <v>116</v>
      </c>
      <c r="B107" s="879" t="s">
        <v>530</v>
      </c>
      <c r="C107" s="879"/>
      <c r="D107" s="879"/>
      <c r="E107" s="879"/>
      <c r="F107" s="879"/>
      <c r="G107" s="879"/>
      <c r="H107" s="365" t="s">
        <v>531</v>
      </c>
      <c r="I107" s="876"/>
      <c r="J107" s="872"/>
    </row>
    <row r="108" spans="1:10" ht="76.5" customHeight="1" x14ac:dyDescent="0.2">
      <c r="A108" s="879"/>
      <c r="B108" s="879"/>
      <c r="C108" s="879"/>
      <c r="D108" s="879"/>
      <c r="E108" s="879"/>
      <c r="F108" s="879"/>
      <c r="G108" s="879"/>
      <c r="H108" s="365" t="s">
        <v>532</v>
      </c>
      <c r="I108" s="876"/>
      <c r="J108" s="872"/>
    </row>
    <row r="109" spans="1:10" ht="59.25" customHeight="1" x14ac:dyDescent="0.2">
      <c r="A109" s="879"/>
      <c r="B109" s="879"/>
      <c r="C109" s="879"/>
      <c r="D109" s="879"/>
      <c r="E109" s="879"/>
      <c r="F109" s="879"/>
      <c r="G109" s="879"/>
      <c r="H109" s="365" t="s">
        <v>533</v>
      </c>
      <c r="I109" s="876"/>
      <c r="J109" s="872"/>
    </row>
    <row r="110" spans="1:10" ht="74.25" customHeight="1" x14ac:dyDescent="0.2">
      <c r="A110" s="879"/>
      <c r="B110" s="879"/>
      <c r="C110" s="879"/>
      <c r="D110" s="879"/>
      <c r="E110" s="879"/>
      <c r="F110" s="879"/>
      <c r="G110" s="879"/>
      <c r="H110" s="365" t="s">
        <v>534</v>
      </c>
      <c r="I110" s="876"/>
      <c r="J110" s="872"/>
    </row>
    <row r="111" spans="1:10" ht="61.5" customHeight="1" x14ac:dyDescent="0.2">
      <c r="A111" s="879" t="s">
        <v>132</v>
      </c>
      <c r="B111" s="879" t="s">
        <v>133</v>
      </c>
      <c r="C111" s="879" t="s">
        <v>136</v>
      </c>
      <c r="D111" s="879" t="s">
        <v>137</v>
      </c>
      <c r="E111" s="876" t="s">
        <v>535</v>
      </c>
      <c r="F111" s="879" t="s">
        <v>536</v>
      </c>
      <c r="G111" s="879" t="s">
        <v>537</v>
      </c>
      <c r="H111" s="365" t="s">
        <v>538</v>
      </c>
      <c r="I111" s="876" t="str">
        <f>'P8'!B85</f>
        <v>Se estiman 25 mesas de trabajo (4 presenciales y 19 virtuales), 4 talleres y/o eventos de divulgación nacionales, talleres y/o eventos de divulgación regionales (7 presenciales y 19 virtuales - 1 en cada subregión), 19 parcelas demostrativas y 19 giras técnicas (1 en cada subregión). Se estiman, cursos cortos, cursos libres, y diplomados presenciales (1 en cada una de las subregiones) y virtuales (5 en cada una de las 19 subregiones). Se estima un apoyo del 30% para formación tecnológica y/o universitaria, maestría y doctorado. Se estima un equipo humano nacional de 2 personas, con viáticos y desplazamientos, y viajes y viáticos internacionales, y un equipo en región de 7 personas, con rodamiento (peajes y combustible) y apoyos tecnológicos (GPS y Tablet). Se considera "Por definir" Otros tipos de fortalecimiento.</v>
      </c>
      <c r="J111" s="872">
        <f>'P8'!Y9</f>
        <v>20193874384</v>
      </c>
    </row>
    <row r="112" spans="1:10" ht="66.75" customHeight="1" x14ac:dyDescent="0.2">
      <c r="A112" s="879"/>
      <c r="B112" s="879"/>
      <c r="C112" s="879"/>
      <c r="D112" s="879"/>
      <c r="E112" s="876"/>
      <c r="F112" s="879"/>
      <c r="G112" s="879"/>
      <c r="H112" s="365" t="s">
        <v>539</v>
      </c>
      <c r="I112" s="876"/>
      <c r="J112" s="872"/>
    </row>
    <row r="113" spans="1:10" ht="61.5" customHeight="1" x14ac:dyDescent="0.2">
      <c r="A113" s="879"/>
      <c r="B113" s="879"/>
      <c r="C113" s="879"/>
      <c r="D113" s="879"/>
      <c r="E113" s="876"/>
      <c r="F113" s="879"/>
      <c r="G113" s="879"/>
      <c r="H113" s="365" t="s">
        <v>540</v>
      </c>
      <c r="I113" s="876"/>
      <c r="J113" s="872"/>
    </row>
    <row r="114" spans="1:10" ht="74.25" customHeight="1" x14ac:dyDescent="0.2">
      <c r="A114" s="879"/>
      <c r="B114" s="879"/>
      <c r="C114" s="879"/>
      <c r="D114" s="879"/>
      <c r="E114" s="876"/>
      <c r="F114" s="879"/>
      <c r="G114" s="879"/>
      <c r="H114" s="365" t="s">
        <v>541</v>
      </c>
      <c r="I114" s="876"/>
      <c r="J114" s="872"/>
    </row>
    <row r="115" spans="1:10" ht="57" customHeight="1" x14ac:dyDescent="0.2">
      <c r="A115" s="879"/>
      <c r="B115" s="879"/>
      <c r="C115" s="879"/>
      <c r="D115" s="879"/>
      <c r="E115" s="876"/>
      <c r="F115" s="879"/>
      <c r="G115" s="879"/>
      <c r="H115" s="365" t="s">
        <v>542</v>
      </c>
      <c r="I115" s="876"/>
      <c r="J115" s="872"/>
    </row>
    <row r="116" spans="1:10" ht="88.5" customHeight="1" x14ac:dyDescent="0.2">
      <c r="A116" s="879"/>
      <c r="B116" s="879"/>
      <c r="C116" s="879"/>
      <c r="D116" s="879"/>
      <c r="E116" s="876"/>
      <c r="F116" s="879"/>
      <c r="G116" s="879"/>
      <c r="H116" s="365" t="s">
        <v>543</v>
      </c>
      <c r="I116" s="876"/>
      <c r="J116" s="872"/>
    </row>
    <row r="117" spans="1:10" ht="78" customHeight="1" x14ac:dyDescent="0.2">
      <c r="A117" s="879"/>
      <c r="B117" s="879"/>
      <c r="C117" s="879"/>
      <c r="D117" s="879"/>
      <c r="E117" s="876"/>
      <c r="F117" s="879"/>
      <c r="G117" s="879"/>
      <c r="H117" s="365" t="s">
        <v>544</v>
      </c>
      <c r="I117" s="876"/>
      <c r="J117" s="872"/>
    </row>
    <row r="118" spans="1:10" ht="60" customHeight="1" x14ac:dyDescent="0.2">
      <c r="A118" s="878" t="s">
        <v>132</v>
      </c>
      <c r="B118" s="878" t="s">
        <v>138</v>
      </c>
      <c r="C118" s="878" t="s">
        <v>139</v>
      </c>
      <c r="D118" s="878" t="s">
        <v>140</v>
      </c>
      <c r="E118" s="877" t="s">
        <v>545</v>
      </c>
      <c r="F118" s="877" t="s">
        <v>546</v>
      </c>
      <c r="G118" s="878" t="s">
        <v>1321</v>
      </c>
      <c r="H118" s="662" t="s">
        <v>547</v>
      </c>
      <c r="I118" s="877" t="str">
        <f>'P9'!B49</f>
        <v xml:space="preserve">Se estima realizar 1 taller nacional y los talleres por región (7) presenciales, 1 taller virtual por subregión (19) y una mesa de trabajo presencial por cada región (7)  y dos mesas de trabajo virtuales por cada subregión.  Para el desarrollo de las actividades se proyectan 3 profesionales con un promedio salarial de $7.862.772, se contemplan viajes por ejemplo a Argentina para el evaluar experiencias internacionales en el manejo de la calidad del grano y el fortalecimiento de un equipo regional con profesionales y técnicos a los cuales se les asigna dos subregiones, considerando el rodamientos, desplazamiento y viáticos. Se fortalecen la estrategia de comunicación con 1 campaña publicitaria institucional y 1 plan de medios radial a nivel subregional (19).  Se estima el fortalecimiento de laboratorios del ICA e Invima para los temas relacionados con el control de calidad del grano que se deja por definir. El proyecto contempla acciones para el diseño de la estrategia financiera y otras formas de fortalecimiento que se deja por definir, considerando el nivel de información con que se cuenta. </v>
      </c>
      <c r="J118" s="872">
        <f>'P9'!Y8</f>
        <v>2057705527.5</v>
      </c>
    </row>
    <row r="119" spans="1:10" ht="60" customHeight="1" x14ac:dyDescent="0.2">
      <c r="A119" s="878"/>
      <c r="B119" s="878"/>
      <c r="C119" s="878"/>
      <c r="D119" s="878"/>
      <c r="E119" s="877"/>
      <c r="F119" s="877"/>
      <c r="G119" s="878"/>
      <c r="H119" s="662" t="s">
        <v>548</v>
      </c>
      <c r="I119" s="877"/>
      <c r="J119" s="872"/>
    </row>
    <row r="120" spans="1:10" ht="61.5" customHeight="1" x14ac:dyDescent="0.2">
      <c r="A120" s="878"/>
      <c r="B120" s="878"/>
      <c r="C120" s="878"/>
      <c r="D120" s="878"/>
      <c r="E120" s="877"/>
      <c r="F120" s="877"/>
      <c r="G120" s="878"/>
      <c r="H120" s="664" t="s">
        <v>1315</v>
      </c>
      <c r="I120" s="877"/>
      <c r="J120" s="872"/>
    </row>
    <row r="121" spans="1:10" ht="84" customHeight="1" x14ac:dyDescent="0.2">
      <c r="A121" s="878"/>
      <c r="B121" s="878"/>
      <c r="C121" s="878"/>
      <c r="D121" s="878"/>
      <c r="E121" s="877"/>
      <c r="F121" s="877"/>
      <c r="G121" s="878"/>
      <c r="H121" s="662" t="s">
        <v>1316</v>
      </c>
      <c r="I121" s="877"/>
      <c r="J121" s="872"/>
    </row>
    <row r="122" spans="1:10" ht="84" customHeight="1" x14ac:dyDescent="0.2">
      <c r="A122" s="878"/>
      <c r="B122" s="878"/>
      <c r="C122" s="878"/>
      <c r="D122" s="878"/>
      <c r="E122" s="877"/>
      <c r="F122" s="877"/>
      <c r="G122" s="878"/>
      <c r="H122" s="664" t="s">
        <v>1317</v>
      </c>
      <c r="I122" s="877"/>
      <c r="J122" s="872"/>
    </row>
    <row r="123" spans="1:10" ht="85.5" customHeight="1" x14ac:dyDescent="0.2">
      <c r="A123" s="878"/>
      <c r="B123" s="878"/>
      <c r="C123" s="878"/>
      <c r="D123" s="878"/>
      <c r="E123" s="877"/>
      <c r="F123" s="877"/>
      <c r="G123" s="878"/>
      <c r="H123" s="664" t="s">
        <v>1318</v>
      </c>
      <c r="I123" s="877"/>
      <c r="J123" s="872"/>
    </row>
    <row r="124" spans="1:10" ht="75" customHeight="1" x14ac:dyDescent="0.2">
      <c r="A124" s="878"/>
      <c r="B124" s="878"/>
      <c r="C124" s="878"/>
      <c r="D124" s="878"/>
      <c r="E124" s="877"/>
      <c r="F124" s="877"/>
      <c r="G124" s="878"/>
      <c r="H124" s="664" t="s">
        <v>1319</v>
      </c>
      <c r="I124" s="877"/>
      <c r="J124" s="872"/>
    </row>
    <row r="125" spans="1:10" ht="90.75" customHeight="1" x14ac:dyDescent="0.2">
      <c r="A125" s="878"/>
      <c r="B125" s="878"/>
      <c r="C125" s="878"/>
      <c r="D125" s="878"/>
      <c r="E125" s="877"/>
      <c r="F125" s="877"/>
      <c r="G125" s="878"/>
      <c r="H125" s="664" t="s">
        <v>1320</v>
      </c>
      <c r="I125" s="877"/>
      <c r="J125" s="872"/>
    </row>
    <row r="126" spans="1:10" ht="76.5" customHeight="1" x14ac:dyDescent="0.2">
      <c r="A126" s="878" t="s">
        <v>132</v>
      </c>
      <c r="B126" s="878" t="s">
        <v>138</v>
      </c>
      <c r="C126" s="878" t="s">
        <v>141</v>
      </c>
      <c r="D126" s="878" t="s">
        <v>142</v>
      </c>
      <c r="E126" s="877" t="s">
        <v>549</v>
      </c>
      <c r="F126" s="878" t="s">
        <v>550</v>
      </c>
      <c r="G126" s="878" t="s">
        <v>1324</v>
      </c>
      <c r="H126" s="662" t="s">
        <v>551</v>
      </c>
      <c r="I126" s="877" t="str">
        <f>'P9'!B75</f>
        <v xml:space="preserve">Se estima realizar 1 taller nacional y los talleres presenciales por subregión (priorizando 10 zonas por su ubicación estratégica), 1 taller virtual por subregión (19), 1  mesa de trabajo por región (7) y una mesa de trabajo virtual por región (7) y se incluyen mesas internacionales y nacionales para conocer experiencias (3), para el desarrollo de las actividades se proyectan 3 profesionales con un promedio salarial de 7.862.772 para el apoyo de las actividades del proyecto a nivel nacional, considerando el desplazamiento y viáticos. El proyecto contempla acciones de contribuir en el recaudo de la cuota de fomento cerealista que se deja por definir, considerando el nivel de información con que se cuenta.  Se considera un monto global de 60 millones para consultorías especializadas que apoyen el diseño y/o mejora de las normas técnicas para comercialización de maíz, así como el diseño y/o mejora de otros instrumentos para comercialización, empresarización, gestión de riesgo. </v>
      </c>
      <c r="J126" s="872">
        <f>'P9'!Y9</f>
        <v>1566164870</v>
      </c>
    </row>
    <row r="127" spans="1:10" ht="75" customHeight="1" x14ac:dyDescent="0.2">
      <c r="A127" s="878"/>
      <c r="B127" s="878"/>
      <c r="C127" s="878"/>
      <c r="D127" s="878"/>
      <c r="E127" s="877"/>
      <c r="F127" s="878"/>
      <c r="G127" s="878"/>
      <c r="H127" s="664" t="s">
        <v>552</v>
      </c>
      <c r="I127" s="877"/>
      <c r="J127" s="872"/>
    </row>
    <row r="128" spans="1:10" ht="65.25" customHeight="1" x14ac:dyDescent="0.2">
      <c r="A128" s="878"/>
      <c r="B128" s="878"/>
      <c r="C128" s="878"/>
      <c r="D128" s="878"/>
      <c r="E128" s="877"/>
      <c r="F128" s="878"/>
      <c r="G128" s="878"/>
      <c r="H128" s="664" t="s">
        <v>553</v>
      </c>
      <c r="I128" s="877"/>
      <c r="J128" s="872"/>
    </row>
    <row r="129" spans="1:10" ht="53.25" customHeight="1" x14ac:dyDescent="0.2">
      <c r="A129" s="878"/>
      <c r="B129" s="878"/>
      <c r="C129" s="878"/>
      <c r="D129" s="878"/>
      <c r="E129" s="877"/>
      <c r="F129" s="878"/>
      <c r="G129" s="878"/>
      <c r="H129" s="664" t="s">
        <v>1322</v>
      </c>
      <c r="I129" s="877"/>
      <c r="J129" s="872"/>
    </row>
    <row r="130" spans="1:10" ht="63.75" customHeight="1" x14ac:dyDescent="0.2">
      <c r="A130" s="878"/>
      <c r="B130" s="878"/>
      <c r="C130" s="878"/>
      <c r="D130" s="878"/>
      <c r="E130" s="877"/>
      <c r="F130" s="878"/>
      <c r="G130" s="878"/>
      <c r="H130" s="662" t="s">
        <v>554</v>
      </c>
      <c r="I130" s="877"/>
      <c r="J130" s="872"/>
    </row>
    <row r="131" spans="1:10" ht="60.75" customHeight="1" x14ac:dyDescent="0.2">
      <c r="A131" s="878"/>
      <c r="B131" s="878"/>
      <c r="C131" s="878"/>
      <c r="D131" s="878"/>
      <c r="E131" s="877"/>
      <c r="F131" s="878"/>
      <c r="G131" s="878"/>
      <c r="H131" s="662" t="s">
        <v>1323</v>
      </c>
      <c r="I131" s="877"/>
      <c r="J131" s="872"/>
    </row>
    <row r="132" spans="1:10" ht="48.75" customHeight="1" x14ac:dyDescent="0.2">
      <c r="A132" s="878"/>
      <c r="B132" s="878"/>
      <c r="C132" s="878"/>
      <c r="D132" s="878"/>
      <c r="E132" s="877"/>
      <c r="F132" s="878"/>
      <c r="G132" s="878"/>
      <c r="H132" s="662" t="s">
        <v>555</v>
      </c>
      <c r="I132" s="877"/>
      <c r="J132" s="872"/>
    </row>
    <row r="133" spans="1:10" ht="43.5" customHeight="1" x14ac:dyDescent="0.2">
      <c r="A133" s="878"/>
      <c r="B133" s="878"/>
      <c r="C133" s="878"/>
      <c r="D133" s="878"/>
      <c r="E133" s="877"/>
      <c r="F133" s="878"/>
      <c r="G133" s="878"/>
      <c r="H133" s="662" t="s">
        <v>556</v>
      </c>
      <c r="I133" s="877"/>
      <c r="J133" s="872"/>
    </row>
    <row r="134" spans="1:10" s="665" customFormat="1" ht="87.75" customHeight="1" x14ac:dyDescent="0.2">
      <c r="A134" s="874" t="s">
        <v>132</v>
      </c>
      <c r="B134" s="874" t="s">
        <v>314</v>
      </c>
      <c r="C134" s="874" t="s">
        <v>141</v>
      </c>
      <c r="D134" s="874" t="s">
        <v>315</v>
      </c>
      <c r="E134" s="871" t="s">
        <v>557</v>
      </c>
      <c r="F134" s="874" t="s">
        <v>558</v>
      </c>
      <c r="G134" s="874" t="s">
        <v>1328</v>
      </c>
      <c r="H134" s="664" t="s">
        <v>559</v>
      </c>
      <c r="I134" s="871" t="str">
        <f>'P9'!B107</f>
        <v>Se estima realizar 1 taller nacional y los talleres por región (7) presenciales, 2 talleres virtual por subregión (10) con mayor potencial para la producción de maíz tecnificado de mediana y gran escala y una mesa de trabajo presencial por cada región (7) y dos mesas de trabajo virtuales por cada región (14).  Para el desarrollo de las actividades a nivel nacional se proyectan 5 profesionales con un promedio de ingresos de $8.953.563, con experiencia en el sector y en las diferentes líneas temáticas con un coordinador de equipo. Se contemplan viajes internacionales para consolidar la red de colaboradores, el fortalecimiento de un equipo regional con profesionales y técnicos de acuerdo a las regiones con mayor potencial para la producción de maíz tecnificado de mediana y gran escala, considerando rodamientos, desplazamientos y viáticos. Se fortalecen la estrategia de comunicación con 1 campaña publicitaria institucional y 1 plan de medios radial a nivel subregional (10).  El proyecto contempla promover la red colaborativa de manera permanente que se deja por definir, considerando el nivel de información con que se cuenta.</v>
      </c>
      <c r="J134" s="872">
        <f>'P9'!Y10</f>
        <v>3917872174.5</v>
      </c>
    </row>
    <row r="135" spans="1:10" s="665" customFormat="1" ht="63" customHeight="1" x14ac:dyDescent="0.2">
      <c r="A135" s="874"/>
      <c r="B135" s="874"/>
      <c r="C135" s="874"/>
      <c r="D135" s="874"/>
      <c r="E135" s="871"/>
      <c r="F135" s="874"/>
      <c r="G135" s="874"/>
      <c r="H135" s="664" t="s">
        <v>560</v>
      </c>
      <c r="I135" s="871"/>
      <c r="J135" s="872"/>
    </row>
    <row r="136" spans="1:10" s="665" customFormat="1" ht="65.25" customHeight="1" x14ac:dyDescent="0.2">
      <c r="A136" s="874"/>
      <c r="B136" s="874"/>
      <c r="C136" s="874"/>
      <c r="D136" s="874"/>
      <c r="E136" s="871"/>
      <c r="F136" s="874"/>
      <c r="G136" s="874"/>
      <c r="H136" s="664" t="s">
        <v>561</v>
      </c>
      <c r="I136" s="871"/>
      <c r="J136" s="872"/>
    </row>
    <row r="137" spans="1:10" s="665" customFormat="1" ht="67.5" customHeight="1" x14ac:dyDescent="0.2">
      <c r="A137" s="874"/>
      <c r="B137" s="874"/>
      <c r="C137" s="874"/>
      <c r="D137" s="874"/>
      <c r="E137" s="871"/>
      <c r="F137" s="874"/>
      <c r="G137" s="874"/>
      <c r="H137" s="664" t="s">
        <v>1325</v>
      </c>
      <c r="I137" s="871"/>
      <c r="J137" s="872"/>
    </row>
    <row r="138" spans="1:10" s="665" customFormat="1" ht="119.25" customHeight="1" x14ac:dyDescent="0.2">
      <c r="A138" s="874"/>
      <c r="B138" s="874"/>
      <c r="C138" s="874"/>
      <c r="D138" s="874"/>
      <c r="E138" s="871"/>
      <c r="F138" s="874"/>
      <c r="G138" s="874"/>
      <c r="H138" s="664" t="s">
        <v>562</v>
      </c>
      <c r="I138" s="871"/>
      <c r="J138" s="872"/>
    </row>
    <row r="139" spans="1:10" s="665" customFormat="1" ht="69.75" customHeight="1" x14ac:dyDescent="0.2">
      <c r="A139" s="874"/>
      <c r="B139" s="874"/>
      <c r="C139" s="874"/>
      <c r="D139" s="874"/>
      <c r="E139" s="871"/>
      <c r="F139" s="874"/>
      <c r="G139" s="874"/>
      <c r="H139" s="664" t="s">
        <v>1326</v>
      </c>
      <c r="I139" s="871"/>
      <c r="J139" s="872"/>
    </row>
    <row r="140" spans="1:10" s="665" customFormat="1" ht="89.25" customHeight="1" x14ac:dyDescent="0.2">
      <c r="A140" s="874"/>
      <c r="B140" s="874"/>
      <c r="C140" s="874"/>
      <c r="D140" s="874"/>
      <c r="E140" s="871"/>
      <c r="F140" s="874"/>
      <c r="G140" s="874"/>
      <c r="H140" s="664" t="s">
        <v>1327</v>
      </c>
      <c r="I140" s="871"/>
      <c r="J140" s="872"/>
    </row>
    <row r="141" spans="1:10" s="665" customFormat="1" ht="126" customHeight="1" x14ac:dyDescent="0.2">
      <c r="A141" s="874" t="s">
        <v>132</v>
      </c>
      <c r="B141" s="874" t="s">
        <v>138</v>
      </c>
      <c r="C141" s="874" t="s">
        <v>141</v>
      </c>
      <c r="D141" s="874" t="s">
        <v>316</v>
      </c>
      <c r="E141" s="871" t="s">
        <v>563</v>
      </c>
      <c r="F141" s="874" t="s">
        <v>564</v>
      </c>
      <c r="G141" s="874" t="s">
        <v>565</v>
      </c>
      <c r="H141" s="662" t="s">
        <v>566</v>
      </c>
      <c r="I141" s="871" t="str">
        <f>'P9'!B130</f>
        <v xml:space="preserve">Se estima realizar 1 taller nacional y dos talleres presenciales por región (14),  1 taller virtual por subregión (19) y una mesa de trabajo presencial por cada región (7) y una mesa de trabajo virtual por región (7).  Para el desarrollo de las actividades se proyectan  3 profesionales con un promedio salarial de $7.862.772 para el apoyo de las actividades del proyecto a nivel nacional y el fortalecimiento de un equipo regional con profesionales y técnicos a los cuales se les asigna dos subregiones, considerando el rodamientos, desplazamiento, viáticos y el apoyo técnico requerido.  El funcionamiento del sistema de información que incluye los sistemas de información y servicios tecnológicos, Hardware, software y conectividad necesarios para el despliegue del sistema y estrategias de operación, se deja por definir considerando el nivel de información con el que se cuenta. </v>
      </c>
      <c r="J141" s="872">
        <f>'P9'!Y11</f>
        <v>2117394813.75</v>
      </c>
    </row>
    <row r="142" spans="1:10" s="665" customFormat="1" ht="138" customHeight="1" x14ac:dyDescent="0.2">
      <c r="A142" s="874"/>
      <c r="B142" s="874"/>
      <c r="C142" s="874"/>
      <c r="D142" s="874"/>
      <c r="E142" s="871"/>
      <c r="F142" s="874"/>
      <c r="G142" s="874"/>
      <c r="H142" s="662" t="s">
        <v>567</v>
      </c>
      <c r="I142" s="871"/>
      <c r="J142" s="872"/>
    </row>
    <row r="143" spans="1:10" s="665" customFormat="1" ht="108.75" customHeight="1" x14ac:dyDescent="0.2">
      <c r="A143" s="874"/>
      <c r="B143" s="874"/>
      <c r="C143" s="874"/>
      <c r="D143" s="874"/>
      <c r="E143" s="871"/>
      <c r="F143" s="874"/>
      <c r="G143" s="874"/>
      <c r="H143" s="662" t="s">
        <v>568</v>
      </c>
      <c r="I143" s="871"/>
      <c r="J143" s="872"/>
    </row>
    <row r="144" spans="1:10" s="665" customFormat="1" ht="76.5" customHeight="1" x14ac:dyDescent="0.2">
      <c r="A144" s="874"/>
      <c r="B144" s="874"/>
      <c r="C144" s="874"/>
      <c r="D144" s="874"/>
      <c r="E144" s="871"/>
      <c r="F144" s="874"/>
      <c r="G144" s="874"/>
      <c r="H144" s="664" t="s">
        <v>569</v>
      </c>
      <c r="I144" s="871"/>
      <c r="J144" s="872"/>
    </row>
    <row r="145" spans="1:10" s="665" customFormat="1" ht="61.5" customHeight="1" x14ac:dyDescent="0.2">
      <c r="A145" s="874" t="s">
        <v>132</v>
      </c>
      <c r="B145" s="874" t="s">
        <v>138</v>
      </c>
      <c r="C145" s="874" t="s">
        <v>141</v>
      </c>
      <c r="D145" s="874" t="s">
        <v>317</v>
      </c>
      <c r="E145" s="871" t="s">
        <v>570</v>
      </c>
      <c r="F145" s="874" t="s">
        <v>571</v>
      </c>
      <c r="G145" s="874" t="s">
        <v>572</v>
      </c>
      <c r="H145" s="662" t="s">
        <v>573</v>
      </c>
      <c r="I145" s="871" t="str">
        <f>'P9'!B152</f>
        <v xml:space="preserve">Se estima mesas de trabajo presenciales (7) y mesas  virtuales por subregión (19), un taller y evento de divulgación presencial por región.  Para el desarrollo de las actividades se proyectan  2 profesionales con un salario promedio de 5.661.197 para el apoyo de las actividades del proyecto a nivel nacional y el fortalecimiento de un equipo regional conformado por 1 personas por región con salario promedio de $5.032.173 y desplazamientos y viáticos para el equipo humano. Se deja por definir el acompañamiento y consolidación de las gestión de los comités regionales de la cadena de maíz. </v>
      </c>
      <c r="J145" s="872">
        <f>'P9'!Y12</f>
        <v>960943473</v>
      </c>
    </row>
    <row r="146" spans="1:10" s="665" customFormat="1" ht="52.5" customHeight="1" x14ac:dyDescent="0.2">
      <c r="A146" s="874"/>
      <c r="B146" s="874"/>
      <c r="C146" s="874"/>
      <c r="D146" s="874"/>
      <c r="E146" s="871"/>
      <c r="F146" s="874"/>
      <c r="G146" s="874"/>
      <c r="H146" s="662" t="s">
        <v>574</v>
      </c>
      <c r="I146" s="871"/>
      <c r="J146" s="872"/>
    </row>
    <row r="147" spans="1:10" s="665" customFormat="1" ht="48.75" customHeight="1" x14ac:dyDescent="0.2">
      <c r="A147" s="874"/>
      <c r="B147" s="874"/>
      <c r="C147" s="874"/>
      <c r="D147" s="874"/>
      <c r="E147" s="871"/>
      <c r="F147" s="874"/>
      <c r="G147" s="874"/>
      <c r="H147" s="662" t="s">
        <v>575</v>
      </c>
      <c r="I147" s="871"/>
      <c r="J147" s="872"/>
    </row>
    <row r="148" spans="1:10" s="665" customFormat="1" ht="46.5" customHeight="1" x14ac:dyDescent="0.2">
      <c r="A148" s="874"/>
      <c r="B148" s="874"/>
      <c r="C148" s="874"/>
      <c r="D148" s="874"/>
      <c r="E148" s="871"/>
      <c r="F148" s="874"/>
      <c r="G148" s="874"/>
      <c r="H148" s="662" t="s">
        <v>576</v>
      </c>
      <c r="I148" s="871"/>
      <c r="J148" s="872"/>
    </row>
    <row r="149" spans="1:10" s="665" customFormat="1" ht="77.25" customHeight="1" x14ac:dyDescent="0.2">
      <c r="A149" s="874"/>
      <c r="B149" s="874"/>
      <c r="C149" s="874"/>
      <c r="D149" s="874"/>
      <c r="E149" s="871"/>
      <c r="F149" s="874"/>
      <c r="G149" s="874"/>
      <c r="H149" s="662" t="s">
        <v>1329</v>
      </c>
      <c r="I149" s="871"/>
      <c r="J149" s="872"/>
    </row>
    <row r="150" spans="1:10" s="665" customFormat="1" ht="51.75" customHeight="1" x14ac:dyDescent="0.2">
      <c r="A150" s="874" t="s">
        <v>132</v>
      </c>
      <c r="B150" s="874" t="s">
        <v>138</v>
      </c>
      <c r="C150" s="874" t="s">
        <v>141</v>
      </c>
      <c r="D150" s="874" t="s">
        <v>318</v>
      </c>
      <c r="E150" s="871" t="s">
        <v>577</v>
      </c>
      <c r="F150" s="874" t="s">
        <v>578</v>
      </c>
      <c r="G150" s="874" t="s">
        <v>579</v>
      </c>
      <c r="H150" s="662" t="s">
        <v>580</v>
      </c>
      <c r="I150" s="871" t="str">
        <f>'P9'!B177</f>
        <v>Se estima mesas de trabajo presenciales por región y mesas de trabajo virtuales por subregión (19), talleres y eventos de divulgación nacional y regional. Para el desarrollo de las actividades se proyectan  2 profesionales con un salario promedio de 5.661.197 para el apoyo de las actividades del proyecto a nivel nacional y el fortalecimiento de un equipo regional conformado por 1 personas por región con salario promedio de $5.032.173 y desplazamientos y viáticos para el equipo humano (compartidos con el proyecto 9.4., se cuenta con un profesional desarrollador de la plataforma de seguimiento del POP. Por definir de dejan las actividades de empoderamiento gradual y seguimiento y evaluación POP</v>
      </c>
      <c r="J150" s="872">
        <f>'P9'!Y13</f>
        <v>1066113129</v>
      </c>
    </row>
    <row r="151" spans="1:10" s="665" customFormat="1" ht="51.75" customHeight="1" x14ac:dyDescent="0.2">
      <c r="A151" s="874"/>
      <c r="B151" s="874"/>
      <c r="C151" s="874"/>
      <c r="D151" s="874"/>
      <c r="E151" s="871"/>
      <c r="F151" s="874"/>
      <c r="G151" s="874"/>
      <c r="H151" s="662" t="s">
        <v>581</v>
      </c>
      <c r="I151" s="871"/>
      <c r="J151" s="872"/>
    </row>
    <row r="152" spans="1:10" s="665" customFormat="1" ht="51.75" customHeight="1" x14ac:dyDescent="0.2">
      <c r="A152" s="874"/>
      <c r="B152" s="874"/>
      <c r="C152" s="874"/>
      <c r="D152" s="874"/>
      <c r="E152" s="871"/>
      <c r="F152" s="874"/>
      <c r="G152" s="874"/>
      <c r="H152" s="668" t="s">
        <v>582</v>
      </c>
      <c r="I152" s="871"/>
      <c r="J152" s="872"/>
    </row>
    <row r="153" spans="1:10" s="665" customFormat="1" ht="91.5" customHeight="1" x14ac:dyDescent="0.2">
      <c r="A153" s="874"/>
      <c r="B153" s="874"/>
      <c r="C153" s="874"/>
      <c r="D153" s="874"/>
      <c r="E153" s="871"/>
      <c r="F153" s="874"/>
      <c r="G153" s="875"/>
      <c r="H153" s="672" t="s">
        <v>583</v>
      </c>
      <c r="I153" s="873"/>
      <c r="J153" s="872"/>
    </row>
    <row r="154" spans="1:10" s="665" customFormat="1" ht="52.5" customHeight="1" x14ac:dyDescent="0.2">
      <c r="A154" s="874"/>
      <c r="B154" s="874"/>
      <c r="C154" s="874"/>
      <c r="D154" s="874"/>
      <c r="E154" s="871"/>
      <c r="F154" s="874"/>
      <c r="G154" s="875"/>
      <c r="H154" s="672" t="s">
        <v>584</v>
      </c>
      <c r="I154" s="873"/>
      <c r="J154" s="872"/>
    </row>
    <row r="155" spans="1:10" s="665" customFormat="1" ht="43.5" customHeight="1" x14ac:dyDescent="0.2">
      <c r="A155" s="874"/>
      <c r="B155" s="874"/>
      <c r="C155" s="874"/>
      <c r="D155" s="874"/>
      <c r="E155" s="871"/>
      <c r="F155" s="874"/>
      <c r="G155" s="875"/>
      <c r="H155" s="672" t="s">
        <v>585</v>
      </c>
      <c r="I155" s="873"/>
      <c r="J155" s="872"/>
    </row>
    <row r="156" spans="1:10" s="670" customFormat="1" ht="46.5" customHeight="1" x14ac:dyDescent="0.2">
      <c r="A156" s="669"/>
      <c r="C156" s="669"/>
      <c r="E156" s="671"/>
      <c r="F156" s="669"/>
      <c r="G156" s="669"/>
      <c r="H156" s="669"/>
      <c r="I156" s="678" t="s">
        <v>608</v>
      </c>
      <c r="J156" s="674">
        <f>SUM(J2:J155)</f>
        <v>4027154650909.3833</v>
      </c>
    </row>
    <row r="157" spans="1:10" s="670" customFormat="1" x14ac:dyDescent="0.2">
      <c r="A157" s="669"/>
      <c r="C157" s="669"/>
      <c r="E157" s="671"/>
      <c r="F157" s="669"/>
      <c r="G157" s="669"/>
      <c r="H157" s="669"/>
      <c r="I157" s="679"/>
      <c r="J157" s="675"/>
    </row>
    <row r="158" spans="1:10" s="670" customFormat="1" x14ac:dyDescent="0.2">
      <c r="A158" s="669"/>
      <c r="C158" s="669"/>
      <c r="E158" s="671"/>
      <c r="F158" s="669"/>
      <c r="G158" s="669"/>
      <c r="H158" s="669"/>
      <c r="I158" s="679"/>
      <c r="J158" s="675"/>
    </row>
    <row r="159" spans="1:10" s="670" customFormat="1" x14ac:dyDescent="0.2">
      <c r="A159" s="669"/>
      <c r="C159" s="669"/>
      <c r="E159" s="671"/>
      <c r="F159" s="669"/>
      <c r="G159" s="669"/>
      <c r="H159" s="669"/>
      <c r="I159" s="679"/>
      <c r="J159" s="675"/>
    </row>
    <row r="160" spans="1:10" s="670" customFormat="1" x14ac:dyDescent="0.2">
      <c r="A160" s="669"/>
      <c r="C160" s="669"/>
      <c r="E160" s="671"/>
      <c r="F160" s="669"/>
      <c r="G160" s="669"/>
      <c r="H160" s="669"/>
      <c r="I160" s="679"/>
      <c r="J160" s="675"/>
    </row>
    <row r="161" spans="1:10" s="670" customFormat="1" x14ac:dyDescent="0.2">
      <c r="A161" s="669"/>
      <c r="C161" s="669"/>
      <c r="E161" s="671"/>
      <c r="F161" s="669"/>
      <c r="G161" s="669"/>
      <c r="H161" s="669"/>
      <c r="I161" s="679"/>
      <c r="J161" s="675"/>
    </row>
    <row r="162" spans="1:10" s="670" customFormat="1" x14ac:dyDescent="0.2">
      <c r="A162" s="669"/>
      <c r="C162" s="669"/>
      <c r="E162" s="671"/>
      <c r="F162" s="669"/>
      <c r="G162" s="669"/>
      <c r="H162" s="669"/>
      <c r="I162" s="679"/>
      <c r="J162" s="675"/>
    </row>
    <row r="163" spans="1:10" s="670" customFormat="1" x14ac:dyDescent="0.2">
      <c r="A163" s="669"/>
      <c r="C163" s="669"/>
      <c r="E163" s="671"/>
      <c r="F163" s="669"/>
      <c r="G163" s="669"/>
      <c r="H163" s="669"/>
      <c r="I163" s="679"/>
      <c r="J163" s="675"/>
    </row>
    <row r="164" spans="1:10" s="670" customFormat="1" x14ac:dyDescent="0.2">
      <c r="A164" s="669"/>
      <c r="C164" s="669"/>
      <c r="E164" s="671"/>
      <c r="F164" s="669"/>
      <c r="G164" s="669"/>
      <c r="H164" s="669"/>
      <c r="I164" s="679"/>
      <c r="J164" s="675"/>
    </row>
    <row r="165" spans="1:10" s="670" customFormat="1" x14ac:dyDescent="0.2">
      <c r="A165" s="669"/>
      <c r="C165" s="669"/>
      <c r="E165" s="671"/>
      <c r="F165" s="669"/>
      <c r="G165" s="669"/>
      <c r="H165" s="669"/>
      <c r="I165" s="679"/>
      <c r="J165" s="675"/>
    </row>
    <row r="166" spans="1:10" s="670" customFormat="1" x14ac:dyDescent="0.2">
      <c r="A166" s="669"/>
      <c r="C166" s="669"/>
      <c r="E166" s="671"/>
      <c r="F166" s="669"/>
      <c r="G166" s="669"/>
      <c r="H166" s="669"/>
      <c r="I166" s="679"/>
      <c r="J166" s="675"/>
    </row>
    <row r="167" spans="1:10" s="670" customFormat="1" x14ac:dyDescent="0.2">
      <c r="A167" s="669"/>
      <c r="C167" s="669"/>
      <c r="E167" s="671"/>
      <c r="F167" s="669"/>
      <c r="G167" s="669"/>
      <c r="H167" s="669"/>
      <c r="I167" s="679"/>
      <c r="J167" s="675"/>
    </row>
    <row r="168" spans="1:10" s="670" customFormat="1" x14ac:dyDescent="0.2">
      <c r="A168" s="669"/>
      <c r="C168" s="669"/>
      <c r="E168" s="671"/>
      <c r="F168" s="669"/>
      <c r="G168" s="669"/>
      <c r="H168" s="669"/>
      <c r="I168" s="679"/>
      <c r="J168" s="675"/>
    </row>
    <row r="169" spans="1:10" s="670" customFormat="1" x14ac:dyDescent="0.2">
      <c r="A169" s="669"/>
      <c r="C169" s="669"/>
      <c r="E169" s="671"/>
      <c r="F169" s="669"/>
      <c r="G169" s="669"/>
      <c r="H169" s="669"/>
      <c r="I169" s="679"/>
      <c r="J169" s="675"/>
    </row>
    <row r="170" spans="1:10" s="670" customFormat="1" x14ac:dyDescent="0.2">
      <c r="A170" s="669"/>
      <c r="C170" s="669"/>
      <c r="E170" s="671"/>
      <c r="F170" s="669"/>
      <c r="G170" s="669"/>
      <c r="H170" s="669"/>
      <c r="I170" s="679"/>
      <c r="J170" s="675"/>
    </row>
    <row r="171" spans="1:10" s="670" customFormat="1" x14ac:dyDescent="0.2">
      <c r="A171" s="669"/>
      <c r="C171" s="669"/>
      <c r="E171" s="671"/>
      <c r="F171" s="669"/>
      <c r="G171" s="669"/>
      <c r="H171" s="669"/>
      <c r="I171" s="679"/>
      <c r="J171" s="675"/>
    </row>
    <row r="172" spans="1:10" s="670" customFormat="1" x14ac:dyDescent="0.2">
      <c r="A172" s="669"/>
      <c r="C172" s="669"/>
      <c r="E172" s="671"/>
      <c r="F172" s="669"/>
      <c r="G172" s="669"/>
      <c r="H172" s="669"/>
      <c r="I172" s="679"/>
      <c r="J172" s="675"/>
    </row>
    <row r="173" spans="1:10" s="670" customFormat="1" x14ac:dyDescent="0.2">
      <c r="A173" s="669"/>
      <c r="C173" s="669"/>
      <c r="E173" s="671"/>
      <c r="F173" s="669"/>
      <c r="G173" s="669"/>
      <c r="H173" s="669"/>
      <c r="I173" s="679"/>
      <c r="J173" s="675"/>
    </row>
    <row r="174" spans="1:10" s="670" customFormat="1" x14ac:dyDescent="0.2">
      <c r="A174" s="669"/>
      <c r="C174" s="669"/>
      <c r="E174" s="671"/>
      <c r="F174" s="669"/>
      <c r="G174" s="669"/>
      <c r="H174" s="669"/>
      <c r="I174" s="679"/>
      <c r="J174" s="675"/>
    </row>
    <row r="175" spans="1:10" s="670" customFormat="1" x14ac:dyDescent="0.2">
      <c r="A175" s="669"/>
      <c r="C175" s="669"/>
      <c r="E175" s="671"/>
      <c r="F175" s="669"/>
      <c r="G175" s="669"/>
      <c r="H175" s="669"/>
      <c r="I175" s="679"/>
      <c r="J175" s="675"/>
    </row>
    <row r="176" spans="1:10" s="670" customFormat="1" x14ac:dyDescent="0.2">
      <c r="A176" s="669"/>
      <c r="C176" s="669"/>
      <c r="E176" s="671"/>
      <c r="F176" s="669"/>
      <c r="G176" s="669"/>
      <c r="H176" s="669"/>
      <c r="I176" s="679"/>
      <c r="J176" s="675"/>
    </row>
    <row r="177" spans="1:10" s="670" customFormat="1" x14ac:dyDescent="0.2">
      <c r="A177" s="669"/>
      <c r="C177" s="669"/>
      <c r="E177" s="671"/>
      <c r="F177" s="669"/>
      <c r="G177" s="669"/>
      <c r="H177" s="669"/>
      <c r="I177" s="679"/>
      <c r="J177" s="675"/>
    </row>
    <row r="178" spans="1:10" s="670" customFormat="1" x14ac:dyDescent="0.2">
      <c r="A178" s="669"/>
      <c r="C178" s="669"/>
      <c r="E178" s="671"/>
      <c r="F178" s="669"/>
      <c r="G178" s="669"/>
      <c r="H178" s="669"/>
      <c r="I178" s="679"/>
      <c r="J178" s="675"/>
    </row>
    <row r="179" spans="1:10" s="670" customFormat="1" x14ac:dyDescent="0.2">
      <c r="A179" s="669"/>
      <c r="C179" s="669"/>
      <c r="E179" s="671"/>
      <c r="F179" s="669"/>
      <c r="G179" s="669"/>
      <c r="H179" s="669"/>
      <c r="I179" s="679"/>
      <c r="J179" s="675"/>
    </row>
    <row r="180" spans="1:10" s="670" customFormat="1" x14ac:dyDescent="0.2">
      <c r="A180" s="669"/>
      <c r="C180" s="669"/>
      <c r="E180" s="671"/>
      <c r="F180" s="669"/>
      <c r="G180" s="669"/>
      <c r="H180" s="669"/>
      <c r="I180" s="679"/>
      <c r="J180" s="675"/>
    </row>
    <row r="181" spans="1:10" s="670" customFormat="1" x14ac:dyDescent="0.2">
      <c r="A181" s="669"/>
      <c r="C181" s="669"/>
      <c r="E181" s="671"/>
      <c r="F181" s="669"/>
      <c r="G181" s="669"/>
      <c r="H181" s="669"/>
      <c r="I181" s="679"/>
      <c r="J181" s="675"/>
    </row>
    <row r="182" spans="1:10" s="670" customFormat="1" x14ac:dyDescent="0.2">
      <c r="A182" s="669"/>
      <c r="C182" s="669"/>
      <c r="E182" s="671"/>
      <c r="F182" s="669"/>
      <c r="G182" s="669"/>
      <c r="H182" s="669"/>
      <c r="I182" s="679"/>
      <c r="J182" s="675"/>
    </row>
    <row r="183" spans="1:10" s="670" customFormat="1" x14ac:dyDescent="0.2">
      <c r="A183" s="669"/>
      <c r="C183" s="669"/>
      <c r="E183" s="671"/>
      <c r="F183" s="669"/>
      <c r="G183" s="669"/>
      <c r="H183" s="669"/>
      <c r="I183" s="679"/>
      <c r="J183" s="675"/>
    </row>
    <row r="184" spans="1:10" s="670" customFormat="1" x14ac:dyDescent="0.2">
      <c r="A184" s="669"/>
      <c r="C184" s="669"/>
      <c r="E184" s="671"/>
      <c r="F184" s="669"/>
      <c r="G184" s="669"/>
      <c r="H184" s="669"/>
      <c r="I184" s="679"/>
      <c r="J184" s="675"/>
    </row>
  </sheetData>
  <sheetProtection algorithmName="SHA-512" hashValue="df/QtTkJiZyx0LQ3fVE2oKPcTVQGA/l+hOu04p/fZykZEfTXH65+a9e/5keEXQxcCLDI/uup+gPr5+H2DfUJ6g==" saltValue="yHxfzmp/wROa5NHA590rOg==" spinCount="100000" sheet="1" objects="1" scenarios="1"/>
  <mergeCells count="243">
    <mergeCell ref="A145:A149"/>
    <mergeCell ref="B145:B149"/>
    <mergeCell ref="C145:C149"/>
    <mergeCell ref="G126:G133"/>
    <mergeCell ref="A126:A133"/>
    <mergeCell ref="B126:B133"/>
    <mergeCell ref="C126:C133"/>
    <mergeCell ref="D126:D133"/>
    <mergeCell ref="E126:E133"/>
    <mergeCell ref="F126:F133"/>
    <mergeCell ref="A141:A144"/>
    <mergeCell ref="B141:B144"/>
    <mergeCell ref="C141:C144"/>
    <mergeCell ref="D141:D144"/>
    <mergeCell ref="E141:E144"/>
    <mergeCell ref="F141:F144"/>
    <mergeCell ref="G141:G144"/>
    <mergeCell ref="G111:G117"/>
    <mergeCell ref="A118:A125"/>
    <mergeCell ref="B118:B125"/>
    <mergeCell ref="C118:C125"/>
    <mergeCell ref="D118:D125"/>
    <mergeCell ref="E118:E125"/>
    <mergeCell ref="F118:F125"/>
    <mergeCell ref="G118:G125"/>
    <mergeCell ref="A111:A117"/>
    <mergeCell ref="B111:B117"/>
    <mergeCell ref="C111:C117"/>
    <mergeCell ref="D111:D117"/>
    <mergeCell ref="E111:E117"/>
    <mergeCell ref="F111:F117"/>
    <mergeCell ref="G99:G102"/>
    <mergeCell ref="A103:A110"/>
    <mergeCell ref="B103:B110"/>
    <mergeCell ref="C103:C110"/>
    <mergeCell ref="D103:D110"/>
    <mergeCell ref="E103:E110"/>
    <mergeCell ref="F103:F110"/>
    <mergeCell ref="G103:G110"/>
    <mergeCell ref="A99:A102"/>
    <mergeCell ref="B99:B102"/>
    <mergeCell ref="C99:C102"/>
    <mergeCell ref="D99:D102"/>
    <mergeCell ref="E99:E102"/>
    <mergeCell ref="F99:F102"/>
    <mergeCell ref="A86:A89"/>
    <mergeCell ref="B86:B89"/>
    <mergeCell ref="C86:C89"/>
    <mergeCell ref="D86:D89"/>
    <mergeCell ref="E86:E89"/>
    <mergeCell ref="F86:F89"/>
    <mergeCell ref="G86:G89"/>
    <mergeCell ref="G90:G92"/>
    <mergeCell ref="A93:A98"/>
    <mergeCell ref="B93:B98"/>
    <mergeCell ref="C93:C98"/>
    <mergeCell ref="D93:D98"/>
    <mergeCell ref="E93:E98"/>
    <mergeCell ref="F93:F98"/>
    <mergeCell ref="G93:G98"/>
    <mergeCell ref="A90:A92"/>
    <mergeCell ref="B90:B92"/>
    <mergeCell ref="C90:C92"/>
    <mergeCell ref="D90:D92"/>
    <mergeCell ref="E90:E92"/>
    <mergeCell ref="F90:F92"/>
    <mergeCell ref="G77:G81"/>
    <mergeCell ref="A82:A85"/>
    <mergeCell ref="B82:B85"/>
    <mergeCell ref="C82:C85"/>
    <mergeCell ref="D82:D85"/>
    <mergeCell ref="E82:E85"/>
    <mergeCell ref="F82:F85"/>
    <mergeCell ref="G82:G85"/>
    <mergeCell ref="A77:A81"/>
    <mergeCell ref="B77:B81"/>
    <mergeCell ref="C77:C81"/>
    <mergeCell ref="D77:D81"/>
    <mergeCell ref="E77:E81"/>
    <mergeCell ref="F77:F81"/>
    <mergeCell ref="G63:G69"/>
    <mergeCell ref="A70:A76"/>
    <mergeCell ref="B70:B76"/>
    <mergeCell ref="C70:C76"/>
    <mergeCell ref="D70:D76"/>
    <mergeCell ref="E70:E76"/>
    <mergeCell ref="F70:F76"/>
    <mergeCell ref="G70:G76"/>
    <mergeCell ref="A63:A69"/>
    <mergeCell ref="B63:B69"/>
    <mergeCell ref="C63:C69"/>
    <mergeCell ref="D63:D69"/>
    <mergeCell ref="E63:E69"/>
    <mergeCell ref="F63:F69"/>
    <mergeCell ref="A60:A62"/>
    <mergeCell ref="B60:B62"/>
    <mergeCell ref="C60:C62"/>
    <mergeCell ref="D60:D62"/>
    <mergeCell ref="E60:E62"/>
    <mergeCell ref="F60:F62"/>
    <mergeCell ref="G60:G62"/>
    <mergeCell ref="A53:A59"/>
    <mergeCell ref="B53:B59"/>
    <mergeCell ref="C53:C59"/>
    <mergeCell ref="D53:D59"/>
    <mergeCell ref="E53:E59"/>
    <mergeCell ref="F53:F59"/>
    <mergeCell ref="G53:G59"/>
    <mergeCell ref="A47:A52"/>
    <mergeCell ref="B47:B52"/>
    <mergeCell ref="C47:C52"/>
    <mergeCell ref="D47:D52"/>
    <mergeCell ref="E47:E52"/>
    <mergeCell ref="F47:F52"/>
    <mergeCell ref="G47:G52"/>
    <mergeCell ref="A42:A46"/>
    <mergeCell ref="B42:B46"/>
    <mergeCell ref="C42:C46"/>
    <mergeCell ref="D42:D46"/>
    <mergeCell ref="E42:E46"/>
    <mergeCell ref="F42:F46"/>
    <mergeCell ref="A39:A41"/>
    <mergeCell ref="B39:B41"/>
    <mergeCell ref="C39:C41"/>
    <mergeCell ref="D39:D41"/>
    <mergeCell ref="E39:E41"/>
    <mergeCell ref="F39:F41"/>
    <mergeCell ref="G39:G41"/>
    <mergeCell ref="A35:A38"/>
    <mergeCell ref="B35:B38"/>
    <mergeCell ref="C35:C38"/>
    <mergeCell ref="D35:D38"/>
    <mergeCell ref="E35:E38"/>
    <mergeCell ref="F35:F38"/>
    <mergeCell ref="A21:A27"/>
    <mergeCell ref="B21:B27"/>
    <mergeCell ref="C21:C27"/>
    <mergeCell ref="D21:D27"/>
    <mergeCell ref="E21:E27"/>
    <mergeCell ref="F21:F27"/>
    <mergeCell ref="A28:A34"/>
    <mergeCell ref="B28:B34"/>
    <mergeCell ref="C28:C34"/>
    <mergeCell ref="D28:D34"/>
    <mergeCell ref="E28:E34"/>
    <mergeCell ref="F28:F34"/>
    <mergeCell ref="A8:A13"/>
    <mergeCell ref="B8:B13"/>
    <mergeCell ref="C8:C13"/>
    <mergeCell ref="D8:D13"/>
    <mergeCell ref="E8:E13"/>
    <mergeCell ref="F8:F13"/>
    <mergeCell ref="G8:G13"/>
    <mergeCell ref="A2:A7"/>
    <mergeCell ref="B2:B7"/>
    <mergeCell ref="C2:C7"/>
    <mergeCell ref="D2:D7"/>
    <mergeCell ref="E2:E7"/>
    <mergeCell ref="F2:F7"/>
    <mergeCell ref="I2:I7"/>
    <mergeCell ref="I8:I13"/>
    <mergeCell ref="I21:I27"/>
    <mergeCell ref="I35:I38"/>
    <mergeCell ref="I39:I41"/>
    <mergeCell ref="I42:I46"/>
    <mergeCell ref="I47:I52"/>
    <mergeCell ref="I28:I34"/>
    <mergeCell ref="G2:G7"/>
    <mergeCell ref="G21:G27"/>
    <mergeCell ref="G28:G34"/>
    <mergeCell ref="G35:G38"/>
    <mergeCell ref="G42:G46"/>
    <mergeCell ref="I99:I102"/>
    <mergeCell ref="I103:I110"/>
    <mergeCell ref="I111:I117"/>
    <mergeCell ref="I118:I125"/>
    <mergeCell ref="I126:I133"/>
    <mergeCell ref="I60:I62"/>
    <mergeCell ref="I63:I69"/>
    <mergeCell ref="I70:I76"/>
    <mergeCell ref="I77:I81"/>
    <mergeCell ref="I82:I85"/>
    <mergeCell ref="I86:I89"/>
    <mergeCell ref="I90:I92"/>
    <mergeCell ref="I93:I98"/>
    <mergeCell ref="J63:J69"/>
    <mergeCell ref="J70:J76"/>
    <mergeCell ref="J77:J81"/>
    <mergeCell ref="J82:J85"/>
    <mergeCell ref="J86:J89"/>
    <mergeCell ref="J90:J92"/>
    <mergeCell ref="J93:J98"/>
    <mergeCell ref="J2:J7"/>
    <mergeCell ref="J8:J13"/>
    <mergeCell ref="J21:J27"/>
    <mergeCell ref="J35:J38"/>
    <mergeCell ref="J39:J41"/>
    <mergeCell ref="J42:J46"/>
    <mergeCell ref="J47:J52"/>
    <mergeCell ref="J28:J34"/>
    <mergeCell ref="A14:A20"/>
    <mergeCell ref="B14:B20"/>
    <mergeCell ref="C14:C20"/>
    <mergeCell ref="D14:D20"/>
    <mergeCell ref="E14:E20"/>
    <mergeCell ref="F14:F20"/>
    <mergeCell ref="G14:G20"/>
    <mergeCell ref="I14:I20"/>
    <mergeCell ref="J14:J20"/>
    <mergeCell ref="A150:A155"/>
    <mergeCell ref="B150:B155"/>
    <mergeCell ref="C150:C155"/>
    <mergeCell ref="D150:D155"/>
    <mergeCell ref="E150:E155"/>
    <mergeCell ref="F150:F155"/>
    <mergeCell ref="G150:G155"/>
    <mergeCell ref="I53:I59"/>
    <mergeCell ref="J53:J59"/>
    <mergeCell ref="A134:A140"/>
    <mergeCell ref="B134:B140"/>
    <mergeCell ref="C134:C140"/>
    <mergeCell ref="D134:D140"/>
    <mergeCell ref="E134:E140"/>
    <mergeCell ref="F134:F140"/>
    <mergeCell ref="G134:G140"/>
    <mergeCell ref="I134:I140"/>
    <mergeCell ref="J134:J140"/>
    <mergeCell ref="J99:J102"/>
    <mergeCell ref="J103:J110"/>
    <mergeCell ref="J111:J117"/>
    <mergeCell ref="J118:J125"/>
    <mergeCell ref="J126:J133"/>
    <mergeCell ref="J60:J62"/>
    <mergeCell ref="I141:I144"/>
    <mergeCell ref="J141:J144"/>
    <mergeCell ref="I145:I149"/>
    <mergeCell ref="J145:J149"/>
    <mergeCell ref="I150:I155"/>
    <mergeCell ref="J150:J155"/>
    <mergeCell ref="D145:D149"/>
    <mergeCell ref="E145:E149"/>
    <mergeCell ref="F145:F149"/>
    <mergeCell ref="G145:G1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Z23"/>
  <sheetViews>
    <sheetView showGridLines="0" zoomScale="80" zoomScaleNormal="80" workbookViewId="0">
      <selection activeCell="E1" sqref="E1:O3"/>
    </sheetView>
  </sheetViews>
  <sheetFormatPr baseColWidth="10" defaultColWidth="10.85546875" defaultRowHeight="14.25" x14ac:dyDescent="0.2"/>
  <cols>
    <col min="1" max="1" width="0.85546875" style="25" customWidth="1"/>
    <col min="2" max="2" width="23" style="25" customWidth="1"/>
    <col min="3" max="3" width="18.42578125" style="25" customWidth="1"/>
    <col min="4" max="4" width="12.5703125" style="25" customWidth="1"/>
    <col min="5" max="5" width="11.28515625" style="25" customWidth="1"/>
    <col min="6" max="6" width="13.7109375" style="25" customWidth="1"/>
    <col min="7" max="8" width="13.140625" style="25" customWidth="1"/>
    <col min="9" max="9" width="12.28515625" style="25" customWidth="1"/>
    <col min="10" max="14" width="8.28515625" style="25" customWidth="1"/>
    <col min="15" max="15" width="12.140625" style="25" customWidth="1"/>
    <col min="16" max="16" width="16.5703125" style="25" customWidth="1"/>
    <col min="17" max="17" width="19.140625" style="25" customWidth="1"/>
    <col min="18" max="18" width="3" style="26" customWidth="1"/>
    <col min="19" max="19" width="5.5703125" style="26" bestFit="1" customWidth="1"/>
    <col min="20" max="22" width="2.85546875" style="26" customWidth="1"/>
    <col min="23" max="26" width="11.140625" style="26" bestFit="1" customWidth="1"/>
    <col min="27" max="16384" width="10.85546875" style="26"/>
  </cols>
  <sheetData>
    <row r="1" spans="1:26" ht="15" customHeight="1" x14ac:dyDescent="0.2">
      <c r="B1" s="785"/>
      <c r="C1" s="786"/>
      <c r="D1" s="786"/>
      <c r="E1" s="791" t="s">
        <v>36</v>
      </c>
      <c r="F1" s="792"/>
      <c r="G1" s="792"/>
      <c r="H1" s="792"/>
      <c r="I1" s="792"/>
      <c r="J1" s="792"/>
      <c r="K1" s="792"/>
      <c r="L1" s="792"/>
      <c r="M1" s="792"/>
      <c r="N1" s="792"/>
      <c r="O1" s="792"/>
      <c r="P1" s="793"/>
      <c r="Q1" s="794"/>
    </row>
    <row r="2" spans="1:26" x14ac:dyDescent="0.2">
      <c r="B2" s="787"/>
      <c r="C2" s="788"/>
      <c r="D2" s="788"/>
      <c r="E2" s="792"/>
      <c r="F2" s="792"/>
      <c r="G2" s="792"/>
      <c r="H2" s="792"/>
      <c r="I2" s="792"/>
      <c r="J2" s="792"/>
      <c r="K2" s="792"/>
      <c r="L2" s="792"/>
      <c r="M2" s="792"/>
      <c r="N2" s="792"/>
      <c r="O2" s="792"/>
      <c r="P2" s="793"/>
      <c r="Q2" s="794"/>
    </row>
    <row r="3" spans="1:26" ht="28.5" customHeight="1" x14ac:dyDescent="0.2">
      <c r="B3" s="789"/>
      <c r="C3" s="790"/>
      <c r="D3" s="790"/>
      <c r="E3" s="792"/>
      <c r="F3" s="792"/>
      <c r="G3" s="792"/>
      <c r="H3" s="792"/>
      <c r="I3" s="792"/>
      <c r="J3" s="792"/>
      <c r="K3" s="792"/>
      <c r="L3" s="792"/>
      <c r="M3" s="792"/>
      <c r="N3" s="792"/>
      <c r="O3" s="792"/>
      <c r="P3" s="793"/>
      <c r="Q3" s="794"/>
    </row>
    <row r="4" spans="1:26" ht="28.5" customHeight="1" x14ac:dyDescent="0.2">
      <c r="B4" s="27"/>
      <c r="C4" s="27"/>
      <c r="D4" s="27"/>
      <c r="E4" s="28"/>
      <c r="F4" s="28"/>
      <c r="G4" s="28"/>
      <c r="H4" s="28"/>
      <c r="I4" s="28"/>
      <c r="J4" s="28"/>
      <c r="K4" s="28"/>
      <c r="L4" s="28"/>
      <c r="M4" s="28"/>
      <c r="N4" s="28"/>
      <c r="O4" s="28"/>
      <c r="P4" s="27"/>
      <c r="Q4" s="27"/>
    </row>
    <row r="5" spans="1:26" ht="50.1" customHeight="1" x14ac:dyDescent="0.2">
      <c r="B5" s="770" t="s">
        <v>1</v>
      </c>
      <c r="C5" s="771"/>
      <c r="D5" s="771"/>
      <c r="E5" s="783" t="s">
        <v>37</v>
      </c>
      <c r="F5" s="784"/>
      <c r="G5" s="784"/>
      <c r="H5" s="784"/>
      <c r="I5" s="784"/>
      <c r="J5" s="784"/>
      <c r="K5" s="784"/>
      <c r="L5" s="784"/>
      <c r="M5" s="784"/>
      <c r="N5" s="784"/>
      <c r="O5" s="784"/>
      <c r="P5" s="27"/>
      <c r="Q5" s="27"/>
    </row>
    <row r="6" spans="1:26" ht="69" customHeight="1" x14ac:dyDescent="0.2">
      <c r="B6" s="770" t="s">
        <v>38</v>
      </c>
      <c r="C6" s="771"/>
      <c r="D6" s="771"/>
      <c r="E6" s="783" t="s">
        <v>39</v>
      </c>
      <c r="F6" s="784"/>
      <c r="G6" s="784"/>
      <c r="H6" s="784"/>
      <c r="I6" s="784"/>
      <c r="J6" s="784"/>
      <c r="K6" s="784"/>
      <c r="L6" s="784"/>
      <c r="M6" s="784"/>
      <c r="N6" s="784"/>
      <c r="O6" s="784"/>
      <c r="P6" s="27"/>
      <c r="Q6" s="27"/>
    </row>
    <row r="7" spans="1:26" ht="78.599999999999994" customHeight="1" x14ac:dyDescent="0.2">
      <c r="B7" s="770" t="s">
        <v>40</v>
      </c>
      <c r="C7" s="771"/>
      <c r="D7" s="771"/>
      <c r="E7" s="783" t="s">
        <v>41</v>
      </c>
      <c r="F7" s="784"/>
      <c r="G7" s="784"/>
      <c r="H7" s="784"/>
      <c r="I7" s="784"/>
      <c r="J7" s="784"/>
      <c r="K7" s="784"/>
      <c r="L7" s="784"/>
      <c r="M7" s="784"/>
      <c r="N7" s="784"/>
      <c r="O7" s="784"/>
      <c r="P7" s="27"/>
      <c r="Q7" s="27"/>
    </row>
    <row r="8" spans="1:26" ht="87" customHeight="1" x14ac:dyDescent="0.2">
      <c r="B8" s="770" t="s">
        <v>42</v>
      </c>
      <c r="C8" s="771"/>
      <c r="D8" s="771"/>
      <c r="E8" s="783" t="s">
        <v>402</v>
      </c>
      <c r="F8" s="784"/>
      <c r="G8" s="784"/>
      <c r="H8" s="784"/>
      <c r="I8" s="784"/>
      <c r="J8" s="784"/>
      <c r="K8" s="784"/>
      <c r="L8" s="784"/>
      <c r="M8" s="784"/>
      <c r="N8" s="784"/>
      <c r="O8" s="784"/>
      <c r="P8" s="27"/>
      <c r="Q8" s="27"/>
    </row>
    <row r="9" spans="1:26" ht="219.95" customHeight="1" x14ac:dyDescent="0.2">
      <c r="B9" s="770" t="s">
        <v>43</v>
      </c>
      <c r="C9" s="771"/>
      <c r="D9" s="771"/>
      <c r="E9" s="783" t="s">
        <v>44</v>
      </c>
      <c r="F9" s="784"/>
      <c r="G9" s="784"/>
      <c r="H9" s="784"/>
      <c r="I9" s="784"/>
      <c r="J9" s="784"/>
      <c r="K9" s="784"/>
      <c r="L9" s="784"/>
      <c r="M9" s="784"/>
      <c r="N9" s="784"/>
      <c r="O9" s="784"/>
      <c r="P9" s="27"/>
      <c r="Q9" s="27"/>
    </row>
    <row r="10" spans="1:26" s="1" customFormat="1" ht="124.5" customHeight="1" x14ac:dyDescent="0.2">
      <c r="A10" s="29"/>
      <c r="B10" s="770" t="s">
        <v>45</v>
      </c>
      <c r="C10" s="771"/>
      <c r="D10" s="771"/>
      <c r="E10" s="772" t="s">
        <v>46</v>
      </c>
      <c r="F10" s="773"/>
      <c r="G10" s="773"/>
      <c r="H10" s="773"/>
      <c r="I10" s="773"/>
      <c r="J10" s="773"/>
      <c r="K10" s="773"/>
      <c r="L10" s="773"/>
      <c r="M10" s="773"/>
      <c r="N10" s="773"/>
      <c r="O10" s="773"/>
      <c r="P10" s="30"/>
      <c r="Q10" s="30"/>
    </row>
    <row r="11" spans="1:26" ht="39.6" customHeight="1" x14ac:dyDescent="0.2">
      <c r="B11" s="27"/>
      <c r="C11" s="27"/>
      <c r="D11" s="27"/>
      <c r="E11" s="31"/>
      <c r="F11" s="31"/>
      <c r="G11" s="31"/>
      <c r="H11" s="31"/>
      <c r="I11" s="31"/>
      <c r="J11" s="31"/>
      <c r="K11" s="31"/>
      <c r="L11" s="31"/>
      <c r="M11" s="31"/>
      <c r="N11" s="31"/>
      <c r="O11" s="31"/>
      <c r="P11" s="27"/>
      <c r="Q11" s="27"/>
    </row>
    <row r="12" spans="1:26" ht="20.100000000000001" customHeight="1" x14ac:dyDescent="0.25">
      <c r="B12" s="774" t="s">
        <v>47</v>
      </c>
      <c r="C12" s="775"/>
      <c r="D12" s="775"/>
      <c r="E12" s="775"/>
      <c r="F12" s="775"/>
      <c r="G12" s="775"/>
      <c r="H12" s="775"/>
      <c r="I12" s="775"/>
      <c r="J12" s="775"/>
      <c r="K12" s="775"/>
      <c r="L12" s="775"/>
      <c r="M12" s="775"/>
      <c r="N12" s="775"/>
      <c r="O12" s="775"/>
      <c r="P12" s="27"/>
      <c r="Q12" s="27"/>
    </row>
    <row r="14" spans="1:26" ht="48" customHeight="1" x14ac:dyDescent="0.2">
      <c r="B14" s="776" t="s">
        <v>48</v>
      </c>
      <c r="C14" s="777"/>
      <c r="D14" s="777"/>
      <c r="E14" s="778" t="s">
        <v>1375</v>
      </c>
      <c r="F14" s="779"/>
      <c r="G14" s="779"/>
      <c r="H14" s="779"/>
      <c r="I14" s="779"/>
      <c r="J14" s="779"/>
      <c r="K14" s="779"/>
      <c r="L14" s="779"/>
      <c r="M14" s="779"/>
      <c r="N14" s="779"/>
      <c r="O14" s="780"/>
      <c r="P14" s="26"/>
      <c r="Q14" s="26"/>
    </row>
    <row r="15" spans="1:26" ht="26.1" customHeight="1" x14ac:dyDescent="0.2">
      <c r="B15" s="760" t="s">
        <v>49</v>
      </c>
      <c r="C15" s="761"/>
      <c r="D15" s="761"/>
      <c r="E15" s="781" t="s">
        <v>50</v>
      </c>
      <c r="F15" s="782"/>
      <c r="G15" s="782"/>
      <c r="H15" s="782"/>
      <c r="I15" s="782"/>
      <c r="J15" s="782"/>
      <c r="K15" s="782"/>
      <c r="L15" s="782"/>
      <c r="M15" s="782"/>
      <c r="N15" s="782"/>
      <c r="O15" s="742"/>
      <c r="P15" s="26"/>
      <c r="Q15" s="26"/>
    </row>
    <row r="16" spans="1:26" ht="136.5" customHeight="1" x14ac:dyDescent="0.2">
      <c r="A16" s="29"/>
      <c r="B16" s="760" t="s">
        <v>51</v>
      </c>
      <c r="C16" s="761"/>
      <c r="D16" s="761"/>
      <c r="E16" s="762" t="s">
        <v>52</v>
      </c>
      <c r="F16" s="763"/>
      <c r="G16" s="763"/>
      <c r="H16" s="763"/>
      <c r="I16" s="763"/>
      <c r="J16" s="763"/>
      <c r="K16" s="763"/>
      <c r="L16" s="763"/>
      <c r="M16" s="763"/>
      <c r="N16" s="763"/>
      <c r="O16" s="764"/>
      <c r="P16" s="26"/>
      <c r="Q16" s="26"/>
      <c r="Y16" s="32"/>
      <c r="Z16" s="32"/>
    </row>
    <row r="17" spans="1:17" x14ac:dyDescent="0.2">
      <c r="A17" s="29"/>
      <c r="B17" s="765" t="s">
        <v>53</v>
      </c>
      <c r="C17" s="766"/>
      <c r="D17" s="766"/>
      <c r="E17" s="766"/>
      <c r="F17" s="766"/>
      <c r="G17" s="766"/>
      <c r="H17" s="766"/>
      <c r="I17" s="766"/>
      <c r="J17" s="766"/>
      <c r="K17" s="766"/>
      <c r="L17" s="766"/>
      <c r="M17" s="766"/>
      <c r="N17" s="766"/>
      <c r="O17" s="767"/>
      <c r="P17" s="26"/>
      <c r="Q17" s="26"/>
    </row>
    <row r="18" spans="1:17" x14ac:dyDescent="0.2">
      <c r="A18" s="29"/>
      <c r="B18" s="33"/>
      <c r="G18" s="34"/>
      <c r="H18" s="34"/>
      <c r="I18" s="34"/>
      <c r="J18" s="34"/>
      <c r="K18" s="34"/>
      <c r="L18" s="34"/>
      <c r="M18" s="34"/>
      <c r="N18" s="34"/>
      <c r="O18" s="32"/>
      <c r="P18" s="26"/>
      <c r="Q18" s="26"/>
    </row>
    <row r="19" spans="1:17" x14ac:dyDescent="0.2">
      <c r="A19" s="29"/>
      <c r="B19" s="768"/>
      <c r="C19" s="769"/>
      <c r="D19" s="769"/>
      <c r="E19" s="769"/>
      <c r="F19" s="769"/>
      <c r="G19" s="769"/>
      <c r="H19" s="769"/>
      <c r="I19" s="769"/>
      <c r="J19" s="769"/>
      <c r="K19" s="769"/>
      <c r="L19" s="769"/>
      <c r="M19" s="769"/>
      <c r="N19" s="769"/>
      <c r="O19" s="769"/>
      <c r="P19" s="26"/>
      <c r="Q19" s="26"/>
    </row>
    <row r="20" spans="1:17" x14ac:dyDescent="0.2">
      <c r="A20" s="29"/>
      <c r="B20" s="769"/>
      <c r="C20" s="769"/>
      <c r="D20" s="769"/>
      <c r="E20" s="769"/>
      <c r="F20" s="769"/>
      <c r="G20" s="769"/>
      <c r="H20" s="769"/>
      <c r="I20" s="769"/>
      <c r="J20" s="769"/>
      <c r="K20" s="769"/>
      <c r="L20" s="769"/>
      <c r="M20" s="769"/>
      <c r="N20" s="769"/>
      <c r="O20" s="769"/>
      <c r="P20" s="26"/>
      <c r="Q20" s="26"/>
    </row>
    <row r="21" spans="1:17" x14ac:dyDescent="0.2">
      <c r="A21" s="29"/>
      <c r="B21" s="769"/>
      <c r="C21" s="769"/>
      <c r="D21" s="769"/>
      <c r="E21" s="769"/>
      <c r="F21" s="769"/>
      <c r="G21" s="769"/>
      <c r="H21" s="769"/>
      <c r="I21" s="769"/>
      <c r="J21" s="769"/>
      <c r="K21" s="769"/>
      <c r="L21" s="769"/>
      <c r="M21" s="769"/>
      <c r="N21" s="769"/>
      <c r="O21" s="769"/>
      <c r="P21" s="26"/>
      <c r="Q21" s="26"/>
    </row>
    <row r="22" spans="1:17" x14ac:dyDescent="0.2">
      <c r="A22" s="29"/>
      <c r="B22" s="35"/>
      <c r="C22" s="35"/>
      <c r="D22" s="35"/>
      <c r="E22" s="35"/>
      <c r="F22" s="35"/>
      <c r="G22" s="35"/>
      <c r="H22" s="35"/>
      <c r="I22" s="35"/>
      <c r="J22" s="35"/>
      <c r="K22" s="35"/>
      <c r="L22" s="35"/>
      <c r="M22" s="35"/>
      <c r="N22" s="35"/>
      <c r="O22" s="35"/>
      <c r="P22" s="26"/>
      <c r="Q22" s="26"/>
    </row>
    <row r="23" spans="1:17" x14ac:dyDescent="0.2">
      <c r="A23" s="29"/>
      <c r="B23" s="36"/>
      <c r="G23" s="34"/>
      <c r="H23" s="34"/>
      <c r="I23" s="34"/>
      <c r="J23" s="34"/>
      <c r="K23" s="34"/>
      <c r="L23" s="34"/>
      <c r="M23" s="34"/>
      <c r="N23" s="34"/>
      <c r="O23" s="34"/>
      <c r="P23" s="26"/>
      <c r="Q23" s="26"/>
    </row>
  </sheetData>
  <sheetProtection algorithmName="SHA-512" hashValue="VC+EebKVB8CWw9y8kOqRK4h13kZHx9E0o1HoTVHbsaIUajshG4JBWPBOfHTO0B2eSZ5Fq6EuHmEU8vPuwVt6dw==" saltValue="H7LdAJoRBFn/1DKauErPxg==" spinCount="100000" sheet="1" objects="1" scenarios="1"/>
  <mergeCells count="24">
    <mergeCell ref="B6:D6"/>
    <mergeCell ref="E6:O6"/>
    <mergeCell ref="B1:D3"/>
    <mergeCell ref="E1:O3"/>
    <mergeCell ref="P1:Q3"/>
    <mergeCell ref="B5:D5"/>
    <mergeCell ref="E5:O5"/>
    <mergeCell ref="B7:D7"/>
    <mergeCell ref="E7:O7"/>
    <mergeCell ref="B8:D8"/>
    <mergeCell ref="E8:O8"/>
    <mergeCell ref="B9:D9"/>
    <mergeCell ref="E9:O9"/>
    <mergeCell ref="B16:D16"/>
    <mergeCell ref="E16:O16"/>
    <mergeCell ref="B17:O17"/>
    <mergeCell ref="B19:O21"/>
    <mergeCell ref="B10:D10"/>
    <mergeCell ref="E10:O10"/>
    <mergeCell ref="B12:O12"/>
    <mergeCell ref="B14:D14"/>
    <mergeCell ref="E14:O14"/>
    <mergeCell ref="B15:D15"/>
    <mergeCell ref="E15:O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X102"/>
  <sheetViews>
    <sheetView showGridLines="0" tabSelected="1" zoomScale="80" zoomScaleNormal="80" workbookViewId="0"/>
  </sheetViews>
  <sheetFormatPr baseColWidth="10" defaultColWidth="10.7109375" defaultRowHeight="14.25" x14ac:dyDescent="0.25"/>
  <cols>
    <col min="1" max="1" width="53.7109375" style="710" customWidth="1"/>
    <col min="2" max="2" width="52.7109375" style="716" customWidth="1"/>
    <col min="3" max="3" width="34.42578125" style="716" customWidth="1"/>
    <col min="4" max="4" width="19.140625" style="717" customWidth="1"/>
    <col min="5" max="7" width="10.7109375" style="710"/>
    <col min="8" max="8" width="13.7109375" style="710" bestFit="1" customWidth="1"/>
    <col min="9" max="16384" width="10.7109375" style="710"/>
  </cols>
  <sheetData>
    <row r="2" spans="1:7" ht="18" x14ac:dyDescent="0.25">
      <c r="B2" s="804" t="s">
        <v>1376</v>
      </c>
      <c r="C2" s="804"/>
      <c r="D2" s="804"/>
      <c r="E2" s="805"/>
      <c r="F2" s="805"/>
      <c r="G2" s="805"/>
    </row>
    <row r="3" spans="1:7" ht="18" x14ac:dyDescent="0.25">
      <c r="B3" s="699"/>
      <c r="C3" s="699"/>
      <c r="D3" s="700"/>
      <c r="E3" s="699"/>
      <c r="F3" s="699"/>
      <c r="G3" s="699"/>
    </row>
    <row r="4" spans="1:7" x14ac:dyDescent="0.25">
      <c r="A4" s="711"/>
      <c r="B4" s="712"/>
      <c r="C4" s="712"/>
      <c r="D4" s="713"/>
    </row>
    <row r="5" spans="1:7" ht="32.1" customHeight="1" x14ac:dyDescent="0.25">
      <c r="A5" s="701" t="s">
        <v>611</v>
      </c>
      <c r="B5" s="799" t="s">
        <v>1150</v>
      </c>
      <c r="C5" s="800"/>
      <c r="D5" s="800"/>
      <c r="E5" s="800"/>
      <c r="F5" s="800"/>
      <c r="G5" s="800"/>
    </row>
    <row r="6" spans="1:7" s="711" customFormat="1" ht="57" customHeight="1" x14ac:dyDescent="0.25">
      <c r="A6" s="702" t="s">
        <v>612</v>
      </c>
      <c r="B6" s="799" t="s">
        <v>1198</v>
      </c>
      <c r="C6" s="800" t="s">
        <v>1151</v>
      </c>
      <c r="D6" s="800" t="s">
        <v>1152</v>
      </c>
      <c r="E6" s="800"/>
      <c r="F6" s="800"/>
      <c r="G6" s="800"/>
    </row>
    <row r="7" spans="1:7" s="711" customFormat="1" ht="57" customHeight="1" x14ac:dyDescent="0.25">
      <c r="A7" s="702" t="s">
        <v>1153</v>
      </c>
      <c r="B7" s="799" t="s">
        <v>1214</v>
      </c>
      <c r="C7" s="800"/>
      <c r="D7" s="800"/>
      <c r="E7" s="800"/>
      <c r="F7" s="800"/>
      <c r="G7" s="800"/>
    </row>
    <row r="8" spans="1:7" s="711" customFormat="1" ht="73.5" customHeight="1" x14ac:dyDescent="0.25">
      <c r="A8" s="701" t="s">
        <v>1154</v>
      </c>
      <c r="B8" s="799" t="s">
        <v>1155</v>
      </c>
      <c r="C8" s="800" t="s">
        <v>1156</v>
      </c>
      <c r="D8" s="800" t="s">
        <v>1157</v>
      </c>
      <c r="E8" s="800"/>
      <c r="F8" s="800"/>
      <c r="G8" s="800"/>
    </row>
    <row r="9" spans="1:7" s="711" customFormat="1" ht="79.5" customHeight="1" x14ac:dyDescent="0.25">
      <c r="A9" s="702" t="s">
        <v>683</v>
      </c>
      <c r="B9" s="799" t="s">
        <v>1158</v>
      </c>
      <c r="C9" s="800"/>
      <c r="D9" s="800"/>
      <c r="E9" s="800"/>
      <c r="F9" s="800"/>
      <c r="G9" s="800"/>
    </row>
    <row r="10" spans="1:7" s="711" customFormat="1" ht="47.45" customHeight="1" x14ac:dyDescent="0.25">
      <c r="A10" s="702" t="s">
        <v>1159</v>
      </c>
      <c r="B10" s="795" t="s">
        <v>1215</v>
      </c>
      <c r="C10" s="796"/>
      <c r="D10" s="796"/>
      <c r="E10" s="796"/>
      <c r="F10" s="796"/>
      <c r="G10" s="796"/>
    </row>
    <row r="11" spans="1:7" ht="27.6" customHeight="1" x14ac:dyDescent="0.25">
      <c r="A11" s="702" t="s">
        <v>1208</v>
      </c>
      <c r="B11" s="795" t="s">
        <v>1199</v>
      </c>
      <c r="C11" s="796"/>
      <c r="D11" s="796"/>
      <c r="E11" s="796"/>
      <c r="F11" s="796"/>
      <c r="G11" s="796"/>
    </row>
    <row r="12" spans="1:7" ht="27.6" customHeight="1" x14ac:dyDescent="0.25">
      <c r="A12" s="702" t="s">
        <v>1209</v>
      </c>
      <c r="B12" s="795" t="s">
        <v>1216</v>
      </c>
      <c r="C12" s="796"/>
      <c r="D12" s="796"/>
      <c r="E12" s="796"/>
      <c r="F12" s="796"/>
      <c r="G12" s="796"/>
    </row>
    <row r="13" spans="1:7" ht="33" customHeight="1" x14ac:dyDescent="0.25">
      <c r="A13" s="702" t="s">
        <v>745</v>
      </c>
      <c r="B13" s="795" t="s">
        <v>1202</v>
      </c>
      <c r="C13" s="796"/>
      <c r="D13" s="796"/>
      <c r="E13" s="796"/>
      <c r="F13" s="796"/>
      <c r="G13" s="796"/>
    </row>
    <row r="14" spans="1:7" ht="30" customHeight="1" x14ac:dyDescent="0.25">
      <c r="A14" s="702" t="s">
        <v>1204</v>
      </c>
      <c r="B14" s="795" t="s">
        <v>1217</v>
      </c>
      <c r="C14" s="796"/>
      <c r="D14" s="796"/>
      <c r="E14" s="796"/>
      <c r="F14" s="796"/>
      <c r="G14" s="796"/>
    </row>
    <row r="15" spans="1:7" ht="33.6" customHeight="1" x14ac:dyDescent="0.25">
      <c r="A15" s="702" t="s">
        <v>753</v>
      </c>
      <c r="B15" s="795" t="s">
        <v>1218</v>
      </c>
      <c r="C15" s="796"/>
      <c r="D15" s="796"/>
      <c r="E15" s="796"/>
      <c r="F15" s="796"/>
      <c r="G15" s="796"/>
    </row>
    <row r="16" spans="1:7" ht="47.45" customHeight="1" x14ac:dyDescent="0.25">
      <c r="A16" s="701" t="s">
        <v>1201</v>
      </c>
      <c r="B16" s="795" t="s">
        <v>1251</v>
      </c>
      <c r="C16" s="796"/>
      <c r="D16" s="796"/>
      <c r="E16" s="796"/>
      <c r="F16" s="796"/>
      <c r="G16" s="796"/>
    </row>
    <row r="17" spans="1:18" s="714" customFormat="1" ht="47.1" customHeight="1" x14ac:dyDescent="0.25">
      <c r="A17" s="703" t="s">
        <v>1211</v>
      </c>
      <c r="B17" s="812" t="s">
        <v>1252</v>
      </c>
      <c r="C17" s="813"/>
      <c r="D17" s="813"/>
      <c r="E17" s="813"/>
      <c r="F17" s="813"/>
      <c r="G17" s="813"/>
    </row>
    <row r="18" spans="1:18" s="714" customFormat="1" ht="33.6" customHeight="1" x14ac:dyDescent="0.25">
      <c r="A18" s="703" t="s">
        <v>1212</v>
      </c>
      <c r="B18" s="812" t="s">
        <v>1253</v>
      </c>
      <c r="C18" s="813"/>
      <c r="D18" s="813"/>
      <c r="E18" s="813"/>
      <c r="F18" s="813"/>
      <c r="G18" s="813"/>
    </row>
    <row r="19" spans="1:18" s="711" customFormat="1" ht="46.5" customHeight="1" x14ac:dyDescent="0.25">
      <c r="A19" s="701" t="s">
        <v>1210</v>
      </c>
      <c r="B19" s="795" t="s">
        <v>1213</v>
      </c>
      <c r="C19" s="796"/>
      <c r="D19" s="796"/>
      <c r="E19" s="796"/>
      <c r="F19" s="796"/>
      <c r="G19" s="796"/>
    </row>
    <row r="20" spans="1:18" ht="43.5" customHeight="1" x14ac:dyDescent="0.25">
      <c r="A20" s="704" t="s">
        <v>809</v>
      </c>
      <c r="B20" s="795" t="s">
        <v>1219</v>
      </c>
      <c r="C20" s="796"/>
      <c r="D20" s="796"/>
      <c r="E20" s="796"/>
      <c r="F20" s="796"/>
      <c r="G20" s="796"/>
      <c r="I20" s="711"/>
      <c r="J20" s="711"/>
      <c r="K20" s="711"/>
      <c r="L20" s="711"/>
      <c r="M20" s="711"/>
      <c r="N20" s="711"/>
      <c r="O20" s="711"/>
      <c r="P20" s="711"/>
      <c r="Q20" s="711"/>
      <c r="R20" s="711"/>
    </row>
    <row r="21" spans="1:18" s="711" customFormat="1" ht="66.599999999999994" customHeight="1" x14ac:dyDescent="0.25">
      <c r="A21" s="705" t="s">
        <v>818</v>
      </c>
      <c r="B21" s="795" t="s">
        <v>1220</v>
      </c>
      <c r="C21" s="796"/>
      <c r="D21" s="796"/>
      <c r="E21" s="796"/>
      <c r="F21" s="796"/>
      <c r="G21" s="796"/>
    </row>
    <row r="22" spans="1:18" s="711" customFormat="1" ht="80.45" customHeight="1" x14ac:dyDescent="0.25">
      <c r="A22" s="706" t="s">
        <v>828</v>
      </c>
      <c r="B22" s="795" t="s">
        <v>1222</v>
      </c>
      <c r="C22" s="796"/>
      <c r="D22" s="796"/>
      <c r="E22" s="796"/>
      <c r="F22" s="796"/>
      <c r="G22" s="796"/>
    </row>
    <row r="23" spans="1:18" s="711" customFormat="1" ht="66.599999999999994" customHeight="1" x14ac:dyDescent="0.25">
      <c r="A23" s="705" t="s">
        <v>837</v>
      </c>
      <c r="B23" s="795" t="s">
        <v>1223</v>
      </c>
      <c r="C23" s="796"/>
      <c r="D23" s="796"/>
      <c r="E23" s="796"/>
      <c r="F23" s="796"/>
      <c r="G23" s="796"/>
      <c r="H23" s="713"/>
    </row>
    <row r="24" spans="1:18" ht="43.5" customHeight="1" x14ac:dyDescent="0.25">
      <c r="A24" s="704" t="s">
        <v>1224</v>
      </c>
      <c r="B24" s="795" t="s">
        <v>1226</v>
      </c>
      <c r="C24" s="796"/>
      <c r="D24" s="796"/>
      <c r="E24" s="796"/>
      <c r="F24" s="796"/>
      <c r="G24" s="796"/>
      <c r="I24" s="711"/>
      <c r="J24" s="711"/>
      <c r="K24" s="711"/>
      <c r="L24" s="711"/>
      <c r="M24" s="711"/>
      <c r="N24" s="711"/>
      <c r="O24" s="711"/>
      <c r="P24" s="711"/>
      <c r="Q24" s="711"/>
      <c r="R24" s="711"/>
    </row>
    <row r="25" spans="1:18" s="711" customFormat="1" ht="66.599999999999994" customHeight="1" x14ac:dyDescent="0.25">
      <c r="A25" s="705" t="s">
        <v>1229</v>
      </c>
      <c r="B25" s="795" t="s">
        <v>1230</v>
      </c>
      <c r="C25" s="796"/>
      <c r="D25" s="796"/>
      <c r="E25" s="796"/>
      <c r="F25" s="796"/>
      <c r="G25" s="796"/>
    </row>
    <row r="26" spans="1:18" ht="25.5" customHeight="1" x14ac:dyDescent="0.25">
      <c r="A26" s="707"/>
      <c r="B26" s="715"/>
      <c r="C26" s="708"/>
      <c r="D26" s="708"/>
      <c r="E26" s="708"/>
      <c r="F26" s="708"/>
      <c r="G26" s="708"/>
      <c r="I26" s="711"/>
      <c r="J26" s="711"/>
      <c r="K26" s="711"/>
      <c r="L26" s="711"/>
      <c r="M26" s="711"/>
      <c r="N26" s="711"/>
      <c r="O26" s="711"/>
      <c r="P26" s="711"/>
      <c r="Q26" s="711"/>
      <c r="R26" s="711"/>
    </row>
    <row r="27" spans="1:18" x14ac:dyDescent="0.25">
      <c r="A27" s="707"/>
    </row>
    <row r="28" spans="1:18" ht="15" x14ac:dyDescent="0.25">
      <c r="A28" s="718" t="s">
        <v>850</v>
      </c>
      <c r="B28" s="710"/>
      <c r="C28" s="710"/>
      <c r="D28" s="719"/>
    </row>
    <row r="29" spans="1:18" ht="30.75" customHeight="1" x14ac:dyDescent="0.25">
      <c r="A29" s="707" t="s">
        <v>851</v>
      </c>
      <c r="B29" s="795" t="s">
        <v>1160</v>
      </c>
      <c r="C29" s="796"/>
      <c r="D29" s="796"/>
      <c r="E29" s="796"/>
      <c r="F29" s="796"/>
      <c r="G29" s="796"/>
    </row>
    <row r="30" spans="1:18" ht="32.25" customHeight="1" x14ac:dyDescent="0.25">
      <c r="A30" s="704" t="s">
        <v>852</v>
      </c>
      <c r="B30" s="795" t="s">
        <v>1161</v>
      </c>
      <c r="C30" s="796"/>
      <c r="D30" s="796"/>
      <c r="E30" s="796"/>
      <c r="F30" s="796"/>
      <c r="G30" s="796"/>
    </row>
    <row r="31" spans="1:18" ht="33" customHeight="1" x14ac:dyDescent="0.25">
      <c r="A31" s="704" t="s">
        <v>853</v>
      </c>
      <c r="B31" s="795" t="s">
        <v>1162</v>
      </c>
      <c r="C31" s="796"/>
      <c r="D31" s="796"/>
      <c r="E31" s="796"/>
      <c r="F31" s="796"/>
      <c r="G31" s="796"/>
    </row>
    <row r="32" spans="1:18" x14ac:dyDescent="0.25">
      <c r="B32" s="710"/>
      <c r="C32" s="710"/>
    </row>
    <row r="33" spans="1:7" ht="15" x14ac:dyDescent="0.25">
      <c r="A33" s="720" t="s">
        <v>855</v>
      </c>
      <c r="B33" s="710"/>
      <c r="C33" s="710"/>
      <c r="D33" s="719"/>
    </row>
    <row r="34" spans="1:7" ht="91.5" customHeight="1" x14ac:dyDescent="0.25">
      <c r="A34" s="704" t="s">
        <v>857</v>
      </c>
      <c r="B34" s="795" t="s">
        <v>1232</v>
      </c>
      <c r="C34" s="796"/>
      <c r="D34" s="796"/>
      <c r="E34" s="796"/>
      <c r="F34" s="796"/>
      <c r="G34" s="796"/>
    </row>
    <row r="35" spans="1:7" ht="48" customHeight="1" x14ac:dyDescent="0.25">
      <c r="A35" s="704" t="s">
        <v>1233</v>
      </c>
      <c r="B35" s="795" t="s">
        <v>1234</v>
      </c>
      <c r="C35" s="796"/>
      <c r="D35" s="796"/>
      <c r="E35" s="796"/>
      <c r="F35" s="796"/>
      <c r="G35" s="796"/>
    </row>
    <row r="36" spans="1:7" ht="50.25" customHeight="1" x14ac:dyDescent="0.25">
      <c r="A36" s="704" t="s">
        <v>859</v>
      </c>
      <c r="B36" s="795" t="s">
        <v>1163</v>
      </c>
      <c r="C36" s="796"/>
      <c r="D36" s="796"/>
      <c r="E36" s="796"/>
      <c r="F36" s="796"/>
      <c r="G36" s="796"/>
    </row>
    <row r="37" spans="1:7" ht="45.75" customHeight="1" x14ac:dyDescent="0.25">
      <c r="A37" s="704" t="s">
        <v>860</v>
      </c>
      <c r="B37" s="795" t="s">
        <v>1164</v>
      </c>
      <c r="C37" s="796"/>
      <c r="D37" s="796"/>
      <c r="E37" s="796"/>
      <c r="F37" s="796"/>
      <c r="G37" s="796"/>
    </row>
    <row r="38" spans="1:7" ht="60" customHeight="1" x14ac:dyDescent="0.25">
      <c r="A38" s="704" t="s">
        <v>861</v>
      </c>
      <c r="B38" s="795" t="s">
        <v>1165</v>
      </c>
      <c r="C38" s="796"/>
      <c r="D38" s="796"/>
      <c r="E38" s="796"/>
      <c r="F38" s="796"/>
      <c r="G38" s="796"/>
    </row>
    <row r="39" spans="1:7" ht="65.45" customHeight="1" x14ac:dyDescent="0.25">
      <c r="A39" s="704" t="s">
        <v>862</v>
      </c>
      <c r="B39" s="795" t="s">
        <v>1166</v>
      </c>
      <c r="C39" s="796"/>
      <c r="D39" s="796"/>
      <c r="E39" s="796"/>
      <c r="F39" s="796"/>
      <c r="G39" s="796"/>
    </row>
    <row r="40" spans="1:7" ht="42.75" customHeight="1" x14ac:dyDescent="0.25">
      <c r="A40" s="704" t="s">
        <v>863</v>
      </c>
      <c r="B40" s="795" t="s">
        <v>1235</v>
      </c>
      <c r="C40" s="796"/>
      <c r="D40" s="796"/>
      <c r="E40" s="796"/>
      <c r="F40" s="796"/>
      <c r="G40" s="796"/>
    </row>
    <row r="41" spans="1:7" ht="46.5" customHeight="1" x14ac:dyDescent="0.25">
      <c r="A41" s="704" t="s">
        <v>864</v>
      </c>
      <c r="B41" s="795" t="s">
        <v>1236</v>
      </c>
      <c r="C41" s="796"/>
      <c r="D41" s="796"/>
      <c r="E41" s="796"/>
      <c r="F41" s="796"/>
      <c r="G41" s="796"/>
    </row>
    <row r="42" spans="1:7" ht="45.95" customHeight="1" x14ac:dyDescent="0.25">
      <c r="A42" s="704" t="s">
        <v>865</v>
      </c>
      <c r="B42" s="795" t="s">
        <v>1237</v>
      </c>
      <c r="C42" s="796"/>
      <c r="D42" s="796"/>
      <c r="E42" s="796"/>
      <c r="F42" s="796"/>
      <c r="G42" s="796"/>
    </row>
    <row r="43" spans="1:7" ht="45" customHeight="1" x14ac:dyDescent="0.25">
      <c r="A43" s="704" t="s">
        <v>866</v>
      </c>
      <c r="B43" s="795" t="s">
        <v>1167</v>
      </c>
      <c r="C43" s="796"/>
      <c r="D43" s="796"/>
      <c r="E43" s="796"/>
      <c r="F43" s="796"/>
      <c r="G43" s="796"/>
    </row>
    <row r="44" spans="1:7" ht="33.75" customHeight="1" x14ac:dyDescent="0.25">
      <c r="A44" s="704" t="s">
        <v>1168</v>
      </c>
      <c r="B44" s="795" t="s">
        <v>1169</v>
      </c>
      <c r="C44" s="796"/>
      <c r="D44" s="796"/>
      <c r="E44" s="796"/>
      <c r="F44" s="796"/>
      <c r="G44" s="796"/>
    </row>
    <row r="45" spans="1:7" s="716" customFormat="1" ht="34.5" customHeight="1" x14ac:dyDescent="0.25">
      <c r="A45" s="704" t="s">
        <v>867</v>
      </c>
      <c r="B45" s="795" t="s">
        <v>1170</v>
      </c>
      <c r="C45" s="796"/>
      <c r="D45" s="796"/>
      <c r="E45" s="796"/>
      <c r="F45" s="796"/>
      <c r="G45" s="796"/>
    </row>
    <row r="46" spans="1:7" s="716" customFormat="1" ht="30.6" customHeight="1" x14ac:dyDescent="0.25">
      <c r="A46" s="704" t="s">
        <v>868</v>
      </c>
      <c r="B46" s="795" t="s">
        <v>1171</v>
      </c>
      <c r="C46" s="796"/>
      <c r="D46" s="796"/>
      <c r="E46" s="796"/>
      <c r="F46" s="796"/>
      <c r="G46" s="796"/>
    </row>
    <row r="47" spans="1:7" s="716" customFormat="1" ht="32.25" customHeight="1" x14ac:dyDescent="0.25">
      <c r="A47" s="704" t="s">
        <v>1172</v>
      </c>
      <c r="B47" s="795" t="s">
        <v>1173</v>
      </c>
      <c r="C47" s="796"/>
      <c r="D47" s="796"/>
      <c r="E47" s="796"/>
      <c r="F47" s="796"/>
      <c r="G47" s="796"/>
    </row>
    <row r="48" spans="1:7" s="716" customFormat="1" ht="32.25" customHeight="1" x14ac:dyDescent="0.25">
      <c r="A48" s="704" t="s">
        <v>1239</v>
      </c>
      <c r="B48" s="795" t="s">
        <v>1174</v>
      </c>
      <c r="C48" s="796"/>
      <c r="D48" s="796"/>
      <c r="E48" s="796"/>
      <c r="F48" s="796"/>
      <c r="G48" s="796"/>
    </row>
    <row r="49" spans="1:7" s="716" customFormat="1" ht="32.25" customHeight="1" x14ac:dyDescent="0.25">
      <c r="A49" s="704" t="s">
        <v>1175</v>
      </c>
      <c r="B49" s="795" t="s">
        <v>1240</v>
      </c>
      <c r="C49" s="796"/>
      <c r="D49" s="796"/>
      <c r="E49" s="796"/>
      <c r="F49" s="796"/>
      <c r="G49" s="796"/>
    </row>
    <row r="50" spans="1:7" s="716" customFormat="1" x14ac:dyDescent="0.25">
      <c r="A50" s="704"/>
      <c r="D50" s="717"/>
      <c r="E50" s="710"/>
      <c r="F50" s="710"/>
      <c r="G50" s="710"/>
    </row>
    <row r="51" spans="1:7" s="716" customFormat="1" ht="15" x14ac:dyDescent="0.25">
      <c r="A51" s="721" t="s">
        <v>920</v>
      </c>
      <c r="D51" s="717"/>
      <c r="E51" s="710"/>
      <c r="F51" s="710"/>
      <c r="G51" s="710"/>
    </row>
    <row r="52" spans="1:7" s="716" customFormat="1" ht="48" customHeight="1" x14ac:dyDescent="0.25">
      <c r="A52" s="704" t="s">
        <v>922</v>
      </c>
      <c r="B52" s="799" t="s">
        <v>1176</v>
      </c>
      <c r="C52" s="800"/>
      <c r="D52" s="800"/>
      <c r="E52" s="800"/>
      <c r="F52" s="800"/>
      <c r="G52" s="800"/>
    </row>
    <row r="53" spans="1:7" s="716" customFormat="1" ht="48" customHeight="1" x14ac:dyDescent="0.25">
      <c r="A53" s="704" t="s">
        <v>1177</v>
      </c>
      <c r="B53" s="799" t="s">
        <v>1178</v>
      </c>
      <c r="C53" s="800"/>
      <c r="D53" s="800"/>
      <c r="E53" s="800"/>
      <c r="F53" s="800"/>
      <c r="G53" s="800"/>
    </row>
    <row r="54" spans="1:7" s="716" customFormat="1" ht="45" customHeight="1" x14ac:dyDescent="0.25">
      <c r="A54" s="704" t="s">
        <v>1179</v>
      </c>
      <c r="B54" s="799" t="s">
        <v>1180</v>
      </c>
      <c r="C54" s="800"/>
      <c r="D54" s="800"/>
      <c r="E54" s="800"/>
      <c r="F54" s="800"/>
      <c r="G54" s="800"/>
    </row>
    <row r="55" spans="1:7" s="716" customFormat="1" ht="51" customHeight="1" x14ac:dyDescent="0.25">
      <c r="A55" s="704" t="s">
        <v>1181</v>
      </c>
      <c r="B55" s="799" t="s">
        <v>1182</v>
      </c>
      <c r="C55" s="800"/>
      <c r="D55" s="800"/>
      <c r="E55" s="800"/>
      <c r="F55" s="800"/>
      <c r="G55" s="800"/>
    </row>
    <row r="57" spans="1:7" s="716" customFormat="1" ht="15" x14ac:dyDescent="0.25">
      <c r="A57" s="721" t="s">
        <v>943</v>
      </c>
    </row>
    <row r="58" spans="1:7" s="716" customFormat="1" ht="33.75" customHeight="1" x14ac:dyDescent="0.25">
      <c r="A58" s="704" t="s">
        <v>944</v>
      </c>
      <c r="B58" s="806" t="s">
        <v>1183</v>
      </c>
      <c r="C58" s="807"/>
      <c r="D58" s="807"/>
      <c r="E58" s="807"/>
      <c r="F58" s="807"/>
      <c r="G58" s="808"/>
    </row>
    <row r="59" spans="1:7" s="716" customFormat="1" ht="33.75" customHeight="1" x14ac:dyDescent="0.25">
      <c r="A59" s="704" t="s">
        <v>1184</v>
      </c>
      <c r="B59" s="806" t="s">
        <v>1185</v>
      </c>
      <c r="C59" s="807"/>
      <c r="D59" s="807"/>
      <c r="E59" s="807"/>
      <c r="F59" s="807"/>
      <c r="G59" s="808"/>
    </row>
    <row r="60" spans="1:7" s="716" customFormat="1" ht="60" customHeight="1" x14ac:dyDescent="0.25">
      <c r="A60" s="704" t="s">
        <v>948</v>
      </c>
      <c r="B60" s="806" t="s">
        <v>1186</v>
      </c>
      <c r="C60" s="807"/>
      <c r="D60" s="807"/>
      <c r="E60" s="807"/>
      <c r="F60" s="807"/>
      <c r="G60" s="808"/>
    </row>
    <row r="61" spans="1:7" s="716" customFormat="1" ht="56.45" customHeight="1" x14ac:dyDescent="0.25">
      <c r="A61" s="704" t="s">
        <v>950</v>
      </c>
      <c r="B61" s="806" t="s">
        <v>1187</v>
      </c>
      <c r="C61" s="807"/>
      <c r="D61" s="807"/>
      <c r="E61" s="807"/>
      <c r="F61" s="807"/>
      <c r="G61" s="808"/>
    </row>
    <row r="62" spans="1:7" s="716" customFormat="1" ht="21.6" customHeight="1" x14ac:dyDescent="0.25">
      <c r="A62" s="704" t="s">
        <v>952</v>
      </c>
      <c r="B62" s="806" t="s">
        <v>1188</v>
      </c>
      <c r="C62" s="807"/>
      <c r="D62" s="807"/>
      <c r="E62" s="807"/>
      <c r="F62" s="807"/>
      <c r="G62" s="808"/>
    </row>
    <row r="63" spans="1:7" s="716" customFormat="1" ht="32.25" customHeight="1" x14ac:dyDescent="0.25">
      <c r="A63" s="704" t="s">
        <v>953</v>
      </c>
      <c r="B63" s="806" t="s">
        <v>1189</v>
      </c>
      <c r="C63" s="807"/>
      <c r="D63" s="807"/>
      <c r="E63" s="807"/>
      <c r="F63" s="807"/>
      <c r="G63" s="808"/>
    </row>
    <row r="64" spans="1:7" s="716" customFormat="1" ht="32.25" customHeight="1" x14ac:dyDescent="0.25">
      <c r="A64" s="704" t="s">
        <v>955</v>
      </c>
      <c r="B64" s="806" t="s">
        <v>1241</v>
      </c>
      <c r="C64" s="807"/>
      <c r="D64" s="807"/>
      <c r="E64" s="807"/>
      <c r="F64" s="807"/>
      <c r="G64" s="808"/>
    </row>
    <row r="65" spans="1:16378" s="716" customFormat="1" x14ac:dyDescent="0.25">
      <c r="A65" s="704" t="s">
        <v>956</v>
      </c>
      <c r="B65" s="799" t="s">
        <v>1190</v>
      </c>
      <c r="C65" s="800"/>
      <c r="D65" s="800"/>
      <c r="E65" s="800"/>
      <c r="F65" s="800"/>
      <c r="G65" s="800"/>
    </row>
    <row r="66" spans="1:16378" s="716" customFormat="1" ht="37.5" customHeight="1" x14ac:dyDescent="0.25">
      <c r="A66" s="704" t="s">
        <v>958</v>
      </c>
      <c r="B66" s="799" t="s">
        <v>1191</v>
      </c>
      <c r="C66" s="800"/>
      <c r="D66" s="800"/>
      <c r="E66" s="800"/>
      <c r="F66" s="800"/>
      <c r="G66" s="800"/>
    </row>
    <row r="67" spans="1:16378" s="716" customFormat="1" x14ac:dyDescent="0.25"/>
    <row r="68" spans="1:16378" s="716" customFormat="1" ht="15.75" customHeight="1" x14ac:dyDescent="0.25">
      <c r="A68" s="721" t="s">
        <v>960</v>
      </c>
      <c r="D68" s="717"/>
      <c r="E68" s="710"/>
      <c r="F68" s="710"/>
      <c r="G68" s="710"/>
    </row>
    <row r="69" spans="1:16378" s="716" customFormat="1" ht="33.6" customHeight="1" x14ac:dyDescent="0.25">
      <c r="A69" s="704" t="s">
        <v>961</v>
      </c>
      <c r="B69" s="799" t="s">
        <v>1242</v>
      </c>
      <c r="C69" s="800"/>
      <c r="D69" s="800"/>
      <c r="E69" s="800"/>
      <c r="F69" s="800"/>
      <c r="G69" s="800"/>
    </row>
    <row r="70" spans="1:16378" s="716" customFormat="1" x14ac:dyDescent="0.25"/>
    <row r="71" spans="1:16378" s="716" customFormat="1" ht="15" x14ac:dyDescent="0.25">
      <c r="A71" s="722" t="s">
        <v>966</v>
      </c>
      <c r="D71" s="717"/>
      <c r="E71" s="710"/>
      <c r="F71" s="710"/>
      <c r="G71" s="710"/>
    </row>
    <row r="72" spans="1:16378" s="716" customFormat="1" ht="31.5" customHeight="1" x14ac:dyDescent="0.25">
      <c r="A72" s="705" t="s">
        <v>969</v>
      </c>
      <c r="B72" s="799" t="s">
        <v>1254</v>
      </c>
      <c r="C72" s="800"/>
      <c r="D72" s="800"/>
      <c r="E72" s="800"/>
      <c r="F72" s="800"/>
      <c r="G72" s="800"/>
    </row>
    <row r="73" spans="1:16378" s="716" customFormat="1" ht="32.25" customHeight="1" x14ac:dyDescent="0.25">
      <c r="A73" s="705" t="s">
        <v>971</v>
      </c>
      <c r="B73" s="799" t="s">
        <v>1255</v>
      </c>
      <c r="C73" s="800"/>
      <c r="D73" s="800"/>
      <c r="E73" s="800"/>
      <c r="F73" s="800"/>
      <c r="G73" s="800"/>
      <c r="I73" s="708"/>
      <c r="J73" s="797"/>
      <c r="K73" s="798"/>
      <c r="L73" s="798"/>
      <c r="M73" s="798"/>
      <c r="N73" s="798"/>
      <c r="O73" s="798"/>
      <c r="P73" s="708"/>
      <c r="Q73" s="797"/>
      <c r="R73" s="798"/>
      <c r="S73" s="798"/>
      <c r="T73" s="798"/>
      <c r="U73" s="798"/>
      <c r="V73" s="798"/>
      <c r="W73" s="708"/>
      <c r="X73" s="797"/>
      <c r="Y73" s="798"/>
      <c r="Z73" s="798"/>
      <c r="AA73" s="798"/>
      <c r="AB73" s="798"/>
      <c r="AC73" s="798"/>
      <c r="AD73" s="708"/>
      <c r="AE73" s="797"/>
      <c r="AF73" s="798"/>
      <c r="AG73" s="798"/>
      <c r="AH73" s="798"/>
      <c r="AI73" s="798"/>
      <c r="AJ73" s="798"/>
      <c r="AK73" s="708"/>
      <c r="AL73" s="797"/>
      <c r="AM73" s="798"/>
      <c r="AN73" s="798"/>
      <c r="AO73" s="798"/>
      <c r="AP73" s="798"/>
      <c r="AQ73" s="798"/>
      <c r="AR73" s="708"/>
      <c r="AS73" s="797"/>
      <c r="AT73" s="798"/>
      <c r="AU73" s="798"/>
      <c r="AV73" s="798"/>
      <c r="AW73" s="798"/>
      <c r="AX73" s="798"/>
      <c r="AY73" s="709"/>
      <c r="AZ73" s="799"/>
      <c r="BA73" s="800"/>
      <c r="BB73" s="800"/>
      <c r="BC73" s="800"/>
      <c r="BD73" s="800"/>
      <c r="BE73" s="800"/>
      <c r="BF73" s="705"/>
      <c r="BG73" s="799"/>
      <c r="BH73" s="800"/>
      <c r="BI73" s="800"/>
      <c r="BJ73" s="800"/>
      <c r="BK73" s="800"/>
      <c r="BL73" s="800"/>
      <c r="BM73" s="705"/>
      <c r="BN73" s="799"/>
      <c r="BO73" s="800"/>
      <c r="BP73" s="800"/>
      <c r="BQ73" s="800"/>
      <c r="BR73" s="800"/>
      <c r="BS73" s="800"/>
      <c r="BT73" s="705"/>
      <c r="BU73" s="799"/>
      <c r="BV73" s="800"/>
      <c r="BW73" s="800"/>
      <c r="BX73" s="800"/>
      <c r="BY73" s="800"/>
      <c r="BZ73" s="800"/>
      <c r="CA73" s="705"/>
      <c r="CB73" s="799"/>
      <c r="CC73" s="800"/>
      <c r="CD73" s="800"/>
      <c r="CE73" s="800"/>
      <c r="CF73" s="800"/>
      <c r="CG73" s="800"/>
      <c r="CH73" s="705"/>
      <c r="CI73" s="799"/>
      <c r="CJ73" s="800"/>
      <c r="CK73" s="800"/>
      <c r="CL73" s="800"/>
      <c r="CM73" s="800"/>
      <c r="CN73" s="800"/>
      <c r="CO73" s="705"/>
      <c r="CP73" s="799"/>
      <c r="CQ73" s="800"/>
      <c r="CR73" s="800"/>
      <c r="CS73" s="800"/>
      <c r="CT73" s="800"/>
      <c r="CU73" s="800"/>
      <c r="CV73" s="705"/>
      <c r="CW73" s="799"/>
      <c r="CX73" s="800"/>
      <c r="CY73" s="800"/>
      <c r="CZ73" s="800"/>
      <c r="DA73" s="800"/>
      <c r="DB73" s="800"/>
      <c r="DC73" s="705"/>
      <c r="DD73" s="799"/>
      <c r="DE73" s="800"/>
      <c r="DF73" s="800"/>
      <c r="DG73" s="800"/>
      <c r="DH73" s="800"/>
      <c r="DI73" s="800"/>
      <c r="DJ73" s="705"/>
      <c r="DK73" s="799"/>
      <c r="DL73" s="800"/>
      <c r="DM73" s="800"/>
      <c r="DN73" s="800"/>
      <c r="DO73" s="800"/>
      <c r="DP73" s="800"/>
      <c r="DQ73" s="705"/>
      <c r="DR73" s="799"/>
      <c r="DS73" s="800"/>
      <c r="DT73" s="800"/>
      <c r="DU73" s="800"/>
      <c r="DV73" s="800"/>
      <c r="DW73" s="800"/>
      <c r="DX73" s="705"/>
      <c r="DY73" s="799"/>
      <c r="DZ73" s="800"/>
      <c r="EA73" s="800"/>
      <c r="EB73" s="800"/>
      <c r="EC73" s="800"/>
      <c r="ED73" s="800"/>
      <c r="EE73" s="705"/>
      <c r="EF73" s="799"/>
      <c r="EG73" s="800"/>
      <c r="EH73" s="800"/>
      <c r="EI73" s="800"/>
      <c r="EJ73" s="800"/>
      <c r="EK73" s="800"/>
      <c r="EL73" s="705"/>
      <c r="EM73" s="799"/>
      <c r="EN73" s="800"/>
      <c r="EO73" s="800"/>
      <c r="EP73" s="800"/>
      <c r="EQ73" s="800"/>
      <c r="ER73" s="800"/>
      <c r="ES73" s="705"/>
      <c r="ET73" s="799"/>
      <c r="EU73" s="800"/>
      <c r="EV73" s="800"/>
      <c r="EW73" s="800"/>
      <c r="EX73" s="800"/>
      <c r="EY73" s="800"/>
      <c r="EZ73" s="705"/>
      <c r="FA73" s="799"/>
      <c r="FB73" s="800"/>
      <c r="FC73" s="800"/>
      <c r="FD73" s="800"/>
      <c r="FE73" s="800"/>
      <c r="FF73" s="800"/>
      <c r="FG73" s="705"/>
      <c r="FH73" s="799"/>
      <c r="FI73" s="800"/>
      <c r="FJ73" s="800"/>
      <c r="FK73" s="800"/>
      <c r="FL73" s="800"/>
      <c r="FM73" s="800"/>
      <c r="FN73" s="705"/>
      <c r="FO73" s="799"/>
      <c r="FP73" s="800"/>
      <c r="FQ73" s="800"/>
      <c r="FR73" s="800"/>
      <c r="FS73" s="800"/>
      <c r="FT73" s="800"/>
      <c r="FU73" s="705"/>
      <c r="FV73" s="799"/>
      <c r="FW73" s="800"/>
      <c r="FX73" s="800"/>
      <c r="FY73" s="800"/>
      <c r="FZ73" s="800"/>
      <c r="GA73" s="800"/>
      <c r="GB73" s="705"/>
      <c r="GC73" s="799"/>
      <c r="GD73" s="800"/>
      <c r="GE73" s="800"/>
      <c r="GF73" s="800"/>
      <c r="GG73" s="800"/>
      <c r="GH73" s="800"/>
      <c r="GI73" s="705"/>
      <c r="GJ73" s="799"/>
      <c r="GK73" s="800"/>
      <c r="GL73" s="800"/>
      <c r="GM73" s="800"/>
      <c r="GN73" s="800"/>
      <c r="GO73" s="800"/>
      <c r="GP73" s="705"/>
      <c r="GQ73" s="799"/>
      <c r="GR73" s="800"/>
      <c r="GS73" s="800"/>
      <c r="GT73" s="800"/>
      <c r="GU73" s="800"/>
      <c r="GV73" s="800"/>
      <c r="GW73" s="705"/>
      <c r="GX73" s="799"/>
      <c r="GY73" s="800"/>
      <c r="GZ73" s="800"/>
      <c r="HA73" s="800"/>
      <c r="HB73" s="800"/>
      <c r="HC73" s="800"/>
      <c r="HD73" s="705"/>
      <c r="HE73" s="799"/>
      <c r="HF73" s="800"/>
      <c r="HG73" s="800"/>
      <c r="HH73" s="800"/>
      <c r="HI73" s="800"/>
      <c r="HJ73" s="800"/>
      <c r="HK73" s="705"/>
      <c r="HL73" s="799"/>
      <c r="HM73" s="800"/>
      <c r="HN73" s="800"/>
      <c r="HO73" s="800"/>
      <c r="HP73" s="800"/>
      <c r="HQ73" s="800"/>
      <c r="HR73" s="705"/>
      <c r="HS73" s="799"/>
      <c r="HT73" s="800"/>
      <c r="HU73" s="800"/>
      <c r="HV73" s="800"/>
      <c r="HW73" s="800"/>
      <c r="HX73" s="800"/>
      <c r="HY73" s="705"/>
      <c r="HZ73" s="799"/>
      <c r="IA73" s="800"/>
      <c r="IB73" s="800"/>
      <c r="IC73" s="800"/>
      <c r="ID73" s="800"/>
      <c r="IE73" s="800"/>
      <c r="IF73" s="705"/>
      <c r="IG73" s="799"/>
      <c r="IH73" s="800"/>
      <c r="II73" s="800"/>
      <c r="IJ73" s="800"/>
      <c r="IK73" s="800"/>
      <c r="IL73" s="800"/>
      <c r="IM73" s="705"/>
      <c r="IN73" s="799"/>
      <c r="IO73" s="800"/>
      <c r="IP73" s="800"/>
      <c r="IQ73" s="800"/>
      <c r="IR73" s="800"/>
      <c r="IS73" s="800"/>
      <c r="IT73" s="705"/>
      <c r="IU73" s="799"/>
      <c r="IV73" s="800"/>
      <c r="IW73" s="800"/>
      <c r="IX73" s="800"/>
      <c r="IY73" s="800"/>
      <c r="IZ73" s="800"/>
      <c r="JA73" s="705"/>
      <c r="JB73" s="799"/>
      <c r="JC73" s="800"/>
      <c r="JD73" s="800"/>
      <c r="JE73" s="800"/>
      <c r="JF73" s="800"/>
      <c r="JG73" s="800"/>
      <c r="JH73" s="705"/>
      <c r="JI73" s="799"/>
      <c r="JJ73" s="800"/>
      <c r="JK73" s="800"/>
      <c r="JL73" s="800"/>
      <c r="JM73" s="800"/>
      <c r="JN73" s="800"/>
      <c r="JO73" s="705"/>
      <c r="JP73" s="799"/>
      <c r="JQ73" s="800"/>
      <c r="JR73" s="800"/>
      <c r="JS73" s="800"/>
      <c r="JT73" s="800"/>
      <c r="JU73" s="800"/>
      <c r="JV73" s="705"/>
      <c r="JW73" s="799"/>
      <c r="JX73" s="800"/>
      <c r="JY73" s="800"/>
      <c r="JZ73" s="800"/>
      <c r="KA73" s="800"/>
      <c r="KB73" s="800"/>
      <c r="KC73" s="705"/>
      <c r="KD73" s="799"/>
      <c r="KE73" s="800"/>
      <c r="KF73" s="800"/>
      <c r="KG73" s="800"/>
      <c r="KH73" s="800"/>
      <c r="KI73" s="800"/>
      <c r="KJ73" s="705"/>
      <c r="KK73" s="799"/>
      <c r="KL73" s="800"/>
      <c r="KM73" s="800"/>
      <c r="KN73" s="800"/>
      <c r="KO73" s="800"/>
      <c r="KP73" s="800"/>
      <c r="KQ73" s="705"/>
      <c r="KR73" s="799"/>
      <c r="KS73" s="800"/>
      <c r="KT73" s="800"/>
      <c r="KU73" s="800"/>
      <c r="KV73" s="800"/>
      <c r="KW73" s="800"/>
      <c r="KX73" s="705"/>
      <c r="KY73" s="799"/>
      <c r="KZ73" s="800"/>
      <c r="LA73" s="800"/>
      <c r="LB73" s="800"/>
      <c r="LC73" s="800"/>
      <c r="LD73" s="800"/>
      <c r="LE73" s="705"/>
      <c r="LF73" s="799"/>
      <c r="LG73" s="800"/>
      <c r="LH73" s="800"/>
      <c r="LI73" s="800"/>
      <c r="LJ73" s="800"/>
      <c r="LK73" s="800"/>
      <c r="LL73" s="705"/>
      <c r="LM73" s="799"/>
      <c r="LN73" s="800"/>
      <c r="LO73" s="800"/>
      <c r="LP73" s="800"/>
      <c r="LQ73" s="800"/>
      <c r="LR73" s="800"/>
      <c r="LS73" s="705"/>
      <c r="LT73" s="799"/>
      <c r="LU73" s="800"/>
      <c r="LV73" s="800"/>
      <c r="LW73" s="800"/>
      <c r="LX73" s="800"/>
      <c r="LY73" s="800"/>
      <c r="LZ73" s="705"/>
      <c r="MA73" s="799"/>
      <c r="MB73" s="800"/>
      <c r="MC73" s="800"/>
      <c r="MD73" s="800"/>
      <c r="ME73" s="800"/>
      <c r="MF73" s="800"/>
      <c r="MG73" s="705"/>
      <c r="MH73" s="799"/>
      <c r="MI73" s="800"/>
      <c r="MJ73" s="800"/>
      <c r="MK73" s="800"/>
      <c r="ML73" s="800"/>
      <c r="MM73" s="800"/>
      <c r="MN73" s="705"/>
      <c r="MO73" s="799"/>
      <c r="MP73" s="800"/>
      <c r="MQ73" s="800"/>
      <c r="MR73" s="800"/>
      <c r="MS73" s="800"/>
      <c r="MT73" s="800"/>
      <c r="MU73" s="705"/>
      <c r="MV73" s="799"/>
      <c r="MW73" s="800"/>
      <c r="MX73" s="800"/>
      <c r="MY73" s="800"/>
      <c r="MZ73" s="800"/>
      <c r="NA73" s="800"/>
      <c r="NB73" s="705"/>
      <c r="NC73" s="799"/>
      <c r="ND73" s="800"/>
      <c r="NE73" s="800"/>
      <c r="NF73" s="800"/>
      <c r="NG73" s="800"/>
      <c r="NH73" s="800"/>
      <c r="NI73" s="705"/>
      <c r="NJ73" s="799"/>
      <c r="NK73" s="800"/>
      <c r="NL73" s="800"/>
      <c r="NM73" s="800"/>
      <c r="NN73" s="800"/>
      <c r="NO73" s="800"/>
      <c r="NP73" s="705"/>
      <c r="NQ73" s="799"/>
      <c r="NR73" s="800"/>
      <c r="NS73" s="800"/>
      <c r="NT73" s="800"/>
      <c r="NU73" s="800"/>
      <c r="NV73" s="800"/>
      <c r="NW73" s="705"/>
      <c r="NX73" s="799"/>
      <c r="NY73" s="800"/>
      <c r="NZ73" s="800"/>
      <c r="OA73" s="800"/>
      <c r="OB73" s="800"/>
      <c r="OC73" s="800"/>
      <c r="OD73" s="705"/>
      <c r="OE73" s="799"/>
      <c r="OF73" s="800"/>
      <c r="OG73" s="800"/>
      <c r="OH73" s="800"/>
      <c r="OI73" s="800"/>
      <c r="OJ73" s="800"/>
      <c r="OK73" s="705"/>
      <c r="OL73" s="799"/>
      <c r="OM73" s="800"/>
      <c r="ON73" s="800"/>
      <c r="OO73" s="800"/>
      <c r="OP73" s="800"/>
      <c r="OQ73" s="800"/>
      <c r="OR73" s="705"/>
      <c r="OS73" s="799"/>
      <c r="OT73" s="800"/>
      <c r="OU73" s="800"/>
      <c r="OV73" s="800"/>
      <c r="OW73" s="800"/>
      <c r="OX73" s="800"/>
      <c r="OY73" s="705"/>
      <c r="OZ73" s="799"/>
      <c r="PA73" s="800"/>
      <c r="PB73" s="800"/>
      <c r="PC73" s="800"/>
      <c r="PD73" s="800"/>
      <c r="PE73" s="800"/>
      <c r="PF73" s="705"/>
      <c r="PG73" s="799"/>
      <c r="PH73" s="800"/>
      <c r="PI73" s="800"/>
      <c r="PJ73" s="800"/>
      <c r="PK73" s="800"/>
      <c r="PL73" s="800"/>
      <c r="PM73" s="705"/>
      <c r="PN73" s="799"/>
      <c r="PO73" s="800"/>
      <c r="PP73" s="800"/>
      <c r="PQ73" s="800"/>
      <c r="PR73" s="800"/>
      <c r="PS73" s="800"/>
      <c r="PT73" s="705"/>
      <c r="PU73" s="799"/>
      <c r="PV73" s="800"/>
      <c r="PW73" s="800"/>
      <c r="PX73" s="800"/>
      <c r="PY73" s="800"/>
      <c r="PZ73" s="800"/>
      <c r="QA73" s="705"/>
      <c r="QB73" s="799"/>
      <c r="QC73" s="800"/>
      <c r="QD73" s="800"/>
      <c r="QE73" s="800"/>
      <c r="QF73" s="800"/>
      <c r="QG73" s="800"/>
      <c r="QH73" s="705"/>
      <c r="QI73" s="799"/>
      <c r="QJ73" s="800"/>
      <c r="QK73" s="800"/>
      <c r="QL73" s="800"/>
      <c r="QM73" s="800"/>
      <c r="QN73" s="800"/>
      <c r="QO73" s="705"/>
      <c r="QP73" s="799"/>
      <c r="QQ73" s="800"/>
      <c r="QR73" s="800"/>
      <c r="QS73" s="800"/>
      <c r="QT73" s="800"/>
      <c r="QU73" s="800"/>
      <c r="QV73" s="705"/>
      <c r="QW73" s="799"/>
      <c r="QX73" s="800"/>
      <c r="QY73" s="800"/>
      <c r="QZ73" s="800"/>
      <c r="RA73" s="800"/>
      <c r="RB73" s="800"/>
      <c r="RC73" s="705"/>
      <c r="RD73" s="799"/>
      <c r="RE73" s="800"/>
      <c r="RF73" s="800"/>
      <c r="RG73" s="800"/>
      <c r="RH73" s="800"/>
      <c r="RI73" s="800"/>
      <c r="RJ73" s="705"/>
      <c r="RK73" s="799"/>
      <c r="RL73" s="800"/>
      <c r="RM73" s="800"/>
      <c r="RN73" s="800"/>
      <c r="RO73" s="800"/>
      <c r="RP73" s="800"/>
      <c r="RQ73" s="705"/>
      <c r="RR73" s="799"/>
      <c r="RS73" s="800"/>
      <c r="RT73" s="800"/>
      <c r="RU73" s="800"/>
      <c r="RV73" s="800"/>
      <c r="RW73" s="800"/>
      <c r="RX73" s="705"/>
      <c r="RY73" s="799"/>
      <c r="RZ73" s="800"/>
      <c r="SA73" s="800"/>
      <c r="SB73" s="800"/>
      <c r="SC73" s="800"/>
      <c r="SD73" s="800"/>
      <c r="SE73" s="705"/>
      <c r="SF73" s="799"/>
      <c r="SG73" s="800"/>
      <c r="SH73" s="800"/>
      <c r="SI73" s="800"/>
      <c r="SJ73" s="800"/>
      <c r="SK73" s="800"/>
      <c r="SL73" s="705"/>
      <c r="SM73" s="799"/>
      <c r="SN73" s="800"/>
      <c r="SO73" s="800"/>
      <c r="SP73" s="800"/>
      <c r="SQ73" s="800"/>
      <c r="SR73" s="800"/>
      <c r="SS73" s="705"/>
      <c r="ST73" s="799"/>
      <c r="SU73" s="800"/>
      <c r="SV73" s="800"/>
      <c r="SW73" s="800"/>
      <c r="SX73" s="800"/>
      <c r="SY73" s="800"/>
      <c r="SZ73" s="705"/>
      <c r="TA73" s="799"/>
      <c r="TB73" s="800"/>
      <c r="TC73" s="800"/>
      <c r="TD73" s="800"/>
      <c r="TE73" s="800"/>
      <c r="TF73" s="800"/>
      <c r="TG73" s="705"/>
      <c r="TH73" s="799"/>
      <c r="TI73" s="800"/>
      <c r="TJ73" s="800"/>
      <c r="TK73" s="800"/>
      <c r="TL73" s="800"/>
      <c r="TM73" s="800"/>
      <c r="TN73" s="705"/>
      <c r="TO73" s="799"/>
      <c r="TP73" s="800"/>
      <c r="TQ73" s="800"/>
      <c r="TR73" s="800"/>
      <c r="TS73" s="800"/>
      <c r="TT73" s="800"/>
      <c r="TU73" s="705"/>
      <c r="TV73" s="799"/>
      <c r="TW73" s="800"/>
      <c r="TX73" s="800"/>
      <c r="TY73" s="800"/>
      <c r="TZ73" s="800"/>
      <c r="UA73" s="800"/>
      <c r="UB73" s="705"/>
      <c r="UC73" s="799"/>
      <c r="UD73" s="800"/>
      <c r="UE73" s="800"/>
      <c r="UF73" s="800"/>
      <c r="UG73" s="800"/>
      <c r="UH73" s="800"/>
      <c r="UI73" s="705"/>
      <c r="UJ73" s="799"/>
      <c r="UK73" s="800"/>
      <c r="UL73" s="800"/>
      <c r="UM73" s="800"/>
      <c r="UN73" s="800"/>
      <c r="UO73" s="800"/>
      <c r="UP73" s="705"/>
      <c r="UQ73" s="799"/>
      <c r="UR73" s="800"/>
      <c r="US73" s="800"/>
      <c r="UT73" s="800"/>
      <c r="UU73" s="800"/>
      <c r="UV73" s="800"/>
      <c r="UW73" s="705"/>
      <c r="UX73" s="799"/>
      <c r="UY73" s="800"/>
      <c r="UZ73" s="800"/>
      <c r="VA73" s="800"/>
      <c r="VB73" s="800"/>
      <c r="VC73" s="800"/>
      <c r="VD73" s="705"/>
      <c r="VE73" s="799"/>
      <c r="VF73" s="800"/>
      <c r="VG73" s="800"/>
      <c r="VH73" s="800"/>
      <c r="VI73" s="800"/>
      <c r="VJ73" s="800"/>
      <c r="VK73" s="705"/>
      <c r="VL73" s="799"/>
      <c r="VM73" s="800"/>
      <c r="VN73" s="800"/>
      <c r="VO73" s="800"/>
      <c r="VP73" s="800"/>
      <c r="VQ73" s="800"/>
      <c r="VR73" s="705"/>
      <c r="VS73" s="799"/>
      <c r="VT73" s="800"/>
      <c r="VU73" s="800"/>
      <c r="VV73" s="800"/>
      <c r="VW73" s="800"/>
      <c r="VX73" s="800"/>
      <c r="VY73" s="705"/>
      <c r="VZ73" s="799"/>
      <c r="WA73" s="800"/>
      <c r="WB73" s="800"/>
      <c r="WC73" s="800"/>
      <c r="WD73" s="800"/>
      <c r="WE73" s="800"/>
      <c r="WF73" s="705"/>
      <c r="WG73" s="799"/>
      <c r="WH73" s="800"/>
      <c r="WI73" s="800"/>
      <c r="WJ73" s="800"/>
      <c r="WK73" s="800"/>
      <c r="WL73" s="800"/>
      <c r="WM73" s="705"/>
      <c r="WN73" s="799"/>
      <c r="WO73" s="800"/>
      <c r="WP73" s="800"/>
      <c r="WQ73" s="800"/>
      <c r="WR73" s="800"/>
      <c r="WS73" s="800"/>
      <c r="WT73" s="705"/>
      <c r="WU73" s="799"/>
      <c r="WV73" s="800"/>
      <c r="WW73" s="800"/>
      <c r="WX73" s="800"/>
      <c r="WY73" s="800"/>
      <c r="WZ73" s="800"/>
      <c r="XA73" s="705"/>
      <c r="XB73" s="799"/>
      <c r="XC73" s="800"/>
      <c r="XD73" s="800"/>
      <c r="XE73" s="800"/>
      <c r="XF73" s="800"/>
      <c r="XG73" s="800"/>
      <c r="XH73" s="705"/>
      <c r="XI73" s="799"/>
      <c r="XJ73" s="800"/>
      <c r="XK73" s="800"/>
      <c r="XL73" s="800"/>
      <c r="XM73" s="800"/>
      <c r="XN73" s="800"/>
      <c r="XO73" s="705"/>
      <c r="XP73" s="799"/>
      <c r="XQ73" s="800"/>
      <c r="XR73" s="800"/>
      <c r="XS73" s="800"/>
      <c r="XT73" s="800"/>
      <c r="XU73" s="800"/>
      <c r="XV73" s="705"/>
      <c r="XW73" s="799"/>
      <c r="XX73" s="800"/>
      <c r="XY73" s="800"/>
      <c r="XZ73" s="800"/>
      <c r="YA73" s="800"/>
      <c r="YB73" s="800"/>
      <c r="YC73" s="705"/>
      <c r="YD73" s="799"/>
      <c r="YE73" s="800"/>
      <c r="YF73" s="800"/>
      <c r="YG73" s="800"/>
      <c r="YH73" s="800"/>
      <c r="YI73" s="800"/>
      <c r="YJ73" s="705"/>
      <c r="YK73" s="799"/>
      <c r="YL73" s="800"/>
      <c r="YM73" s="800"/>
      <c r="YN73" s="800"/>
      <c r="YO73" s="800"/>
      <c r="YP73" s="800"/>
      <c r="YQ73" s="705"/>
      <c r="YR73" s="799"/>
      <c r="YS73" s="800"/>
      <c r="YT73" s="800"/>
      <c r="YU73" s="800"/>
      <c r="YV73" s="800"/>
      <c r="YW73" s="800"/>
      <c r="YX73" s="705"/>
      <c r="YY73" s="799"/>
      <c r="YZ73" s="800"/>
      <c r="ZA73" s="800"/>
      <c r="ZB73" s="800"/>
      <c r="ZC73" s="800"/>
      <c r="ZD73" s="800"/>
      <c r="ZE73" s="705"/>
      <c r="ZF73" s="799"/>
      <c r="ZG73" s="800"/>
      <c r="ZH73" s="800"/>
      <c r="ZI73" s="800"/>
      <c r="ZJ73" s="800"/>
      <c r="ZK73" s="800"/>
      <c r="ZL73" s="705"/>
      <c r="ZM73" s="799"/>
      <c r="ZN73" s="800"/>
      <c r="ZO73" s="800"/>
      <c r="ZP73" s="800"/>
      <c r="ZQ73" s="800"/>
      <c r="ZR73" s="800"/>
      <c r="ZS73" s="705"/>
      <c r="ZT73" s="799"/>
      <c r="ZU73" s="800"/>
      <c r="ZV73" s="800"/>
      <c r="ZW73" s="800"/>
      <c r="ZX73" s="800"/>
      <c r="ZY73" s="800"/>
      <c r="ZZ73" s="705"/>
      <c r="AAA73" s="799"/>
      <c r="AAB73" s="800"/>
      <c r="AAC73" s="800"/>
      <c r="AAD73" s="800"/>
      <c r="AAE73" s="800"/>
      <c r="AAF73" s="800"/>
      <c r="AAG73" s="705"/>
      <c r="AAH73" s="799"/>
      <c r="AAI73" s="800"/>
      <c r="AAJ73" s="800"/>
      <c r="AAK73" s="800"/>
      <c r="AAL73" s="800"/>
      <c r="AAM73" s="800"/>
      <c r="AAN73" s="705"/>
      <c r="AAO73" s="799"/>
      <c r="AAP73" s="800"/>
      <c r="AAQ73" s="800"/>
      <c r="AAR73" s="800"/>
      <c r="AAS73" s="800"/>
      <c r="AAT73" s="800"/>
      <c r="AAU73" s="705"/>
      <c r="AAV73" s="799"/>
      <c r="AAW73" s="800"/>
      <c r="AAX73" s="800"/>
      <c r="AAY73" s="800"/>
      <c r="AAZ73" s="800"/>
      <c r="ABA73" s="800"/>
      <c r="ABB73" s="705"/>
      <c r="ABC73" s="799"/>
      <c r="ABD73" s="800"/>
      <c r="ABE73" s="800"/>
      <c r="ABF73" s="800"/>
      <c r="ABG73" s="800"/>
      <c r="ABH73" s="800"/>
      <c r="ABI73" s="705"/>
      <c r="ABJ73" s="799"/>
      <c r="ABK73" s="800"/>
      <c r="ABL73" s="800"/>
      <c r="ABM73" s="800"/>
      <c r="ABN73" s="800"/>
      <c r="ABO73" s="800"/>
      <c r="ABP73" s="705"/>
      <c r="ABQ73" s="799"/>
      <c r="ABR73" s="800"/>
      <c r="ABS73" s="800"/>
      <c r="ABT73" s="800"/>
      <c r="ABU73" s="800"/>
      <c r="ABV73" s="800"/>
      <c r="ABW73" s="705"/>
      <c r="ABX73" s="799"/>
      <c r="ABY73" s="800"/>
      <c r="ABZ73" s="800"/>
      <c r="ACA73" s="800"/>
      <c r="ACB73" s="800"/>
      <c r="ACC73" s="800"/>
      <c r="ACD73" s="705"/>
      <c r="ACE73" s="799"/>
      <c r="ACF73" s="800"/>
      <c r="ACG73" s="800"/>
      <c r="ACH73" s="800"/>
      <c r="ACI73" s="800"/>
      <c r="ACJ73" s="800"/>
      <c r="ACK73" s="705"/>
      <c r="ACL73" s="799"/>
      <c r="ACM73" s="800"/>
      <c r="ACN73" s="800"/>
      <c r="ACO73" s="800"/>
      <c r="ACP73" s="800"/>
      <c r="ACQ73" s="800"/>
      <c r="ACR73" s="705"/>
      <c r="ACS73" s="799"/>
      <c r="ACT73" s="800"/>
      <c r="ACU73" s="800"/>
      <c r="ACV73" s="800"/>
      <c r="ACW73" s="800"/>
      <c r="ACX73" s="800"/>
      <c r="ACY73" s="705"/>
      <c r="ACZ73" s="799"/>
      <c r="ADA73" s="800"/>
      <c r="ADB73" s="800"/>
      <c r="ADC73" s="800"/>
      <c r="ADD73" s="800"/>
      <c r="ADE73" s="800"/>
      <c r="ADF73" s="705"/>
      <c r="ADG73" s="799"/>
      <c r="ADH73" s="800"/>
      <c r="ADI73" s="800"/>
      <c r="ADJ73" s="800"/>
      <c r="ADK73" s="800"/>
      <c r="ADL73" s="800"/>
      <c r="ADM73" s="705"/>
      <c r="ADN73" s="799"/>
      <c r="ADO73" s="800"/>
      <c r="ADP73" s="800"/>
      <c r="ADQ73" s="800"/>
      <c r="ADR73" s="800"/>
      <c r="ADS73" s="800"/>
      <c r="ADT73" s="705"/>
      <c r="ADU73" s="799"/>
      <c r="ADV73" s="800"/>
      <c r="ADW73" s="800"/>
      <c r="ADX73" s="800"/>
      <c r="ADY73" s="800"/>
      <c r="ADZ73" s="800"/>
      <c r="AEA73" s="705"/>
      <c r="AEB73" s="799"/>
      <c r="AEC73" s="800"/>
      <c r="AED73" s="800"/>
      <c r="AEE73" s="800"/>
      <c r="AEF73" s="800"/>
      <c r="AEG73" s="800"/>
      <c r="AEH73" s="705"/>
      <c r="AEI73" s="799"/>
      <c r="AEJ73" s="800"/>
      <c r="AEK73" s="800"/>
      <c r="AEL73" s="800"/>
      <c r="AEM73" s="800"/>
      <c r="AEN73" s="800"/>
      <c r="AEO73" s="705"/>
      <c r="AEP73" s="799"/>
      <c r="AEQ73" s="800"/>
      <c r="AER73" s="800"/>
      <c r="AES73" s="800"/>
      <c r="AET73" s="800"/>
      <c r="AEU73" s="800"/>
      <c r="AEV73" s="705"/>
      <c r="AEW73" s="799"/>
      <c r="AEX73" s="800"/>
      <c r="AEY73" s="800"/>
      <c r="AEZ73" s="800"/>
      <c r="AFA73" s="800"/>
      <c r="AFB73" s="800"/>
      <c r="AFC73" s="705"/>
      <c r="AFD73" s="799"/>
      <c r="AFE73" s="800"/>
      <c r="AFF73" s="800"/>
      <c r="AFG73" s="800"/>
      <c r="AFH73" s="800"/>
      <c r="AFI73" s="800"/>
      <c r="AFJ73" s="705"/>
      <c r="AFK73" s="799"/>
      <c r="AFL73" s="800"/>
      <c r="AFM73" s="800"/>
      <c r="AFN73" s="800"/>
      <c r="AFO73" s="800"/>
      <c r="AFP73" s="800"/>
      <c r="AFQ73" s="705"/>
      <c r="AFR73" s="799"/>
      <c r="AFS73" s="800"/>
      <c r="AFT73" s="800"/>
      <c r="AFU73" s="800"/>
      <c r="AFV73" s="800"/>
      <c r="AFW73" s="800"/>
      <c r="AFX73" s="705"/>
      <c r="AFY73" s="799"/>
      <c r="AFZ73" s="800"/>
      <c r="AGA73" s="800"/>
      <c r="AGB73" s="800"/>
      <c r="AGC73" s="800"/>
      <c r="AGD73" s="800"/>
      <c r="AGE73" s="705"/>
      <c r="AGF73" s="799"/>
      <c r="AGG73" s="800"/>
      <c r="AGH73" s="800"/>
      <c r="AGI73" s="800"/>
      <c r="AGJ73" s="800"/>
      <c r="AGK73" s="800"/>
      <c r="AGL73" s="705"/>
      <c r="AGM73" s="799"/>
      <c r="AGN73" s="800"/>
      <c r="AGO73" s="800"/>
      <c r="AGP73" s="800"/>
      <c r="AGQ73" s="800"/>
      <c r="AGR73" s="800"/>
      <c r="AGS73" s="705"/>
      <c r="AGT73" s="799"/>
      <c r="AGU73" s="800"/>
      <c r="AGV73" s="800"/>
      <c r="AGW73" s="800"/>
      <c r="AGX73" s="800"/>
      <c r="AGY73" s="800"/>
      <c r="AGZ73" s="705"/>
      <c r="AHA73" s="799"/>
      <c r="AHB73" s="800"/>
      <c r="AHC73" s="800"/>
      <c r="AHD73" s="800"/>
      <c r="AHE73" s="800"/>
      <c r="AHF73" s="800"/>
      <c r="AHG73" s="705"/>
      <c r="AHH73" s="799"/>
      <c r="AHI73" s="800"/>
      <c r="AHJ73" s="800"/>
      <c r="AHK73" s="800"/>
      <c r="AHL73" s="800"/>
      <c r="AHM73" s="800"/>
      <c r="AHN73" s="705"/>
      <c r="AHO73" s="799"/>
      <c r="AHP73" s="800"/>
      <c r="AHQ73" s="800"/>
      <c r="AHR73" s="800"/>
      <c r="AHS73" s="800"/>
      <c r="AHT73" s="800"/>
      <c r="AHU73" s="705"/>
      <c r="AHV73" s="799"/>
      <c r="AHW73" s="800"/>
      <c r="AHX73" s="800"/>
      <c r="AHY73" s="800"/>
      <c r="AHZ73" s="800"/>
      <c r="AIA73" s="800"/>
      <c r="AIB73" s="705"/>
      <c r="AIC73" s="799"/>
      <c r="AID73" s="800"/>
      <c r="AIE73" s="800"/>
      <c r="AIF73" s="800"/>
      <c r="AIG73" s="800"/>
      <c r="AIH73" s="800"/>
      <c r="AII73" s="705"/>
      <c r="AIJ73" s="799"/>
      <c r="AIK73" s="800"/>
      <c r="AIL73" s="800"/>
      <c r="AIM73" s="800"/>
      <c r="AIN73" s="800"/>
      <c r="AIO73" s="800"/>
      <c r="AIP73" s="705"/>
      <c r="AIQ73" s="799"/>
      <c r="AIR73" s="800"/>
      <c r="AIS73" s="800"/>
      <c r="AIT73" s="800"/>
      <c r="AIU73" s="800"/>
      <c r="AIV73" s="800"/>
      <c r="AIW73" s="705"/>
      <c r="AIX73" s="799"/>
      <c r="AIY73" s="800"/>
      <c r="AIZ73" s="800"/>
      <c r="AJA73" s="800"/>
      <c r="AJB73" s="800"/>
      <c r="AJC73" s="800"/>
      <c r="AJD73" s="705"/>
      <c r="AJE73" s="799"/>
      <c r="AJF73" s="800"/>
      <c r="AJG73" s="800"/>
      <c r="AJH73" s="800"/>
      <c r="AJI73" s="800"/>
      <c r="AJJ73" s="800"/>
      <c r="AJK73" s="705"/>
      <c r="AJL73" s="799"/>
      <c r="AJM73" s="800"/>
      <c r="AJN73" s="800"/>
      <c r="AJO73" s="800"/>
      <c r="AJP73" s="800"/>
      <c r="AJQ73" s="800"/>
      <c r="AJR73" s="705"/>
      <c r="AJS73" s="799"/>
      <c r="AJT73" s="800"/>
      <c r="AJU73" s="800"/>
      <c r="AJV73" s="800"/>
      <c r="AJW73" s="800"/>
      <c r="AJX73" s="800"/>
      <c r="AJY73" s="705"/>
      <c r="AJZ73" s="799"/>
      <c r="AKA73" s="800"/>
      <c r="AKB73" s="800"/>
      <c r="AKC73" s="800"/>
      <c r="AKD73" s="800"/>
      <c r="AKE73" s="800"/>
      <c r="AKF73" s="705"/>
      <c r="AKG73" s="799"/>
      <c r="AKH73" s="800"/>
      <c r="AKI73" s="800"/>
      <c r="AKJ73" s="800"/>
      <c r="AKK73" s="800"/>
      <c r="AKL73" s="800"/>
      <c r="AKM73" s="705"/>
      <c r="AKN73" s="799"/>
      <c r="AKO73" s="800"/>
      <c r="AKP73" s="800"/>
      <c r="AKQ73" s="800"/>
      <c r="AKR73" s="800"/>
      <c r="AKS73" s="800"/>
      <c r="AKT73" s="705"/>
      <c r="AKU73" s="799"/>
      <c r="AKV73" s="800"/>
      <c r="AKW73" s="800"/>
      <c r="AKX73" s="800"/>
      <c r="AKY73" s="800"/>
      <c r="AKZ73" s="800"/>
      <c r="ALA73" s="705"/>
      <c r="ALB73" s="799"/>
      <c r="ALC73" s="800"/>
      <c r="ALD73" s="800"/>
      <c r="ALE73" s="800"/>
      <c r="ALF73" s="800"/>
      <c r="ALG73" s="800"/>
      <c r="ALH73" s="705"/>
      <c r="ALI73" s="799"/>
      <c r="ALJ73" s="800"/>
      <c r="ALK73" s="800"/>
      <c r="ALL73" s="800"/>
      <c r="ALM73" s="800"/>
      <c r="ALN73" s="800"/>
      <c r="ALO73" s="705"/>
      <c r="ALP73" s="799"/>
      <c r="ALQ73" s="800"/>
      <c r="ALR73" s="800"/>
      <c r="ALS73" s="800"/>
      <c r="ALT73" s="800"/>
      <c r="ALU73" s="800"/>
      <c r="ALV73" s="705"/>
      <c r="ALW73" s="799"/>
      <c r="ALX73" s="800"/>
      <c r="ALY73" s="800"/>
      <c r="ALZ73" s="800"/>
      <c r="AMA73" s="800"/>
      <c r="AMB73" s="800"/>
      <c r="AMC73" s="705"/>
      <c r="AMD73" s="799"/>
      <c r="AME73" s="800"/>
      <c r="AMF73" s="800"/>
      <c r="AMG73" s="800"/>
      <c r="AMH73" s="800"/>
      <c r="AMI73" s="800"/>
      <c r="AMJ73" s="705"/>
      <c r="AMK73" s="799"/>
      <c r="AML73" s="800"/>
      <c r="AMM73" s="800"/>
      <c r="AMN73" s="800"/>
      <c r="AMO73" s="800"/>
      <c r="AMP73" s="800"/>
      <c r="AMQ73" s="705"/>
      <c r="AMR73" s="799"/>
      <c r="AMS73" s="800"/>
      <c r="AMT73" s="800"/>
      <c r="AMU73" s="800"/>
      <c r="AMV73" s="800"/>
      <c r="AMW73" s="800"/>
      <c r="AMX73" s="705"/>
      <c r="AMY73" s="799"/>
      <c r="AMZ73" s="800"/>
      <c r="ANA73" s="800"/>
      <c r="ANB73" s="800"/>
      <c r="ANC73" s="800"/>
      <c r="AND73" s="800"/>
      <c r="ANE73" s="705"/>
      <c r="ANF73" s="799"/>
      <c r="ANG73" s="800"/>
      <c r="ANH73" s="800"/>
      <c r="ANI73" s="800"/>
      <c r="ANJ73" s="800"/>
      <c r="ANK73" s="800"/>
      <c r="ANL73" s="705"/>
      <c r="ANM73" s="799"/>
      <c r="ANN73" s="800"/>
      <c r="ANO73" s="800"/>
      <c r="ANP73" s="800"/>
      <c r="ANQ73" s="800"/>
      <c r="ANR73" s="800"/>
      <c r="ANS73" s="705"/>
      <c r="ANT73" s="799"/>
      <c r="ANU73" s="800"/>
      <c r="ANV73" s="800"/>
      <c r="ANW73" s="800"/>
      <c r="ANX73" s="800"/>
      <c r="ANY73" s="800"/>
      <c r="ANZ73" s="705"/>
      <c r="AOA73" s="799"/>
      <c r="AOB73" s="800"/>
      <c r="AOC73" s="800"/>
      <c r="AOD73" s="800"/>
      <c r="AOE73" s="800"/>
      <c r="AOF73" s="800"/>
      <c r="AOG73" s="705"/>
      <c r="AOH73" s="799"/>
      <c r="AOI73" s="800"/>
      <c r="AOJ73" s="800"/>
      <c r="AOK73" s="800"/>
      <c r="AOL73" s="800"/>
      <c r="AOM73" s="800"/>
      <c r="AON73" s="705"/>
      <c r="AOO73" s="799"/>
      <c r="AOP73" s="800"/>
      <c r="AOQ73" s="800"/>
      <c r="AOR73" s="800"/>
      <c r="AOS73" s="800"/>
      <c r="AOT73" s="800"/>
      <c r="AOU73" s="705"/>
      <c r="AOV73" s="799"/>
      <c r="AOW73" s="800"/>
      <c r="AOX73" s="800"/>
      <c r="AOY73" s="800"/>
      <c r="AOZ73" s="800"/>
      <c r="APA73" s="800"/>
      <c r="APB73" s="705"/>
      <c r="APC73" s="799"/>
      <c r="APD73" s="800"/>
      <c r="APE73" s="800"/>
      <c r="APF73" s="800"/>
      <c r="APG73" s="800"/>
      <c r="APH73" s="800"/>
      <c r="API73" s="705"/>
      <c r="APJ73" s="799"/>
      <c r="APK73" s="800"/>
      <c r="APL73" s="800"/>
      <c r="APM73" s="800"/>
      <c r="APN73" s="800"/>
      <c r="APO73" s="800"/>
      <c r="APP73" s="705"/>
      <c r="APQ73" s="799"/>
      <c r="APR73" s="800"/>
      <c r="APS73" s="800"/>
      <c r="APT73" s="800"/>
      <c r="APU73" s="800"/>
      <c r="APV73" s="800"/>
      <c r="APW73" s="705"/>
      <c r="APX73" s="799"/>
      <c r="APY73" s="800"/>
      <c r="APZ73" s="800"/>
      <c r="AQA73" s="800"/>
      <c r="AQB73" s="800"/>
      <c r="AQC73" s="800"/>
      <c r="AQD73" s="705"/>
      <c r="AQE73" s="799"/>
      <c r="AQF73" s="800"/>
      <c r="AQG73" s="800"/>
      <c r="AQH73" s="800"/>
      <c r="AQI73" s="800"/>
      <c r="AQJ73" s="800"/>
      <c r="AQK73" s="705"/>
      <c r="AQL73" s="799"/>
      <c r="AQM73" s="800"/>
      <c r="AQN73" s="800"/>
      <c r="AQO73" s="800"/>
      <c r="AQP73" s="800"/>
      <c r="AQQ73" s="800"/>
      <c r="AQR73" s="705"/>
      <c r="AQS73" s="799"/>
      <c r="AQT73" s="800"/>
      <c r="AQU73" s="800"/>
      <c r="AQV73" s="800"/>
      <c r="AQW73" s="800"/>
      <c r="AQX73" s="800"/>
      <c r="AQY73" s="705"/>
      <c r="AQZ73" s="799"/>
      <c r="ARA73" s="800"/>
      <c r="ARB73" s="800"/>
      <c r="ARC73" s="800"/>
      <c r="ARD73" s="800"/>
      <c r="ARE73" s="800"/>
      <c r="ARF73" s="705"/>
      <c r="ARG73" s="799"/>
      <c r="ARH73" s="800"/>
      <c r="ARI73" s="800"/>
      <c r="ARJ73" s="800"/>
      <c r="ARK73" s="800"/>
      <c r="ARL73" s="800"/>
      <c r="ARM73" s="705"/>
      <c r="ARN73" s="799"/>
      <c r="ARO73" s="800"/>
      <c r="ARP73" s="800"/>
      <c r="ARQ73" s="800"/>
      <c r="ARR73" s="800"/>
      <c r="ARS73" s="800"/>
      <c r="ART73" s="705"/>
      <c r="ARU73" s="799"/>
      <c r="ARV73" s="800"/>
      <c r="ARW73" s="800"/>
      <c r="ARX73" s="800"/>
      <c r="ARY73" s="800"/>
      <c r="ARZ73" s="800"/>
      <c r="ASA73" s="705"/>
      <c r="ASB73" s="799"/>
      <c r="ASC73" s="800"/>
      <c r="ASD73" s="800"/>
      <c r="ASE73" s="800"/>
      <c r="ASF73" s="800"/>
      <c r="ASG73" s="800"/>
      <c r="ASH73" s="705"/>
      <c r="ASI73" s="799"/>
      <c r="ASJ73" s="800"/>
      <c r="ASK73" s="800"/>
      <c r="ASL73" s="800"/>
      <c r="ASM73" s="800"/>
      <c r="ASN73" s="800"/>
      <c r="ASO73" s="705"/>
      <c r="ASP73" s="799"/>
      <c r="ASQ73" s="800"/>
      <c r="ASR73" s="800"/>
      <c r="ASS73" s="800"/>
      <c r="AST73" s="800"/>
      <c r="ASU73" s="800"/>
      <c r="ASV73" s="705"/>
      <c r="ASW73" s="799"/>
      <c r="ASX73" s="800"/>
      <c r="ASY73" s="800"/>
      <c r="ASZ73" s="800"/>
      <c r="ATA73" s="800"/>
      <c r="ATB73" s="800"/>
      <c r="ATC73" s="705"/>
      <c r="ATD73" s="799"/>
      <c r="ATE73" s="800"/>
      <c r="ATF73" s="800"/>
      <c r="ATG73" s="800"/>
      <c r="ATH73" s="800"/>
      <c r="ATI73" s="800"/>
      <c r="ATJ73" s="705"/>
      <c r="ATK73" s="799"/>
      <c r="ATL73" s="800"/>
      <c r="ATM73" s="800"/>
      <c r="ATN73" s="800"/>
      <c r="ATO73" s="800"/>
      <c r="ATP73" s="800"/>
      <c r="ATQ73" s="705"/>
      <c r="ATR73" s="799"/>
      <c r="ATS73" s="800"/>
      <c r="ATT73" s="800"/>
      <c r="ATU73" s="800"/>
      <c r="ATV73" s="800"/>
      <c r="ATW73" s="800"/>
      <c r="ATX73" s="705"/>
      <c r="ATY73" s="799"/>
      <c r="ATZ73" s="800"/>
      <c r="AUA73" s="800"/>
      <c r="AUB73" s="800"/>
      <c r="AUC73" s="800"/>
      <c r="AUD73" s="800"/>
      <c r="AUE73" s="705"/>
      <c r="AUF73" s="799"/>
      <c r="AUG73" s="800"/>
      <c r="AUH73" s="800"/>
      <c r="AUI73" s="800"/>
      <c r="AUJ73" s="800"/>
      <c r="AUK73" s="800"/>
      <c r="AUL73" s="705"/>
      <c r="AUM73" s="799"/>
      <c r="AUN73" s="800"/>
      <c r="AUO73" s="800"/>
      <c r="AUP73" s="800"/>
      <c r="AUQ73" s="800"/>
      <c r="AUR73" s="800"/>
      <c r="AUS73" s="705"/>
      <c r="AUT73" s="799"/>
      <c r="AUU73" s="800"/>
      <c r="AUV73" s="800"/>
      <c r="AUW73" s="800"/>
      <c r="AUX73" s="800"/>
      <c r="AUY73" s="800"/>
      <c r="AUZ73" s="705"/>
      <c r="AVA73" s="799"/>
      <c r="AVB73" s="800"/>
      <c r="AVC73" s="800"/>
      <c r="AVD73" s="800"/>
      <c r="AVE73" s="800"/>
      <c r="AVF73" s="800"/>
      <c r="AVG73" s="705"/>
      <c r="AVH73" s="799"/>
      <c r="AVI73" s="800"/>
      <c r="AVJ73" s="800"/>
      <c r="AVK73" s="800"/>
      <c r="AVL73" s="800"/>
      <c r="AVM73" s="800"/>
      <c r="AVN73" s="705"/>
      <c r="AVO73" s="799"/>
      <c r="AVP73" s="800"/>
      <c r="AVQ73" s="800"/>
      <c r="AVR73" s="800"/>
      <c r="AVS73" s="800"/>
      <c r="AVT73" s="800"/>
      <c r="AVU73" s="705"/>
      <c r="AVV73" s="799"/>
      <c r="AVW73" s="800"/>
      <c r="AVX73" s="800"/>
      <c r="AVY73" s="800"/>
      <c r="AVZ73" s="800"/>
      <c r="AWA73" s="800"/>
      <c r="AWB73" s="705"/>
      <c r="AWC73" s="799"/>
      <c r="AWD73" s="800"/>
      <c r="AWE73" s="800"/>
      <c r="AWF73" s="800"/>
      <c r="AWG73" s="800"/>
      <c r="AWH73" s="800"/>
      <c r="AWI73" s="705"/>
      <c r="AWJ73" s="799"/>
      <c r="AWK73" s="800"/>
      <c r="AWL73" s="800"/>
      <c r="AWM73" s="800"/>
      <c r="AWN73" s="800"/>
      <c r="AWO73" s="800"/>
      <c r="AWP73" s="705"/>
      <c r="AWQ73" s="799"/>
      <c r="AWR73" s="800"/>
      <c r="AWS73" s="800"/>
      <c r="AWT73" s="800"/>
      <c r="AWU73" s="800"/>
      <c r="AWV73" s="800"/>
      <c r="AWW73" s="705"/>
      <c r="AWX73" s="799"/>
      <c r="AWY73" s="800"/>
      <c r="AWZ73" s="800"/>
      <c r="AXA73" s="800"/>
      <c r="AXB73" s="800"/>
      <c r="AXC73" s="800"/>
      <c r="AXD73" s="705"/>
      <c r="AXE73" s="799"/>
      <c r="AXF73" s="800"/>
      <c r="AXG73" s="800"/>
      <c r="AXH73" s="800"/>
      <c r="AXI73" s="800"/>
      <c r="AXJ73" s="800"/>
      <c r="AXK73" s="705"/>
      <c r="AXL73" s="799"/>
      <c r="AXM73" s="800"/>
      <c r="AXN73" s="800"/>
      <c r="AXO73" s="800"/>
      <c r="AXP73" s="800"/>
      <c r="AXQ73" s="800"/>
      <c r="AXR73" s="705"/>
      <c r="AXS73" s="799"/>
      <c r="AXT73" s="800"/>
      <c r="AXU73" s="800"/>
      <c r="AXV73" s="800"/>
      <c r="AXW73" s="800"/>
      <c r="AXX73" s="800"/>
      <c r="AXY73" s="705"/>
      <c r="AXZ73" s="799"/>
      <c r="AYA73" s="800"/>
      <c r="AYB73" s="800"/>
      <c r="AYC73" s="800"/>
      <c r="AYD73" s="800"/>
      <c r="AYE73" s="800"/>
      <c r="AYF73" s="705"/>
      <c r="AYG73" s="799"/>
      <c r="AYH73" s="800"/>
      <c r="AYI73" s="800"/>
      <c r="AYJ73" s="800"/>
      <c r="AYK73" s="800"/>
      <c r="AYL73" s="800"/>
      <c r="AYM73" s="705"/>
      <c r="AYN73" s="799"/>
      <c r="AYO73" s="800"/>
      <c r="AYP73" s="800"/>
      <c r="AYQ73" s="800"/>
      <c r="AYR73" s="800"/>
      <c r="AYS73" s="800"/>
      <c r="AYT73" s="705"/>
      <c r="AYU73" s="799"/>
      <c r="AYV73" s="800"/>
      <c r="AYW73" s="800"/>
      <c r="AYX73" s="800"/>
      <c r="AYY73" s="800"/>
      <c r="AYZ73" s="800"/>
      <c r="AZA73" s="705"/>
      <c r="AZB73" s="799"/>
      <c r="AZC73" s="800"/>
      <c r="AZD73" s="800"/>
      <c r="AZE73" s="800"/>
      <c r="AZF73" s="800"/>
      <c r="AZG73" s="800"/>
      <c r="AZH73" s="705"/>
      <c r="AZI73" s="799"/>
      <c r="AZJ73" s="800"/>
      <c r="AZK73" s="800"/>
      <c r="AZL73" s="800"/>
      <c r="AZM73" s="800"/>
      <c r="AZN73" s="800"/>
      <c r="AZO73" s="705"/>
      <c r="AZP73" s="799"/>
      <c r="AZQ73" s="800"/>
      <c r="AZR73" s="800"/>
      <c r="AZS73" s="800"/>
      <c r="AZT73" s="800"/>
      <c r="AZU73" s="800"/>
      <c r="AZV73" s="705"/>
      <c r="AZW73" s="799"/>
      <c r="AZX73" s="800"/>
      <c r="AZY73" s="800"/>
      <c r="AZZ73" s="800"/>
      <c r="BAA73" s="800"/>
      <c r="BAB73" s="800"/>
      <c r="BAC73" s="705"/>
      <c r="BAD73" s="799"/>
      <c r="BAE73" s="800"/>
      <c r="BAF73" s="800"/>
      <c r="BAG73" s="800"/>
      <c r="BAH73" s="800"/>
      <c r="BAI73" s="800"/>
      <c r="BAJ73" s="705"/>
      <c r="BAK73" s="799"/>
      <c r="BAL73" s="800"/>
      <c r="BAM73" s="800"/>
      <c r="BAN73" s="800"/>
      <c r="BAO73" s="800"/>
      <c r="BAP73" s="800"/>
      <c r="BAQ73" s="705"/>
      <c r="BAR73" s="799"/>
      <c r="BAS73" s="800"/>
      <c r="BAT73" s="800"/>
      <c r="BAU73" s="800"/>
      <c r="BAV73" s="800"/>
      <c r="BAW73" s="800"/>
      <c r="BAX73" s="705"/>
      <c r="BAY73" s="799"/>
      <c r="BAZ73" s="800"/>
      <c r="BBA73" s="800"/>
      <c r="BBB73" s="800"/>
      <c r="BBC73" s="800"/>
      <c r="BBD73" s="800"/>
      <c r="BBE73" s="705"/>
      <c r="BBF73" s="799"/>
      <c r="BBG73" s="800"/>
      <c r="BBH73" s="800"/>
      <c r="BBI73" s="800"/>
      <c r="BBJ73" s="800"/>
      <c r="BBK73" s="800"/>
      <c r="BBL73" s="705"/>
      <c r="BBM73" s="799"/>
      <c r="BBN73" s="800"/>
      <c r="BBO73" s="800"/>
      <c r="BBP73" s="800"/>
      <c r="BBQ73" s="800"/>
      <c r="BBR73" s="800"/>
      <c r="BBS73" s="705"/>
      <c r="BBT73" s="799"/>
      <c r="BBU73" s="800"/>
      <c r="BBV73" s="800"/>
      <c r="BBW73" s="800"/>
      <c r="BBX73" s="800"/>
      <c r="BBY73" s="800"/>
      <c r="BBZ73" s="705"/>
      <c r="BCA73" s="799"/>
      <c r="BCB73" s="800"/>
      <c r="BCC73" s="800"/>
      <c r="BCD73" s="800"/>
      <c r="BCE73" s="800"/>
      <c r="BCF73" s="800"/>
      <c r="BCG73" s="705"/>
      <c r="BCH73" s="799"/>
      <c r="BCI73" s="800"/>
      <c r="BCJ73" s="800"/>
      <c r="BCK73" s="800"/>
      <c r="BCL73" s="800"/>
      <c r="BCM73" s="800"/>
      <c r="BCN73" s="705"/>
      <c r="BCO73" s="799"/>
      <c r="BCP73" s="800"/>
      <c r="BCQ73" s="800"/>
      <c r="BCR73" s="800"/>
      <c r="BCS73" s="800"/>
      <c r="BCT73" s="800"/>
      <c r="BCU73" s="705"/>
      <c r="BCV73" s="799"/>
      <c r="BCW73" s="800"/>
      <c r="BCX73" s="800"/>
      <c r="BCY73" s="800"/>
      <c r="BCZ73" s="800"/>
      <c r="BDA73" s="800"/>
      <c r="BDB73" s="705"/>
      <c r="BDC73" s="799"/>
      <c r="BDD73" s="800"/>
      <c r="BDE73" s="800"/>
      <c r="BDF73" s="800"/>
      <c r="BDG73" s="800"/>
      <c r="BDH73" s="800"/>
      <c r="BDI73" s="705"/>
      <c r="BDJ73" s="799"/>
      <c r="BDK73" s="800"/>
      <c r="BDL73" s="800"/>
      <c r="BDM73" s="800"/>
      <c r="BDN73" s="800"/>
      <c r="BDO73" s="800"/>
      <c r="BDP73" s="705"/>
      <c r="BDQ73" s="799"/>
      <c r="BDR73" s="800"/>
      <c r="BDS73" s="800"/>
      <c r="BDT73" s="800"/>
      <c r="BDU73" s="800"/>
      <c r="BDV73" s="800"/>
      <c r="BDW73" s="705"/>
      <c r="BDX73" s="799"/>
      <c r="BDY73" s="800"/>
      <c r="BDZ73" s="800"/>
      <c r="BEA73" s="800"/>
      <c r="BEB73" s="800"/>
      <c r="BEC73" s="800"/>
      <c r="BED73" s="705"/>
      <c r="BEE73" s="799"/>
      <c r="BEF73" s="800"/>
      <c r="BEG73" s="800"/>
      <c r="BEH73" s="800"/>
      <c r="BEI73" s="800"/>
      <c r="BEJ73" s="800"/>
      <c r="BEK73" s="705"/>
      <c r="BEL73" s="799"/>
      <c r="BEM73" s="800"/>
      <c r="BEN73" s="800"/>
      <c r="BEO73" s="800"/>
      <c r="BEP73" s="800"/>
      <c r="BEQ73" s="800"/>
      <c r="BER73" s="705"/>
      <c r="BES73" s="799"/>
      <c r="BET73" s="800"/>
      <c r="BEU73" s="800"/>
      <c r="BEV73" s="800"/>
      <c r="BEW73" s="800"/>
      <c r="BEX73" s="800"/>
      <c r="BEY73" s="705"/>
      <c r="BEZ73" s="799"/>
      <c r="BFA73" s="800"/>
      <c r="BFB73" s="800"/>
      <c r="BFC73" s="800"/>
      <c r="BFD73" s="800"/>
      <c r="BFE73" s="800"/>
      <c r="BFF73" s="705"/>
      <c r="BFG73" s="799"/>
      <c r="BFH73" s="800"/>
      <c r="BFI73" s="800"/>
      <c r="BFJ73" s="800"/>
      <c r="BFK73" s="800"/>
      <c r="BFL73" s="800"/>
      <c r="BFM73" s="705"/>
      <c r="BFN73" s="799"/>
      <c r="BFO73" s="800"/>
      <c r="BFP73" s="800"/>
      <c r="BFQ73" s="800"/>
      <c r="BFR73" s="800"/>
      <c r="BFS73" s="800"/>
      <c r="BFT73" s="705"/>
      <c r="BFU73" s="799"/>
      <c r="BFV73" s="800"/>
      <c r="BFW73" s="800"/>
      <c r="BFX73" s="800"/>
      <c r="BFY73" s="800"/>
      <c r="BFZ73" s="800"/>
      <c r="BGA73" s="705"/>
      <c r="BGB73" s="799"/>
      <c r="BGC73" s="800"/>
      <c r="BGD73" s="800"/>
      <c r="BGE73" s="800"/>
      <c r="BGF73" s="800"/>
      <c r="BGG73" s="800"/>
      <c r="BGH73" s="705"/>
      <c r="BGI73" s="799"/>
      <c r="BGJ73" s="800"/>
      <c r="BGK73" s="800"/>
      <c r="BGL73" s="800"/>
      <c r="BGM73" s="800"/>
      <c r="BGN73" s="800"/>
      <c r="BGO73" s="705"/>
      <c r="BGP73" s="799"/>
      <c r="BGQ73" s="800"/>
      <c r="BGR73" s="800"/>
      <c r="BGS73" s="800"/>
      <c r="BGT73" s="800"/>
      <c r="BGU73" s="800"/>
      <c r="BGV73" s="705"/>
      <c r="BGW73" s="799"/>
      <c r="BGX73" s="800"/>
      <c r="BGY73" s="800"/>
      <c r="BGZ73" s="800"/>
      <c r="BHA73" s="800"/>
      <c r="BHB73" s="800"/>
      <c r="BHC73" s="705"/>
      <c r="BHD73" s="799"/>
      <c r="BHE73" s="800"/>
      <c r="BHF73" s="800"/>
      <c r="BHG73" s="800"/>
      <c r="BHH73" s="800"/>
      <c r="BHI73" s="800"/>
      <c r="BHJ73" s="705"/>
      <c r="BHK73" s="799"/>
      <c r="BHL73" s="800"/>
      <c r="BHM73" s="800"/>
      <c r="BHN73" s="800"/>
      <c r="BHO73" s="800"/>
      <c r="BHP73" s="800"/>
      <c r="BHQ73" s="705"/>
      <c r="BHR73" s="799"/>
      <c r="BHS73" s="800"/>
      <c r="BHT73" s="800"/>
      <c r="BHU73" s="800"/>
      <c r="BHV73" s="800"/>
      <c r="BHW73" s="800"/>
      <c r="BHX73" s="705"/>
      <c r="BHY73" s="799"/>
      <c r="BHZ73" s="800"/>
      <c r="BIA73" s="800"/>
      <c r="BIB73" s="800"/>
      <c r="BIC73" s="800"/>
      <c r="BID73" s="800"/>
      <c r="BIE73" s="705"/>
      <c r="BIF73" s="799"/>
      <c r="BIG73" s="800"/>
      <c r="BIH73" s="800"/>
      <c r="BII73" s="800"/>
      <c r="BIJ73" s="800"/>
      <c r="BIK73" s="800"/>
      <c r="BIL73" s="705"/>
      <c r="BIM73" s="799"/>
      <c r="BIN73" s="800"/>
      <c r="BIO73" s="800"/>
      <c r="BIP73" s="800"/>
      <c r="BIQ73" s="800"/>
      <c r="BIR73" s="800"/>
      <c r="BIS73" s="705"/>
      <c r="BIT73" s="799"/>
      <c r="BIU73" s="800"/>
      <c r="BIV73" s="800"/>
      <c r="BIW73" s="800"/>
      <c r="BIX73" s="800"/>
      <c r="BIY73" s="800"/>
      <c r="BIZ73" s="705"/>
      <c r="BJA73" s="799"/>
      <c r="BJB73" s="800"/>
      <c r="BJC73" s="800"/>
      <c r="BJD73" s="800"/>
      <c r="BJE73" s="800"/>
      <c r="BJF73" s="800"/>
      <c r="BJG73" s="705"/>
      <c r="BJH73" s="799"/>
      <c r="BJI73" s="800"/>
      <c r="BJJ73" s="800"/>
      <c r="BJK73" s="800"/>
      <c r="BJL73" s="800"/>
      <c r="BJM73" s="800"/>
      <c r="BJN73" s="705"/>
      <c r="BJO73" s="799"/>
      <c r="BJP73" s="800"/>
      <c r="BJQ73" s="800"/>
      <c r="BJR73" s="800"/>
      <c r="BJS73" s="800"/>
      <c r="BJT73" s="800"/>
      <c r="BJU73" s="705"/>
      <c r="BJV73" s="799"/>
      <c r="BJW73" s="800"/>
      <c r="BJX73" s="800"/>
      <c r="BJY73" s="800"/>
      <c r="BJZ73" s="800"/>
      <c r="BKA73" s="800"/>
      <c r="BKB73" s="705"/>
      <c r="BKC73" s="799"/>
      <c r="BKD73" s="800"/>
      <c r="BKE73" s="800"/>
      <c r="BKF73" s="800"/>
      <c r="BKG73" s="800"/>
      <c r="BKH73" s="800"/>
      <c r="BKI73" s="705"/>
      <c r="BKJ73" s="799"/>
      <c r="BKK73" s="800"/>
      <c r="BKL73" s="800"/>
      <c r="BKM73" s="800"/>
      <c r="BKN73" s="800"/>
      <c r="BKO73" s="800"/>
      <c r="BKP73" s="705"/>
      <c r="BKQ73" s="799"/>
      <c r="BKR73" s="800"/>
      <c r="BKS73" s="800"/>
      <c r="BKT73" s="800"/>
      <c r="BKU73" s="800"/>
      <c r="BKV73" s="800"/>
      <c r="BKW73" s="705"/>
      <c r="BKX73" s="799"/>
      <c r="BKY73" s="800"/>
      <c r="BKZ73" s="800"/>
      <c r="BLA73" s="800"/>
      <c r="BLB73" s="800"/>
      <c r="BLC73" s="800"/>
      <c r="BLD73" s="705"/>
      <c r="BLE73" s="799"/>
      <c r="BLF73" s="800"/>
      <c r="BLG73" s="800"/>
      <c r="BLH73" s="800"/>
      <c r="BLI73" s="800"/>
      <c r="BLJ73" s="800"/>
      <c r="BLK73" s="705"/>
      <c r="BLL73" s="799"/>
      <c r="BLM73" s="800"/>
      <c r="BLN73" s="800"/>
      <c r="BLO73" s="800"/>
      <c r="BLP73" s="800"/>
      <c r="BLQ73" s="800"/>
      <c r="BLR73" s="705"/>
      <c r="BLS73" s="799"/>
      <c r="BLT73" s="800"/>
      <c r="BLU73" s="800"/>
      <c r="BLV73" s="800"/>
      <c r="BLW73" s="800"/>
      <c r="BLX73" s="800"/>
      <c r="BLY73" s="705"/>
      <c r="BLZ73" s="799"/>
      <c r="BMA73" s="800"/>
      <c r="BMB73" s="800"/>
      <c r="BMC73" s="800"/>
      <c r="BMD73" s="800"/>
      <c r="BME73" s="800"/>
      <c r="BMF73" s="705"/>
      <c r="BMG73" s="799"/>
      <c r="BMH73" s="800"/>
      <c r="BMI73" s="800"/>
      <c r="BMJ73" s="800"/>
      <c r="BMK73" s="800"/>
      <c r="BML73" s="800"/>
      <c r="BMM73" s="705"/>
      <c r="BMN73" s="799"/>
      <c r="BMO73" s="800"/>
      <c r="BMP73" s="800"/>
      <c r="BMQ73" s="800"/>
      <c r="BMR73" s="800"/>
      <c r="BMS73" s="800"/>
      <c r="BMT73" s="705"/>
      <c r="BMU73" s="799"/>
      <c r="BMV73" s="800"/>
      <c r="BMW73" s="800"/>
      <c r="BMX73" s="800"/>
      <c r="BMY73" s="800"/>
      <c r="BMZ73" s="800"/>
      <c r="BNA73" s="705"/>
      <c r="BNB73" s="799"/>
      <c r="BNC73" s="800"/>
      <c r="BND73" s="800"/>
      <c r="BNE73" s="800"/>
      <c r="BNF73" s="800"/>
      <c r="BNG73" s="800"/>
      <c r="BNH73" s="705"/>
      <c r="BNI73" s="799"/>
      <c r="BNJ73" s="800"/>
      <c r="BNK73" s="800"/>
      <c r="BNL73" s="800"/>
      <c r="BNM73" s="800"/>
      <c r="BNN73" s="800"/>
      <c r="BNO73" s="705"/>
      <c r="BNP73" s="799"/>
      <c r="BNQ73" s="800"/>
      <c r="BNR73" s="800"/>
      <c r="BNS73" s="800"/>
      <c r="BNT73" s="800"/>
      <c r="BNU73" s="800"/>
      <c r="BNV73" s="705"/>
      <c r="BNW73" s="799"/>
      <c r="BNX73" s="800"/>
      <c r="BNY73" s="800"/>
      <c r="BNZ73" s="800"/>
      <c r="BOA73" s="800"/>
      <c r="BOB73" s="800"/>
      <c r="BOC73" s="705"/>
      <c r="BOD73" s="799"/>
      <c r="BOE73" s="800"/>
      <c r="BOF73" s="800"/>
      <c r="BOG73" s="800"/>
      <c r="BOH73" s="800"/>
      <c r="BOI73" s="800"/>
      <c r="BOJ73" s="705"/>
      <c r="BOK73" s="799"/>
      <c r="BOL73" s="800"/>
      <c r="BOM73" s="800"/>
      <c r="BON73" s="800"/>
      <c r="BOO73" s="800"/>
      <c r="BOP73" s="800"/>
      <c r="BOQ73" s="705"/>
      <c r="BOR73" s="799"/>
      <c r="BOS73" s="800"/>
      <c r="BOT73" s="800"/>
      <c r="BOU73" s="800"/>
      <c r="BOV73" s="800"/>
      <c r="BOW73" s="800"/>
      <c r="BOX73" s="705"/>
      <c r="BOY73" s="799"/>
      <c r="BOZ73" s="800"/>
      <c r="BPA73" s="800"/>
      <c r="BPB73" s="800"/>
      <c r="BPC73" s="800"/>
      <c r="BPD73" s="800"/>
      <c r="BPE73" s="705"/>
      <c r="BPF73" s="799"/>
      <c r="BPG73" s="800"/>
      <c r="BPH73" s="800"/>
      <c r="BPI73" s="800"/>
      <c r="BPJ73" s="800"/>
      <c r="BPK73" s="800"/>
      <c r="BPL73" s="705"/>
      <c r="BPM73" s="799"/>
      <c r="BPN73" s="800"/>
      <c r="BPO73" s="800"/>
      <c r="BPP73" s="800"/>
      <c r="BPQ73" s="800"/>
      <c r="BPR73" s="800"/>
      <c r="BPS73" s="705"/>
      <c r="BPT73" s="799"/>
      <c r="BPU73" s="800"/>
      <c r="BPV73" s="800"/>
      <c r="BPW73" s="800"/>
      <c r="BPX73" s="800"/>
      <c r="BPY73" s="800"/>
      <c r="BPZ73" s="705"/>
      <c r="BQA73" s="799"/>
      <c r="BQB73" s="800"/>
      <c r="BQC73" s="800"/>
      <c r="BQD73" s="800"/>
      <c r="BQE73" s="800"/>
      <c r="BQF73" s="800"/>
      <c r="BQG73" s="705"/>
      <c r="BQH73" s="799"/>
      <c r="BQI73" s="800"/>
      <c r="BQJ73" s="800"/>
      <c r="BQK73" s="800"/>
      <c r="BQL73" s="800"/>
      <c r="BQM73" s="800"/>
      <c r="BQN73" s="705"/>
      <c r="BQO73" s="799"/>
      <c r="BQP73" s="800"/>
      <c r="BQQ73" s="800"/>
      <c r="BQR73" s="800"/>
      <c r="BQS73" s="800"/>
      <c r="BQT73" s="800"/>
      <c r="BQU73" s="705"/>
      <c r="BQV73" s="799"/>
      <c r="BQW73" s="800"/>
      <c r="BQX73" s="800"/>
      <c r="BQY73" s="800"/>
      <c r="BQZ73" s="800"/>
      <c r="BRA73" s="800"/>
      <c r="BRB73" s="705"/>
      <c r="BRC73" s="799"/>
      <c r="BRD73" s="800"/>
      <c r="BRE73" s="800"/>
      <c r="BRF73" s="800"/>
      <c r="BRG73" s="800"/>
      <c r="BRH73" s="800"/>
      <c r="BRI73" s="705"/>
      <c r="BRJ73" s="799"/>
      <c r="BRK73" s="800"/>
      <c r="BRL73" s="800"/>
      <c r="BRM73" s="800"/>
      <c r="BRN73" s="800"/>
      <c r="BRO73" s="800"/>
      <c r="BRP73" s="705"/>
      <c r="BRQ73" s="799"/>
      <c r="BRR73" s="800"/>
      <c r="BRS73" s="800"/>
      <c r="BRT73" s="800"/>
      <c r="BRU73" s="800"/>
      <c r="BRV73" s="800"/>
      <c r="BRW73" s="705"/>
      <c r="BRX73" s="799"/>
      <c r="BRY73" s="800"/>
      <c r="BRZ73" s="800"/>
      <c r="BSA73" s="800"/>
      <c r="BSB73" s="800"/>
      <c r="BSC73" s="800"/>
      <c r="BSD73" s="705"/>
      <c r="BSE73" s="799"/>
      <c r="BSF73" s="800"/>
      <c r="BSG73" s="800"/>
      <c r="BSH73" s="800"/>
      <c r="BSI73" s="800"/>
      <c r="BSJ73" s="800"/>
      <c r="BSK73" s="705"/>
      <c r="BSL73" s="799"/>
      <c r="BSM73" s="800"/>
      <c r="BSN73" s="800"/>
      <c r="BSO73" s="800"/>
      <c r="BSP73" s="800"/>
      <c r="BSQ73" s="800"/>
      <c r="BSR73" s="705"/>
      <c r="BSS73" s="799"/>
      <c r="BST73" s="800"/>
      <c r="BSU73" s="800"/>
      <c r="BSV73" s="800"/>
      <c r="BSW73" s="800"/>
      <c r="BSX73" s="800"/>
      <c r="BSY73" s="705"/>
      <c r="BSZ73" s="799"/>
      <c r="BTA73" s="800"/>
      <c r="BTB73" s="800"/>
      <c r="BTC73" s="800"/>
      <c r="BTD73" s="800"/>
      <c r="BTE73" s="800"/>
      <c r="BTF73" s="705"/>
      <c r="BTG73" s="799"/>
      <c r="BTH73" s="800"/>
      <c r="BTI73" s="800"/>
      <c r="BTJ73" s="800"/>
      <c r="BTK73" s="800"/>
      <c r="BTL73" s="800"/>
      <c r="BTM73" s="705"/>
      <c r="BTN73" s="799"/>
      <c r="BTO73" s="800"/>
      <c r="BTP73" s="800"/>
      <c r="BTQ73" s="800"/>
      <c r="BTR73" s="800"/>
      <c r="BTS73" s="800"/>
      <c r="BTT73" s="705"/>
      <c r="BTU73" s="799"/>
      <c r="BTV73" s="800"/>
      <c r="BTW73" s="800"/>
      <c r="BTX73" s="800"/>
      <c r="BTY73" s="800"/>
      <c r="BTZ73" s="800"/>
      <c r="BUA73" s="705"/>
      <c r="BUB73" s="799"/>
      <c r="BUC73" s="800"/>
      <c r="BUD73" s="800"/>
      <c r="BUE73" s="800"/>
      <c r="BUF73" s="800"/>
      <c r="BUG73" s="800"/>
      <c r="BUH73" s="705"/>
      <c r="BUI73" s="799"/>
      <c r="BUJ73" s="800"/>
      <c r="BUK73" s="800"/>
      <c r="BUL73" s="800"/>
      <c r="BUM73" s="800"/>
      <c r="BUN73" s="800"/>
      <c r="BUO73" s="705"/>
      <c r="BUP73" s="799"/>
      <c r="BUQ73" s="800"/>
      <c r="BUR73" s="800"/>
      <c r="BUS73" s="800"/>
      <c r="BUT73" s="800"/>
      <c r="BUU73" s="800"/>
      <c r="BUV73" s="705"/>
      <c r="BUW73" s="799"/>
      <c r="BUX73" s="800"/>
      <c r="BUY73" s="800"/>
      <c r="BUZ73" s="800"/>
      <c r="BVA73" s="800"/>
      <c r="BVB73" s="800"/>
      <c r="BVC73" s="705"/>
      <c r="BVD73" s="799"/>
      <c r="BVE73" s="800"/>
      <c r="BVF73" s="800"/>
      <c r="BVG73" s="800"/>
      <c r="BVH73" s="800"/>
      <c r="BVI73" s="800"/>
      <c r="BVJ73" s="705"/>
      <c r="BVK73" s="799"/>
      <c r="BVL73" s="800"/>
      <c r="BVM73" s="800"/>
      <c r="BVN73" s="800"/>
      <c r="BVO73" s="800"/>
      <c r="BVP73" s="800"/>
      <c r="BVQ73" s="705"/>
      <c r="BVR73" s="799"/>
      <c r="BVS73" s="800"/>
      <c r="BVT73" s="800"/>
      <c r="BVU73" s="800"/>
      <c r="BVV73" s="800"/>
      <c r="BVW73" s="800"/>
      <c r="BVX73" s="705"/>
      <c r="BVY73" s="799"/>
      <c r="BVZ73" s="800"/>
      <c r="BWA73" s="800"/>
      <c r="BWB73" s="800"/>
      <c r="BWC73" s="800"/>
      <c r="BWD73" s="800"/>
      <c r="BWE73" s="705"/>
      <c r="BWF73" s="799"/>
      <c r="BWG73" s="800"/>
      <c r="BWH73" s="800"/>
      <c r="BWI73" s="800"/>
      <c r="BWJ73" s="800"/>
      <c r="BWK73" s="800"/>
      <c r="BWL73" s="705"/>
      <c r="BWM73" s="799"/>
      <c r="BWN73" s="800"/>
      <c r="BWO73" s="800"/>
      <c r="BWP73" s="800"/>
      <c r="BWQ73" s="800"/>
      <c r="BWR73" s="800"/>
      <c r="BWS73" s="705"/>
      <c r="BWT73" s="799"/>
      <c r="BWU73" s="800"/>
      <c r="BWV73" s="800"/>
      <c r="BWW73" s="800"/>
      <c r="BWX73" s="800"/>
      <c r="BWY73" s="800"/>
      <c r="BWZ73" s="705"/>
      <c r="BXA73" s="799"/>
      <c r="BXB73" s="800"/>
      <c r="BXC73" s="800"/>
      <c r="BXD73" s="800"/>
      <c r="BXE73" s="800"/>
      <c r="BXF73" s="800"/>
      <c r="BXG73" s="705"/>
      <c r="BXH73" s="799"/>
      <c r="BXI73" s="800"/>
      <c r="BXJ73" s="800"/>
      <c r="BXK73" s="800"/>
      <c r="BXL73" s="800"/>
      <c r="BXM73" s="800"/>
      <c r="BXN73" s="705"/>
      <c r="BXO73" s="799"/>
      <c r="BXP73" s="800"/>
      <c r="BXQ73" s="800"/>
      <c r="BXR73" s="800"/>
      <c r="BXS73" s="800"/>
      <c r="BXT73" s="800"/>
      <c r="BXU73" s="705"/>
      <c r="BXV73" s="799"/>
      <c r="BXW73" s="800"/>
      <c r="BXX73" s="800"/>
      <c r="BXY73" s="800"/>
      <c r="BXZ73" s="800"/>
      <c r="BYA73" s="800"/>
      <c r="BYB73" s="705"/>
      <c r="BYC73" s="799"/>
      <c r="BYD73" s="800"/>
      <c r="BYE73" s="800"/>
      <c r="BYF73" s="800"/>
      <c r="BYG73" s="800"/>
      <c r="BYH73" s="800"/>
      <c r="BYI73" s="705"/>
      <c r="BYJ73" s="799"/>
      <c r="BYK73" s="800"/>
      <c r="BYL73" s="800"/>
      <c r="BYM73" s="800"/>
      <c r="BYN73" s="800"/>
      <c r="BYO73" s="800"/>
      <c r="BYP73" s="705"/>
      <c r="BYQ73" s="799"/>
      <c r="BYR73" s="800"/>
      <c r="BYS73" s="800"/>
      <c r="BYT73" s="800"/>
      <c r="BYU73" s="800"/>
      <c r="BYV73" s="800"/>
      <c r="BYW73" s="705"/>
      <c r="BYX73" s="799"/>
      <c r="BYY73" s="800"/>
      <c r="BYZ73" s="800"/>
      <c r="BZA73" s="800"/>
      <c r="BZB73" s="800"/>
      <c r="BZC73" s="800"/>
      <c r="BZD73" s="705"/>
      <c r="BZE73" s="799"/>
      <c r="BZF73" s="800"/>
      <c r="BZG73" s="800"/>
      <c r="BZH73" s="800"/>
      <c r="BZI73" s="800"/>
      <c r="BZJ73" s="800"/>
      <c r="BZK73" s="705"/>
      <c r="BZL73" s="799"/>
      <c r="BZM73" s="800"/>
      <c r="BZN73" s="800"/>
      <c r="BZO73" s="800"/>
      <c r="BZP73" s="800"/>
      <c r="BZQ73" s="800"/>
      <c r="BZR73" s="705"/>
      <c r="BZS73" s="799"/>
      <c r="BZT73" s="800"/>
      <c r="BZU73" s="800"/>
      <c r="BZV73" s="800"/>
      <c r="BZW73" s="800"/>
      <c r="BZX73" s="800"/>
      <c r="BZY73" s="705"/>
      <c r="BZZ73" s="799"/>
      <c r="CAA73" s="800"/>
      <c r="CAB73" s="800"/>
      <c r="CAC73" s="800"/>
      <c r="CAD73" s="800"/>
      <c r="CAE73" s="800"/>
      <c r="CAF73" s="705"/>
      <c r="CAG73" s="799"/>
      <c r="CAH73" s="800"/>
      <c r="CAI73" s="800"/>
      <c r="CAJ73" s="800"/>
      <c r="CAK73" s="800"/>
      <c r="CAL73" s="800"/>
      <c r="CAM73" s="705"/>
      <c r="CAN73" s="799"/>
      <c r="CAO73" s="800"/>
      <c r="CAP73" s="800"/>
      <c r="CAQ73" s="800"/>
      <c r="CAR73" s="800"/>
      <c r="CAS73" s="800"/>
      <c r="CAT73" s="705"/>
      <c r="CAU73" s="799"/>
      <c r="CAV73" s="800"/>
      <c r="CAW73" s="800"/>
      <c r="CAX73" s="800"/>
      <c r="CAY73" s="800"/>
      <c r="CAZ73" s="800"/>
      <c r="CBA73" s="705"/>
      <c r="CBB73" s="799"/>
      <c r="CBC73" s="800"/>
      <c r="CBD73" s="800"/>
      <c r="CBE73" s="800"/>
      <c r="CBF73" s="800"/>
      <c r="CBG73" s="800"/>
      <c r="CBH73" s="705"/>
      <c r="CBI73" s="799"/>
      <c r="CBJ73" s="800"/>
      <c r="CBK73" s="800"/>
      <c r="CBL73" s="800"/>
      <c r="CBM73" s="800"/>
      <c r="CBN73" s="800"/>
      <c r="CBO73" s="705"/>
      <c r="CBP73" s="799"/>
      <c r="CBQ73" s="800"/>
      <c r="CBR73" s="800"/>
      <c r="CBS73" s="800"/>
      <c r="CBT73" s="800"/>
      <c r="CBU73" s="800"/>
      <c r="CBV73" s="705"/>
      <c r="CBW73" s="799"/>
      <c r="CBX73" s="800"/>
      <c r="CBY73" s="800"/>
      <c r="CBZ73" s="800"/>
      <c r="CCA73" s="800"/>
      <c r="CCB73" s="800"/>
      <c r="CCC73" s="705"/>
      <c r="CCD73" s="799"/>
      <c r="CCE73" s="800"/>
      <c r="CCF73" s="800"/>
      <c r="CCG73" s="800"/>
      <c r="CCH73" s="800"/>
      <c r="CCI73" s="800"/>
      <c r="CCJ73" s="705"/>
      <c r="CCK73" s="799"/>
      <c r="CCL73" s="800"/>
      <c r="CCM73" s="800"/>
      <c r="CCN73" s="800"/>
      <c r="CCO73" s="800"/>
      <c r="CCP73" s="800"/>
      <c r="CCQ73" s="705"/>
      <c r="CCR73" s="799"/>
      <c r="CCS73" s="800"/>
      <c r="CCT73" s="800"/>
      <c r="CCU73" s="800"/>
      <c r="CCV73" s="800"/>
      <c r="CCW73" s="800"/>
      <c r="CCX73" s="705"/>
      <c r="CCY73" s="799"/>
      <c r="CCZ73" s="800"/>
      <c r="CDA73" s="800"/>
      <c r="CDB73" s="800"/>
      <c r="CDC73" s="800"/>
      <c r="CDD73" s="800"/>
      <c r="CDE73" s="705"/>
      <c r="CDF73" s="799"/>
      <c r="CDG73" s="800"/>
      <c r="CDH73" s="800"/>
      <c r="CDI73" s="800"/>
      <c r="CDJ73" s="800"/>
      <c r="CDK73" s="800"/>
      <c r="CDL73" s="705"/>
      <c r="CDM73" s="799"/>
      <c r="CDN73" s="800"/>
      <c r="CDO73" s="800"/>
      <c r="CDP73" s="800"/>
      <c r="CDQ73" s="800"/>
      <c r="CDR73" s="800"/>
      <c r="CDS73" s="705"/>
      <c r="CDT73" s="799"/>
      <c r="CDU73" s="800"/>
      <c r="CDV73" s="800"/>
      <c r="CDW73" s="800"/>
      <c r="CDX73" s="800"/>
      <c r="CDY73" s="800"/>
      <c r="CDZ73" s="705"/>
      <c r="CEA73" s="799"/>
      <c r="CEB73" s="800"/>
      <c r="CEC73" s="800"/>
      <c r="CED73" s="800"/>
      <c r="CEE73" s="800"/>
      <c r="CEF73" s="800"/>
      <c r="CEG73" s="705"/>
      <c r="CEH73" s="799"/>
      <c r="CEI73" s="800"/>
      <c r="CEJ73" s="800"/>
      <c r="CEK73" s="800"/>
      <c r="CEL73" s="800"/>
      <c r="CEM73" s="800"/>
      <c r="CEN73" s="705"/>
      <c r="CEO73" s="799"/>
      <c r="CEP73" s="800"/>
      <c r="CEQ73" s="800"/>
      <c r="CER73" s="800"/>
      <c r="CES73" s="800"/>
      <c r="CET73" s="800"/>
      <c r="CEU73" s="705"/>
      <c r="CEV73" s="799"/>
      <c r="CEW73" s="800"/>
      <c r="CEX73" s="800"/>
      <c r="CEY73" s="800"/>
      <c r="CEZ73" s="800"/>
      <c r="CFA73" s="800"/>
      <c r="CFB73" s="705"/>
      <c r="CFC73" s="799"/>
      <c r="CFD73" s="800"/>
      <c r="CFE73" s="800"/>
      <c r="CFF73" s="800"/>
      <c r="CFG73" s="800"/>
      <c r="CFH73" s="800"/>
      <c r="CFI73" s="705"/>
      <c r="CFJ73" s="799"/>
      <c r="CFK73" s="800"/>
      <c r="CFL73" s="800"/>
      <c r="CFM73" s="800"/>
      <c r="CFN73" s="800"/>
      <c r="CFO73" s="800"/>
      <c r="CFP73" s="705"/>
      <c r="CFQ73" s="799"/>
      <c r="CFR73" s="800"/>
      <c r="CFS73" s="800"/>
      <c r="CFT73" s="800"/>
      <c r="CFU73" s="800"/>
      <c r="CFV73" s="800"/>
      <c r="CFW73" s="705"/>
      <c r="CFX73" s="799"/>
      <c r="CFY73" s="800"/>
      <c r="CFZ73" s="800"/>
      <c r="CGA73" s="800"/>
      <c r="CGB73" s="800"/>
      <c r="CGC73" s="800"/>
      <c r="CGD73" s="705"/>
      <c r="CGE73" s="799"/>
      <c r="CGF73" s="800"/>
      <c r="CGG73" s="800"/>
      <c r="CGH73" s="800"/>
      <c r="CGI73" s="800"/>
      <c r="CGJ73" s="800"/>
      <c r="CGK73" s="705"/>
      <c r="CGL73" s="799"/>
      <c r="CGM73" s="800"/>
      <c r="CGN73" s="800"/>
      <c r="CGO73" s="800"/>
      <c r="CGP73" s="800"/>
      <c r="CGQ73" s="800"/>
      <c r="CGR73" s="705"/>
      <c r="CGS73" s="799"/>
      <c r="CGT73" s="800"/>
      <c r="CGU73" s="800"/>
      <c r="CGV73" s="800"/>
      <c r="CGW73" s="800"/>
      <c r="CGX73" s="800"/>
      <c r="CGY73" s="705"/>
      <c r="CGZ73" s="799"/>
      <c r="CHA73" s="800"/>
      <c r="CHB73" s="800"/>
      <c r="CHC73" s="800"/>
      <c r="CHD73" s="800"/>
      <c r="CHE73" s="800"/>
      <c r="CHF73" s="705"/>
      <c r="CHG73" s="799"/>
      <c r="CHH73" s="800"/>
      <c r="CHI73" s="800"/>
      <c r="CHJ73" s="800"/>
      <c r="CHK73" s="800"/>
      <c r="CHL73" s="800"/>
      <c r="CHM73" s="705"/>
      <c r="CHN73" s="799"/>
      <c r="CHO73" s="800"/>
      <c r="CHP73" s="800"/>
      <c r="CHQ73" s="800"/>
      <c r="CHR73" s="800"/>
      <c r="CHS73" s="800"/>
      <c r="CHT73" s="705"/>
      <c r="CHU73" s="799"/>
      <c r="CHV73" s="800"/>
      <c r="CHW73" s="800"/>
      <c r="CHX73" s="800"/>
      <c r="CHY73" s="800"/>
      <c r="CHZ73" s="800"/>
      <c r="CIA73" s="705"/>
      <c r="CIB73" s="799"/>
      <c r="CIC73" s="800"/>
      <c r="CID73" s="800"/>
      <c r="CIE73" s="800"/>
      <c r="CIF73" s="800"/>
      <c r="CIG73" s="800"/>
      <c r="CIH73" s="705"/>
      <c r="CII73" s="799"/>
      <c r="CIJ73" s="800"/>
      <c r="CIK73" s="800"/>
      <c r="CIL73" s="800"/>
      <c r="CIM73" s="800"/>
      <c r="CIN73" s="800"/>
      <c r="CIO73" s="705"/>
      <c r="CIP73" s="799"/>
      <c r="CIQ73" s="800"/>
      <c r="CIR73" s="800"/>
      <c r="CIS73" s="800"/>
      <c r="CIT73" s="800"/>
      <c r="CIU73" s="800"/>
      <c r="CIV73" s="705"/>
      <c r="CIW73" s="799"/>
      <c r="CIX73" s="800"/>
      <c r="CIY73" s="800"/>
      <c r="CIZ73" s="800"/>
      <c r="CJA73" s="800"/>
      <c r="CJB73" s="800"/>
      <c r="CJC73" s="705"/>
      <c r="CJD73" s="799"/>
      <c r="CJE73" s="800"/>
      <c r="CJF73" s="800"/>
      <c r="CJG73" s="800"/>
      <c r="CJH73" s="800"/>
      <c r="CJI73" s="800"/>
      <c r="CJJ73" s="705"/>
      <c r="CJK73" s="799"/>
      <c r="CJL73" s="800"/>
      <c r="CJM73" s="800"/>
      <c r="CJN73" s="800"/>
      <c r="CJO73" s="800"/>
      <c r="CJP73" s="800"/>
      <c r="CJQ73" s="705"/>
      <c r="CJR73" s="799"/>
      <c r="CJS73" s="800"/>
      <c r="CJT73" s="800"/>
      <c r="CJU73" s="800"/>
      <c r="CJV73" s="800"/>
      <c r="CJW73" s="800"/>
      <c r="CJX73" s="705"/>
      <c r="CJY73" s="799"/>
      <c r="CJZ73" s="800"/>
      <c r="CKA73" s="800"/>
      <c r="CKB73" s="800"/>
      <c r="CKC73" s="800"/>
      <c r="CKD73" s="800"/>
      <c r="CKE73" s="705"/>
      <c r="CKF73" s="799"/>
      <c r="CKG73" s="800"/>
      <c r="CKH73" s="800"/>
      <c r="CKI73" s="800"/>
      <c r="CKJ73" s="800"/>
      <c r="CKK73" s="800"/>
      <c r="CKL73" s="705"/>
      <c r="CKM73" s="799"/>
      <c r="CKN73" s="800"/>
      <c r="CKO73" s="800"/>
      <c r="CKP73" s="800"/>
      <c r="CKQ73" s="800"/>
      <c r="CKR73" s="800"/>
      <c r="CKS73" s="705"/>
      <c r="CKT73" s="799"/>
      <c r="CKU73" s="800"/>
      <c r="CKV73" s="800"/>
      <c r="CKW73" s="800"/>
      <c r="CKX73" s="800"/>
      <c r="CKY73" s="800"/>
      <c r="CKZ73" s="705"/>
      <c r="CLA73" s="799"/>
      <c r="CLB73" s="800"/>
      <c r="CLC73" s="800"/>
      <c r="CLD73" s="800"/>
      <c r="CLE73" s="800"/>
      <c r="CLF73" s="800"/>
      <c r="CLG73" s="705"/>
      <c r="CLH73" s="799"/>
      <c r="CLI73" s="800"/>
      <c r="CLJ73" s="800"/>
      <c r="CLK73" s="800"/>
      <c r="CLL73" s="800"/>
      <c r="CLM73" s="800"/>
      <c r="CLN73" s="705"/>
      <c r="CLO73" s="799"/>
      <c r="CLP73" s="800"/>
      <c r="CLQ73" s="800"/>
      <c r="CLR73" s="800"/>
      <c r="CLS73" s="800"/>
      <c r="CLT73" s="800"/>
      <c r="CLU73" s="705"/>
      <c r="CLV73" s="799"/>
      <c r="CLW73" s="800"/>
      <c r="CLX73" s="800"/>
      <c r="CLY73" s="800"/>
      <c r="CLZ73" s="800"/>
      <c r="CMA73" s="800"/>
      <c r="CMB73" s="705"/>
      <c r="CMC73" s="799"/>
      <c r="CMD73" s="800"/>
      <c r="CME73" s="800"/>
      <c r="CMF73" s="800"/>
      <c r="CMG73" s="800"/>
      <c r="CMH73" s="800"/>
      <c r="CMI73" s="705"/>
      <c r="CMJ73" s="799"/>
      <c r="CMK73" s="800"/>
      <c r="CML73" s="800"/>
      <c r="CMM73" s="800"/>
      <c r="CMN73" s="800"/>
      <c r="CMO73" s="800"/>
      <c r="CMP73" s="705"/>
      <c r="CMQ73" s="799"/>
      <c r="CMR73" s="800"/>
      <c r="CMS73" s="800"/>
      <c r="CMT73" s="800"/>
      <c r="CMU73" s="800"/>
      <c r="CMV73" s="800"/>
      <c r="CMW73" s="705"/>
      <c r="CMX73" s="799"/>
      <c r="CMY73" s="800"/>
      <c r="CMZ73" s="800"/>
      <c r="CNA73" s="800"/>
      <c r="CNB73" s="800"/>
      <c r="CNC73" s="800"/>
      <c r="CND73" s="705"/>
      <c r="CNE73" s="799"/>
      <c r="CNF73" s="800"/>
      <c r="CNG73" s="800"/>
      <c r="CNH73" s="800"/>
      <c r="CNI73" s="800"/>
      <c r="CNJ73" s="800"/>
      <c r="CNK73" s="705"/>
      <c r="CNL73" s="799"/>
      <c r="CNM73" s="800"/>
      <c r="CNN73" s="800"/>
      <c r="CNO73" s="800"/>
      <c r="CNP73" s="800"/>
      <c r="CNQ73" s="800"/>
      <c r="CNR73" s="705"/>
      <c r="CNS73" s="799"/>
      <c r="CNT73" s="800"/>
      <c r="CNU73" s="800"/>
      <c r="CNV73" s="800"/>
      <c r="CNW73" s="800"/>
      <c r="CNX73" s="800"/>
      <c r="CNY73" s="705"/>
      <c r="CNZ73" s="799"/>
      <c r="COA73" s="800"/>
      <c r="COB73" s="800"/>
      <c r="COC73" s="800"/>
      <c r="COD73" s="800"/>
      <c r="COE73" s="800"/>
      <c r="COF73" s="705"/>
      <c r="COG73" s="799"/>
      <c r="COH73" s="800"/>
      <c r="COI73" s="800"/>
      <c r="COJ73" s="800"/>
      <c r="COK73" s="800"/>
      <c r="COL73" s="800"/>
      <c r="COM73" s="705"/>
      <c r="CON73" s="799"/>
      <c r="COO73" s="800"/>
      <c r="COP73" s="800"/>
      <c r="COQ73" s="800"/>
      <c r="COR73" s="800"/>
      <c r="COS73" s="800"/>
      <c r="COT73" s="705"/>
      <c r="COU73" s="799"/>
      <c r="COV73" s="800"/>
      <c r="COW73" s="800"/>
      <c r="COX73" s="800"/>
      <c r="COY73" s="800"/>
      <c r="COZ73" s="800"/>
      <c r="CPA73" s="705"/>
      <c r="CPB73" s="799"/>
      <c r="CPC73" s="800"/>
      <c r="CPD73" s="800"/>
      <c r="CPE73" s="800"/>
      <c r="CPF73" s="800"/>
      <c r="CPG73" s="800"/>
      <c r="CPH73" s="705"/>
      <c r="CPI73" s="799"/>
      <c r="CPJ73" s="800"/>
      <c r="CPK73" s="800"/>
      <c r="CPL73" s="800"/>
      <c r="CPM73" s="800"/>
      <c r="CPN73" s="800"/>
      <c r="CPO73" s="705"/>
      <c r="CPP73" s="799"/>
      <c r="CPQ73" s="800"/>
      <c r="CPR73" s="800"/>
      <c r="CPS73" s="800"/>
      <c r="CPT73" s="800"/>
      <c r="CPU73" s="800"/>
      <c r="CPV73" s="705"/>
      <c r="CPW73" s="799"/>
      <c r="CPX73" s="800"/>
      <c r="CPY73" s="800"/>
      <c r="CPZ73" s="800"/>
      <c r="CQA73" s="800"/>
      <c r="CQB73" s="800"/>
      <c r="CQC73" s="705"/>
      <c r="CQD73" s="799"/>
      <c r="CQE73" s="800"/>
      <c r="CQF73" s="800"/>
      <c r="CQG73" s="800"/>
      <c r="CQH73" s="800"/>
      <c r="CQI73" s="800"/>
      <c r="CQJ73" s="705"/>
      <c r="CQK73" s="799"/>
      <c r="CQL73" s="800"/>
      <c r="CQM73" s="800"/>
      <c r="CQN73" s="800"/>
      <c r="CQO73" s="800"/>
      <c r="CQP73" s="800"/>
      <c r="CQQ73" s="705"/>
      <c r="CQR73" s="799"/>
      <c r="CQS73" s="800"/>
      <c r="CQT73" s="800"/>
      <c r="CQU73" s="800"/>
      <c r="CQV73" s="800"/>
      <c r="CQW73" s="800"/>
      <c r="CQX73" s="705"/>
      <c r="CQY73" s="799"/>
      <c r="CQZ73" s="800"/>
      <c r="CRA73" s="800"/>
      <c r="CRB73" s="800"/>
      <c r="CRC73" s="800"/>
      <c r="CRD73" s="800"/>
      <c r="CRE73" s="705"/>
      <c r="CRF73" s="799"/>
      <c r="CRG73" s="800"/>
      <c r="CRH73" s="800"/>
      <c r="CRI73" s="800"/>
      <c r="CRJ73" s="800"/>
      <c r="CRK73" s="800"/>
      <c r="CRL73" s="705"/>
      <c r="CRM73" s="799"/>
      <c r="CRN73" s="800"/>
      <c r="CRO73" s="800"/>
      <c r="CRP73" s="800"/>
      <c r="CRQ73" s="800"/>
      <c r="CRR73" s="800"/>
      <c r="CRS73" s="705"/>
      <c r="CRT73" s="799"/>
      <c r="CRU73" s="800"/>
      <c r="CRV73" s="800"/>
      <c r="CRW73" s="800"/>
      <c r="CRX73" s="800"/>
      <c r="CRY73" s="800"/>
      <c r="CRZ73" s="705"/>
      <c r="CSA73" s="799"/>
      <c r="CSB73" s="800"/>
      <c r="CSC73" s="800"/>
      <c r="CSD73" s="800"/>
      <c r="CSE73" s="800"/>
      <c r="CSF73" s="800"/>
      <c r="CSG73" s="705"/>
      <c r="CSH73" s="799"/>
      <c r="CSI73" s="800"/>
      <c r="CSJ73" s="800"/>
      <c r="CSK73" s="800"/>
      <c r="CSL73" s="800"/>
      <c r="CSM73" s="800"/>
      <c r="CSN73" s="705"/>
      <c r="CSO73" s="799"/>
      <c r="CSP73" s="800"/>
      <c r="CSQ73" s="800"/>
      <c r="CSR73" s="800"/>
      <c r="CSS73" s="800"/>
      <c r="CST73" s="800"/>
      <c r="CSU73" s="705"/>
      <c r="CSV73" s="799"/>
      <c r="CSW73" s="800"/>
      <c r="CSX73" s="800"/>
      <c r="CSY73" s="800"/>
      <c r="CSZ73" s="800"/>
      <c r="CTA73" s="800"/>
      <c r="CTB73" s="705"/>
      <c r="CTC73" s="799"/>
      <c r="CTD73" s="800"/>
      <c r="CTE73" s="800"/>
      <c r="CTF73" s="800"/>
      <c r="CTG73" s="800"/>
      <c r="CTH73" s="800"/>
      <c r="CTI73" s="705"/>
      <c r="CTJ73" s="799"/>
      <c r="CTK73" s="800"/>
      <c r="CTL73" s="800"/>
      <c r="CTM73" s="800"/>
      <c r="CTN73" s="800"/>
      <c r="CTO73" s="800"/>
      <c r="CTP73" s="705"/>
      <c r="CTQ73" s="799"/>
      <c r="CTR73" s="800"/>
      <c r="CTS73" s="800"/>
      <c r="CTT73" s="800"/>
      <c r="CTU73" s="800"/>
      <c r="CTV73" s="800"/>
      <c r="CTW73" s="705"/>
      <c r="CTX73" s="799"/>
      <c r="CTY73" s="800"/>
      <c r="CTZ73" s="800"/>
      <c r="CUA73" s="800"/>
      <c r="CUB73" s="800"/>
      <c r="CUC73" s="800"/>
      <c r="CUD73" s="705"/>
      <c r="CUE73" s="799"/>
      <c r="CUF73" s="800"/>
      <c r="CUG73" s="800"/>
      <c r="CUH73" s="800"/>
      <c r="CUI73" s="800"/>
      <c r="CUJ73" s="800"/>
      <c r="CUK73" s="705"/>
      <c r="CUL73" s="799"/>
      <c r="CUM73" s="800"/>
      <c r="CUN73" s="800"/>
      <c r="CUO73" s="800"/>
      <c r="CUP73" s="800"/>
      <c r="CUQ73" s="800"/>
      <c r="CUR73" s="705"/>
      <c r="CUS73" s="799"/>
      <c r="CUT73" s="800"/>
      <c r="CUU73" s="800"/>
      <c r="CUV73" s="800"/>
      <c r="CUW73" s="800"/>
      <c r="CUX73" s="800"/>
      <c r="CUY73" s="705"/>
      <c r="CUZ73" s="799"/>
      <c r="CVA73" s="800"/>
      <c r="CVB73" s="800"/>
      <c r="CVC73" s="800"/>
      <c r="CVD73" s="800"/>
      <c r="CVE73" s="800"/>
      <c r="CVF73" s="705"/>
      <c r="CVG73" s="799"/>
      <c r="CVH73" s="800"/>
      <c r="CVI73" s="800"/>
      <c r="CVJ73" s="800"/>
      <c r="CVK73" s="800"/>
      <c r="CVL73" s="800"/>
      <c r="CVM73" s="705"/>
      <c r="CVN73" s="799"/>
      <c r="CVO73" s="800"/>
      <c r="CVP73" s="800"/>
      <c r="CVQ73" s="800"/>
      <c r="CVR73" s="800"/>
      <c r="CVS73" s="800"/>
      <c r="CVT73" s="705"/>
      <c r="CVU73" s="799"/>
      <c r="CVV73" s="800"/>
      <c r="CVW73" s="800"/>
      <c r="CVX73" s="800"/>
      <c r="CVY73" s="800"/>
      <c r="CVZ73" s="800"/>
      <c r="CWA73" s="705"/>
      <c r="CWB73" s="799"/>
      <c r="CWC73" s="800"/>
      <c r="CWD73" s="800"/>
      <c r="CWE73" s="800"/>
      <c r="CWF73" s="800"/>
      <c r="CWG73" s="800"/>
      <c r="CWH73" s="705"/>
      <c r="CWI73" s="799"/>
      <c r="CWJ73" s="800"/>
      <c r="CWK73" s="800"/>
      <c r="CWL73" s="800"/>
      <c r="CWM73" s="800"/>
      <c r="CWN73" s="800"/>
      <c r="CWO73" s="705"/>
      <c r="CWP73" s="799"/>
      <c r="CWQ73" s="800"/>
      <c r="CWR73" s="800"/>
      <c r="CWS73" s="800"/>
      <c r="CWT73" s="800"/>
      <c r="CWU73" s="800"/>
      <c r="CWV73" s="705"/>
      <c r="CWW73" s="799"/>
      <c r="CWX73" s="800"/>
      <c r="CWY73" s="800"/>
      <c r="CWZ73" s="800"/>
      <c r="CXA73" s="800"/>
      <c r="CXB73" s="800"/>
      <c r="CXC73" s="705"/>
      <c r="CXD73" s="799"/>
      <c r="CXE73" s="800"/>
      <c r="CXF73" s="800"/>
      <c r="CXG73" s="800"/>
      <c r="CXH73" s="800"/>
      <c r="CXI73" s="800"/>
      <c r="CXJ73" s="705"/>
      <c r="CXK73" s="799"/>
      <c r="CXL73" s="800"/>
      <c r="CXM73" s="800"/>
      <c r="CXN73" s="800"/>
      <c r="CXO73" s="800"/>
      <c r="CXP73" s="800"/>
      <c r="CXQ73" s="705"/>
      <c r="CXR73" s="799"/>
      <c r="CXS73" s="800"/>
      <c r="CXT73" s="800"/>
      <c r="CXU73" s="800"/>
      <c r="CXV73" s="800"/>
      <c r="CXW73" s="800"/>
      <c r="CXX73" s="705"/>
      <c r="CXY73" s="799"/>
      <c r="CXZ73" s="800"/>
      <c r="CYA73" s="800"/>
      <c r="CYB73" s="800"/>
      <c r="CYC73" s="800"/>
      <c r="CYD73" s="800"/>
      <c r="CYE73" s="705"/>
      <c r="CYF73" s="799"/>
      <c r="CYG73" s="800"/>
      <c r="CYH73" s="800"/>
      <c r="CYI73" s="800"/>
      <c r="CYJ73" s="800"/>
      <c r="CYK73" s="800"/>
      <c r="CYL73" s="705"/>
      <c r="CYM73" s="799"/>
      <c r="CYN73" s="800"/>
      <c r="CYO73" s="800"/>
      <c r="CYP73" s="800"/>
      <c r="CYQ73" s="800"/>
      <c r="CYR73" s="800"/>
      <c r="CYS73" s="705"/>
      <c r="CYT73" s="799"/>
      <c r="CYU73" s="800"/>
      <c r="CYV73" s="800"/>
      <c r="CYW73" s="800"/>
      <c r="CYX73" s="800"/>
      <c r="CYY73" s="800"/>
      <c r="CYZ73" s="705"/>
      <c r="CZA73" s="799"/>
      <c r="CZB73" s="800"/>
      <c r="CZC73" s="800"/>
      <c r="CZD73" s="800"/>
      <c r="CZE73" s="800"/>
      <c r="CZF73" s="800"/>
      <c r="CZG73" s="705"/>
      <c r="CZH73" s="799"/>
      <c r="CZI73" s="800"/>
      <c r="CZJ73" s="800"/>
      <c r="CZK73" s="800"/>
      <c r="CZL73" s="800"/>
      <c r="CZM73" s="800"/>
      <c r="CZN73" s="705"/>
      <c r="CZO73" s="799"/>
      <c r="CZP73" s="800"/>
      <c r="CZQ73" s="800"/>
      <c r="CZR73" s="800"/>
      <c r="CZS73" s="800"/>
      <c r="CZT73" s="800"/>
      <c r="CZU73" s="705"/>
      <c r="CZV73" s="799"/>
      <c r="CZW73" s="800"/>
      <c r="CZX73" s="800"/>
      <c r="CZY73" s="800"/>
      <c r="CZZ73" s="800"/>
      <c r="DAA73" s="800"/>
      <c r="DAB73" s="705"/>
      <c r="DAC73" s="799"/>
      <c r="DAD73" s="800"/>
      <c r="DAE73" s="800"/>
      <c r="DAF73" s="800"/>
      <c r="DAG73" s="800"/>
      <c r="DAH73" s="800"/>
      <c r="DAI73" s="705"/>
      <c r="DAJ73" s="799"/>
      <c r="DAK73" s="800"/>
      <c r="DAL73" s="800"/>
      <c r="DAM73" s="800"/>
      <c r="DAN73" s="800"/>
      <c r="DAO73" s="800"/>
      <c r="DAP73" s="705"/>
      <c r="DAQ73" s="799"/>
      <c r="DAR73" s="800"/>
      <c r="DAS73" s="800"/>
      <c r="DAT73" s="800"/>
      <c r="DAU73" s="800"/>
      <c r="DAV73" s="800"/>
      <c r="DAW73" s="705"/>
      <c r="DAX73" s="799"/>
      <c r="DAY73" s="800"/>
      <c r="DAZ73" s="800"/>
      <c r="DBA73" s="800"/>
      <c r="DBB73" s="800"/>
      <c r="DBC73" s="800"/>
      <c r="DBD73" s="705"/>
      <c r="DBE73" s="799"/>
      <c r="DBF73" s="800"/>
      <c r="DBG73" s="800"/>
      <c r="DBH73" s="800"/>
      <c r="DBI73" s="800"/>
      <c r="DBJ73" s="800"/>
      <c r="DBK73" s="705"/>
      <c r="DBL73" s="799"/>
      <c r="DBM73" s="800"/>
      <c r="DBN73" s="800"/>
      <c r="DBO73" s="800"/>
      <c r="DBP73" s="800"/>
      <c r="DBQ73" s="800"/>
      <c r="DBR73" s="705"/>
      <c r="DBS73" s="799"/>
      <c r="DBT73" s="800"/>
      <c r="DBU73" s="800"/>
      <c r="DBV73" s="800"/>
      <c r="DBW73" s="800"/>
      <c r="DBX73" s="800"/>
      <c r="DBY73" s="705"/>
      <c r="DBZ73" s="799"/>
      <c r="DCA73" s="800"/>
      <c r="DCB73" s="800"/>
      <c r="DCC73" s="800"/>
      <c r="DCD73" s="800"/>
      <c r="DCE73" s="800"/>
      <c r="DCF73" s="705"/>
      <c r="DCG73" s="799"/>
      <c r="DCH73" s="800"/>
      <c r="DCI73" s="800"/>
      <c r="DCJ73" s="800"/>
      <c r="DCK73" s="800"/>
      <c r="DCL73" s="800"/>
      <c r="DCM73" s="705"/>
      <c r="DCN73" s="799"/>
      <c r="DCO73" s="800"/>
      <c r="DCP73" s="800"/>
      <c r="DCQ73" s="800"/>
      <c r="DCR73" s="800"/>
      <c r="DCS73" s="800"/>
      <c r="DCT73" s="705"/>
      <c r="DCU73" s="799"/>
      <c r="DCV73" s="800"/>
      <c r="DCW73" s="800"/>
      <c r="DCX73" s="800"/>
      <c r="DCY73" s="800"/>
      <c r="DCZ73" s="800"/>
      <c r="DDA73" s="705"/>
      <c r="DDB73" s="799"/>
      <c r="DDC73" s="800"/>
      <c r="DDD73" s="800"/>
      <c r="DDE73" s="800"/>
      <c r="DDF73" s="800"/>
      <c r="DDG73" s="800"/>
      <c r="DDH73" s="705"/>
      <c r="DDI73" s="799"/>
      <c r="DDJ73" s="800"/>
      <c r="DDK73" s="800"/>
      <c r="DDL73" s="800"/>
      <c r="DDM73" s="800"/>
      <c r="DDN73" s="800"/>
      <c r="DDO73" s="705"/>
      <c r="DDP73" s="799"/>
      <c r="DDQ73" s="800"/>
      <c r="DDR73" s="800"/>
      <c r="DDS73" s="800"/>
      <c r="DDT73" s="800"/>
      <c r="DDU73" s="800"/>
      <c r="DDV73" s="705"/>
      <c r="DDW73" s="799"/>
      <c r="DDX73" s="800"/>
      <c r="DDY73" s="800"/>
      <c r="DDZ73" s="800"/>
      <c r="DEA73" s="800"/>
      <c r="DEB73" s="800"/>
      <c r="DEC73" s="705"/>
      <c r="DED73" s="799"/>
      <c r="DEE73" s="800"/>
      <c r="DEF73" s="800"/>
      <c r="DEG73" s="800"/>
      <c r="DEH73" s="800"/>
      <c r="DEI73" s="800"/>
      <c r="DEJ73" s="705"/>
      <c r="DEK73" s="799"/>
      <c r="DEL73" s="800"/>
      <c r="DEM73" s="800"/>
      <c r="DEN73" s="800"/>
      <c r="DEO73" s="800"/>
      <c r="DEP73" s="800"/>
      <c r="DEQ73" s="705"/>
      <c r="DER73" s="799"/>
      <c r="DES73" s="800"/>
      <c r="DET73" s="800"/>
      <c r="DEU73" s="800"/>
      <c r="DEV73" s="800"/>
      <c r="DEW73" s="800"/>
      <c r="DEX73" s="705"/>
      <c r="DEY73" s="799"/>
      <c r="DEZ73" s="800"/>
      <c r="DFA73" s="800"/>
      <c r="DFB73" s="800"/>
      <c r="DFC73" s="800"/>
      <c r="DFD73" s="800"/>
      <c r="DFE73" s="705"/>
      <c r="DFF73" s="799"/>
      <c r="DFG73" s="800"/>
      <c r="DFH73" s="800"/>
      <c r="DFI73" s="800"/>
      <c r="DFJ73" s="800"/>
      <c r="DFK73" s="800"/>
      <c r="DFL73" s="705"/>
      <c r="DFM73" s="799"/>
      <c r="DFN73" s="800"/>
      <c r="DFO73" s="800"/>
      <c r="DFP73" s="800"/>
      <c r="DFQ73" s="800"/>
      <c r="DFR73" s="800"/>
      <c r="DFS73" s="705"/>
      <c r="DFT73" s="799"/>
      <c r="DFU73" s="800"/>
      <c r="DFV73" s="800"/>
      <c r="DFW73" s="800"/>
      <c r="DFX73" s="800"/>
      <c r="DFY73" s="800"/>
      <c r="DFZ73" s="705"/>
      <c r="DGA73" s="799"/>
      <c r="DGB73" s="800"/>
      <c r="DGC73" s="800"/>
      <c r="DGD73" s="800"/>
      <c r="DGE73" s="800"/>
      <c r="DGF73" s="800"/>
      <c r="DGG73" s="705"/>
      <c r="DGH73" s="799"/>
      <c r="DGI73" s="800"/>
      <c r="DGJ73" s="800"/>
      <c r="DGK73" s="800"/>
      <c r="DGL73" s="800"/>
      <c r="DGM73" s="800"/>
      <c r="DGN73" s="705"/>
      <c r="DGO73" s="799"/>
      <c r="DGP73" s="800"/>
      <c r="DGQ73" s="800"/>
      <c r="DGR73" s="800"/>
      <c r="DGS73" s="800"/>
      <c r="DGT73" s="800"/>
      <c r="DGU73" s="705"/>
      <c r="DGV73" s="799"/>
      <c r="DGW73" s="800"/>
      <c r="DGX73" s="800"/>
      <c r="DGY73" s="800"/>
      <c r="DGZ73" s="800"/>
      <c r="DHA73" s="800"/>
      <c r="DHB73" s="705"/>
      <c r="DHC73" s="799"/>
      <c r="DHD73" s="800"/>
      <c r="DHE73" s="800"/>
      <c r="DHF73" s="800"/>
      <c r="DHG73" s="800"/>
      <c r="DHH73" s="800"/>
      <c r="DHI73" s="705"/>
      <c r="DHJ73" s="799"/>
      <c r="DHK73" s="800"/>
      <c r="DHL73" s="800"/>
      <c r="DHM73" s="800"/>
      <c r="DHN73" s="800"/>
      <c r="DHO73" s="800"/>
      <c r="DHP73" s="705"/>
      <c r="DHQ73" s="799"/>
      <c r="DHR73" s="800"/>
      <c r="DHS73" s="800"/>
      <c r="DHT73" s="800"/>
      <c r="DHU73" s="800"/>
      <c r="DHV73" s="800"/>
      <c r="DHW73" s="705"/>
      <c r="DHX73" s="799"/>
      <c r="DHY73" s="800"/>
      <c r="DHZ73" s="800"/>
      <c r="DIA73" s="800"/>
      <c r="DIB73" s="800"/>
      <c r="DIC73" s="800"/>
      <c r="DID73" s="705"/>
      <c r="DIE73" s="799"/>
      <c r="DIF73" s="800"/>
      <c r="DIG73" s="800"/>
      <c r="DIH73" s="800"/>
      <c r="DII73" s="800"/>
      <c r="DIJ73" s="800"/>
      <c r="DIK73" s="705"/>
      <c r="DIL73" s="799"/>
      <c r="DIM73" s="800"/>
      <c r="DIN73" s="800"/>
      <c r="DIO73" s="800"/>
      <c r="DIP73" s="800"/>
      <c r="DIQ73" s="800"/>
      <c r="DIR73" s="705"/>
      <c r="DIS73" s="799"/>
      <c r="DIT73" s="800"/>
      <c r="DIU73" s="800"/>
      <c r="DIV73" s="800"/>
      <c r="DIW73" s="800"/>
      <c r="DIX73" s="800"/>
      <c r="DIY73" s="705"/>
      <c r="DIZ73" s="799"/>
      <c r="DJA73" s="800"/>
      <c r="DJB73" s="800"/>
      <c r="DJC73" s="800"/>
      <c r="DJD73" s="800"/>
      <c r="DJE73" s="800"/>
      <c r="DJF73" s="705"/>
      <c r="DJG73" s="799"/>
      <c r="DJH73" s="800"/>
      <c r="DJI73" s="800"/>
      <c r="DJJ73" s="800"/>
      <c r="DJK73" s="800"/>
      <c r="DJL73" s="800"/>
      <c r="DJM73" s="705"/>
      <c r="DJN73" s="799"/>
      <c r="DJO73" s="800"/>
      <c r="DJP73" s="800"/>
      <c r="DJQ73" s="800"/>
      <c r="DJR73" s="800"/>
      <c r="DJS73" s="800"/>
      <c r="DJT73" s="705"/>
      <c r="DJU73" s="799"/>
      <c r="DJV73" s="800"/>
      <c r="DJW73" s="800"/>
      <c r="DJX73" s="800"/>
      <c r="DJY73" s="800"/>
      <c r="DJZ73" s="800"/>
      <c r="DKA73" s="705"/>
      <c r="DKB73" s="799"/>
      <c r="DKC73" s="800"/>
      <c r="DKD73" s="800"/>
      <c r="DKE73" s="800"/>
      <c r="DKF73" s="800"/>
      <c r="DKG73" s="800"/>
      <c r="DKH73" s="705"/>
      <c r="DKI73" s="799"/>
      <c r="DKJ73" s="800"/>
      <c r="DKK73" s="800"/>
      <c r="DKL73" s="800"/>
      <c r="DKM73" s="800"/>
      <c r="DKN73" s="800"/>
      <c r="DKO73" s="705"/>
      <c r="DKP73" s="799"/>
      <c r="DKQ73" s="800"/>
      <c r="DKR73" s="800"/>
      <c r="DKS73" s="800"/>
      <c r="DKT73" s="800"/>
      <c r="DKU73" s="800"/>
      <c r="DKV73" s="705"/>
      <c r="DKW73" s="799"/>
      <c r="DKX73" s="800"/>
      <c r="DKY73" s="800"/>
      <c r="DKZ73" s="800"/>
      <c r="DLA73" s="800"/>
      <c r="DLB73" s="800"/>
      <c r="DLC73" s="705"/>
      <c r="DLD73" s="799"/>
      <c r="DLE73" s="800"/>
      <c r="DLF73" s="800"/>
      <c r="DLG73" s="800"/>
      <c r="DLH73" s="800"/>
      <c r="DLI73" s="800"/>
      <c r="DLJ73" s="705"/>
      <c r="DLK73" s="799"/>
      <c r="DLL73" s="800"/>
      <c r="DLM73" s="800"/>
      <c r="DLN73" s="800"/>
      <c r="DLO73" s="800"/>
      <c r="DLP73" s="800"/>
      <c r="DLQ73" s="705"/>
      <c r="DLR73" s="799"/>
      <c r="DLS73" s="800"/>
      <c r="DLT73" s="800"/>
      <c r="DLU73" s="800"/>
      <c r="DLV73" s="800"/>
      <c r="DLW73" s="800"/>
      <c r="DLX73" s="705"/>
      <c r="DLY73" s="799"/>
      <c r="DLZ73" s="800"/>
      <c r="DMA73" s="800"/>
      <c r="DMB73" s="800"/>
      <c r="DMC73" s="800"/>
      <c r="DMD73" s="800"/>
      <c r="DME73" s="705"/>
      <c r="DMF73" s="799"/>
      <c r="DMG73" s="800"/>
      <c r="DMH73" s="800"/>
      <c r="DMI73" s="800"/>
      <c r="DMJ73" s="800"/>
      <c r="DMK73" s="800"/>
      <c r="DML73" s="705"/>
      <c r="DMM73" s="799"/>
      <c r="DMN73" s="800"/>
      <c r="DMO73" s="800"/>
      <c r="DMP73" s="800"/>
      <c r="DMQ73" s="800"/>
      <c r="DMR73" s="800"/>
      <c r="DMS73" s="705"/>
      <c r="DMT73" s="799"/>
      <c r="DMU73" s="800"/>
      <c r="DMV73" s="800"/>
      <c r="DMW73" s="800"/>
      <c r="DMX73" s="800"/>
      <c r="DMY73" s="800"/>
      <c r="DMZ73" s="705"/>
      <c r="DNA73" s="799"/>
      <c r="DNB73" s="800"/>
      <c r="DNC73" s="800"/>
      <c r="DND73" s="800"/>
      <c r="DNE73" s="800"/>
      <c r="DNF73" s="800"/>
      <c r="DNG73" s="705"/>
      <c r="DNH73" s="799"/>
      <c r="DNI73" s="800"/>
      <c r="DNJ73" s="800"/>
      <c r="DNK73" s="800"/>
      <c r="DNL73" s="800"/>
      <c r="DNM73" s="800"/>
      <c r="DNN73" s="705"/>
      <c r="DNO73" s="799"/>
      <c r="DNP73" s="800"/>
      <c r="DNQ73" s="800"/>
      <c r="DNR73" s="800"/>
      <c r="DNS73" s="800"/>
      <c r="DNT73" s="800"/>
      <c r="DNU73" s="705"/>
      <c r="DNV73" s="799"/>
      <c r="DNW73" s="800"/>
      <c r="DNX73" s="800"/>
      <c r="DNY73" s="800"/>
      <c r="DNZ73" s="800"/>
      <c r="DOA73" s="800"/>
      <c r="DOB73" s="705"/>
      <c r="DOC73" s="799"/>
      <c r="DOD73" s="800"/>
      <c r="DOE73" s="800"/>
      <c r="DOF73" s="800"/>
      <c r="DOG73" s="800"/>
      <c r="DOH73" s="800"/>
      <c r="DOI73" s="705"/>
      <c r="DOJ73" s="799"/>
      <c r="DOK73" s="800"/>
      <c r="DOL73" s="800"/>
      <c r="DOM73" s="800"/>
      <c r="DON73" s="800"/>
      <c r="DOO73" s="800"/>
      <c r="DOP73" s="705"/>
      <c r="DOQ73" s="799"/>
      <c r="DOR73" s="800"/>
      <c r="DOS73" s="800"/>
      <c r="DOT73" s="800"/>
      <c r="DOU73" s="800"/>
      <c r="DOV73" s="800"/>
      <c r="DOW73" s="705"/>
      <c r="DOX73" s="799"/>
      <c r="DOY73" s="800"/>
      <c r="DOZ73" s="800"/>
      <c r="DPA73" s="800"/>
      <c r="DPB73" s="800"/>
      <c r="DPC73" s="800"/>
      <c r="DPD73" s="705"/>
      <c r="DPE73" s="799"/>
      <c r="DPF73" s="800"/>
      <c r="DPG73" s="800"/>
      <c r="DPH73" s="800"/>
      <c r="DPI73" s="800"/>
      <c r="DPJ73" s="800"/>
      <c r="DPK73" s="705"/>
      <c r="DPL73" s="799"/>
      <c r="DPM73" s="800"/>
      <c r="DPN73" s="800"/>
      <c r="DPO73" s="800"/>
      <c r="DPP73" s="800"/>
      <c r="DPQ73" s="800"/>
      <c r="DPR73" s="705"/>
      <c r="DPS73" s="799"/>
      <c r="DPT73" s="800"/>
      <c r="DPU73" s="800"/>
      <c r="DPV73" s="800"/>
      <c r="DPW73" s="800"/>
      <c r="DPX73" s="800"/>
      <c r="DPY73" s="705"/>
      <c r="DPZ73" s="799"/>
      <c r="DQA73" s="800"/>
      <c r="DQB73" s="800"/>
      <c r="DQC73" s="800"/>
      <c r="DQD73" s="800"/>
      <c r="DQE73" s="800"/>
      <c r="DQF73" s="705"/>
      <c r="DQG73" s="799"/>
      <c r="DQH73" s="800"/>
      <c r="DQI73" s="800"/>
      <c r="DQJ73" s="800"/>
      <c r="DQK73" s="800"/>
      <c r="DQL73" s="800"/>
      <c r="DQM73" s="705"/>
      <c r="DQN73" s="799"/>
      <c r="DQO73" s="800"/>
      <c r="DQP73" s="800"/>
      <c r="DQQ73" s="800"/>
      <c r="DQR73" s="800"/>
      <c r="DQS73" s="800"/>
      <c r="DQT73" s="705"/>
      <c r="DQU73" s="799"/>
      <c r="DQV73" s="800"/>
      <c r="DQW73" s="800"/>
      <c r="DQX73" s="800"/>
      <c r="DQY73" s="800"/>
      <c r="DQZ73" s="800"/>
      <c r="DRA73" s="705"/>
      <c r="DRB73" s="799"/>
      <c r="DRC73" s="800"/>
      <c r="DRD73" s="800"/>
      <c r="DRE73" s="800"/>
      <c r="DRF73" s="800"/>
      <c r="DRG73" s="800"/>
      <c r="DRH73" s="705"/>
      <c r="DRI73" s="799"/>
      <c r="DRJ73" s="800"/>
      <c r="DRK73" s="800"/>
      <c r="DRL73" s="800"/>
      <c r="DRM73" s="800"/>
      <c r="DRN73" s="800"/>
      <c r="DRO73" s="705"/>
      <c r="DRP73" s="799"/>
      <c r="DRQ73" s="800"/>
      <c r="DRR73" s="800"/>
      <c r="DRS73" s="800"/>
      <c r="DRT73" s="800"/>
      <c r="DRU73" s="800"/>
      <c r="DRV73" s="705"/>
      <c r="DRW73" s="799"/>
      <c r="DRX73" s="800"/>
      <c r="DRY73" s="800"/>
      <c r="DRZ73" s="800"/>
      <c r="DSA73" s="800"/>
      <c r="DSB73" s="800"/>
      <c r="DSC73" s="705"/>
      <c r="DSD73" s="799"/>
      <c r="DSE73" s="800"/>
      <c r="DSF73" s="800"/>
      <c r="DSG73" s="800"/>
      <c r="DSH73" s="800"/>
      <c r="DSI73" s="800"/>
      <c r="DSJ73" s="705"/>
      <c r="DSK73" s="799"/>
      <c r="DSL73" s="800"/>
      <c r="DSM73" s="800"/>
      <c r="DSN73" s="800"/>
      <c r="DSO73" s="800"/>
      <c r="DSP73" s="800"/>
      <c r="DSQ73" s="705"/>
      <c r="DSR73" s="799"/>
      <c r="DSS73" s="800"/>
      <c r="DST73" s="800"/>
      <c r="DSU73" s="800"/>
      <c r="DSV73" s="800"/>
      <c r="DSW73" s="800"/>
      <c r="DSX73" s="705"/>
      <c r="DSY73" s="799"/>
      <c r="DSZ73" s="800"/>
      <c r="DTA73" s="800"/>
      <c r="DTB73" s="800"/>
      <c r="DTC73" s="800"/>
      <c r="DTD73" s="800"/>
      <c r="DTE73" s="705"/>
      <c r="DTF73" s="799"/>
      <c r="DTG73" s="800"/>
      <c r="DTH73" s="800"/>
      <c r="DTI73" s="800"/>
      <c r="DTJ73" s="800"/>
      <c r="DTK73" s="800"/>
      <c r="DTL73" s="705"/>
      <c r="DTM73" s="799"/>
      <c r="DTN73" s="800"/>
      <c r="DTO73" s="800"/>
      <c r="DTP73" s="800"/>
      <c r="DTQ73" s="800"/>
      <c r="DTR73" s="800"/>
      <c r="DTS73" s="705"/>
      <c r="DTT73" s="799"/>
      <c r="DTU73" s="800"/>
      <c r="DTV73" s="800"/>
      <c r="DTW73" s="800"/>
      <c r="DTX73" s="800"/>
      <c r="DTY73" s="800"/>
      <c r="DTZ73" s="705"/>
      <c r="DUA73" s="799"/>
      <c r="DUB73" s="800"/>
      <c r="DUC73" s="800"/>
      <c r="DUD73" s="800"/>
      <c r="DUE73" s="800"/>
      <c r="DUF73" s="800"/>
      <c r="DUG73" s="705"/>
      <c r="DUH73" s="799"/>
      <c r="DUI73" s="800"/>
      <c r="DUJ73" s="800"/>
      <c r="DUK73" s="800"/>
      <c r="DUL73" s="800"/>
      <c r="DUM73" s="800"/>
      <c r="DUN73" s="705"/>
      <c r="DUO73" s="799"/>
      <c r="DUP73" s="800"/>
      <c r="DUQ73" s="800"/>
      <c r="DUR73" s="800"/>
      <c r="DUS73" s="800"/>
      <c r="DUT73" s="800"/>
      <c r="DUU73" s="705"/>
      <c r="DUV73" s="799"/>
      <c r="DUW73" s="800"/>
      <c r="DUX73" s="800"/>
      <c r="DUY73" s="800"/>
      <c r="DUZ73" s="800"/>
      <c r="DVA73" s="800"/>
      <c r="DVB73" s="705"/>
      <c r="DVC73" s="799"/>
      <c r="DVD73" s="800"/>
      <c r="DVE73" s="800"/>
      <c r="DVF73" s="800"/>
      <c r="DVG73" s="800"/>
      <c r="DVH73" s="800"/>
      <c r="DVI73" s="705"/>
      <c r="DVJ73" s="799"/>
      <c r="DVK73" s="800"/>
      <c r="DVL73" s="800"/>
      <c r="DVM73" s="800"/>
      <c r="DVN73" s="800"/>
      <c r="DVO73" s="800"/>
      <c r="DVP73" s="705"/>
      <c r="DVQ73" s="799"/>
      <c r="DVR73" s="800"/>
      <c r="DVS73" s="800"/>
      <c r="DVT73" s="800"/>
      <c r="DVU73" s="800"/>
      <c r="DVV73" s="800"/>
      <c r="DVW73" s="705"/>
      <c r="DVX73" s="799"/>
      <c r="DVY73" s="800"/>
      <c r="DVZ73" s="800"/>
      <c r="DWA73" s="800"/>
      <c r="DWB73" s="800"/>
      <c r="DWC73" s="800"/>
      <c r="DWD73" s="705"/>
      <c r="DWE73" s="799"/>
      <c r="DWF73" s="800"/>
      <c r="DWG73" s="800"/>
      <c r="DWH73" s="800"/>
      <c r="DWI73" s="800"/>
      <c r="DWJ73" s="800"/>
      <c r="DWK73" s="705"/>
      <c r="DWL73" s="799"/>
      <c r="DWM73" s="800"/>
      <c r="DWN73" s="800"/>
      <c r="DWO73" s="800"/>
      <c r="DWP73" s="800"/>
      <c r="DWQ73" s="800"/>
      <c r="DWR73" s="705"/>
      <c r="DWS73" s="799"/>
      <c r="DWT73" s="800"/>
      <c r="DWU73" s="800"/>
      <c r="DWV73" s="800"/>
      <c r="DWW73" s="800"/>
      <c r="DWX73" s="800"/>
      <c r="DWY73" s="705"/>
      <c r="DWZ73" s="799"/>
      <c r="DXA73" s="800"/>
      <c r="DXB73" s="800"/>
      <c r="DXC73" s="800"/>
      <c r="DXD73" s="800"/>
      <c r="DXE73" s="800"/>
      <c r="DXF73" s="705"/>
      <c r="DXG73" s="799"/>
      <c r="DXH73" s="800"/>
      <c r="DXI73" s="800"/>
      <c r="DXJ73" s="800"/>
      <c r="DXK73" s="800"/>
      <c r="DXL73" s="800"/>
      <c r="DXM73" s="705"/>
      <c r="DXN73" s="799"/>
      <c r="DXO73" s="800"/>
      <c r="DXP73" s="800"/>
      <c r="DXQ73" s="800"/>
      <c r="DXR73" s="800"/>
      <c r="DXS73" s="800"/>
      <c r="DXT73" s="705"/>
      <c r="DXU73" s="799"/>
      <c r="DXV73" s="800"/>
      <c r="DXW73" s="800"/>
      <c r="DXX73" s="800"/>
      <c r="DXY73" s="800"/>
      <c r="DXZ73" s="800"/>
      <c r="DYA73" s="705"/>
      <c r="DYB73" s="799"/>
      <c r="DYC73" s="800"/>
      <c r="DYD73" s="800"/>
      <c r="DYE73" s="800"/>
      <c r="DYF73" s="800"/>
      <c r="DYG73" s="800"/>
      <c r="DYH73" s="705"/>
      <c r="DYI73" s="799"/>
      <c r="DYJ73" s="800"/>
      <c r="DYK73" s="800"/>
      <c r="DYL73" s="800"/>
      <c r="DYM73" s="800"/>
      <c r="DYN73" s="800"/>
      <c r="DYO73" s="705"/>
      <c r="DYP73" s="799"/>
      <c r="DYQ73" s="800"/>
      <c r="DYR73" s="800"/>
      <c r="DYS73" s="800"/>
      <c r="DYT73" s="800"/>
      <c r="DYU73" s="800"/>
      <c r="DYV73" s="705"/>
      <c r="DYW73" s="799"/>
      <c r="DYX73" s="800"/>
      <c r="DYY73" s="800"/>
      <c r="DYZ73" s="800"/>
      <c r="DZA73" s="800"/>
      <c r="DZB73" s="800"/>
      <c r="DZC73" s="705"/>
      <c r="DZD73" s="799"/>
      <c r="DZE73" s="800"/>
      <c r="DZF73" s="800"/>
      <c r="DZG73" s="800"/>
      <c r="DZH73" s="800"/>
      <c r="DZI73" s="800"/>
      <c r="DZJ73" s="705"/>
      <c r="DZK73" s="799"/>
      <c r="DZL73" s="800"/>
      <c r="DZM73" s="800"/>
      <c r="DZN73" s="800"/>
      <c r="DZO73" s="800"/>
      <c r="DZP73" s="800"/>
      <c r="DZQ73" s="705"/>
      <c r="DZR73" s="799"/>
      <c r="DZS73" s="800"/>
      <c r="DZT73" s="800"/>
      <c r="DZU73" s="800"/>
      <c r="DZV73" s="800"/>
      <c r="DZW73" s="800"/>
      <c r="DZX73" s="705"/>
      <c r="DZY73" s="799"/>
      <c r="DZZ73" s="800"/>
      <c r="EAA73" s="800"/>
      <c r="EAB73" s="800"/>
      <c r="EAC73" s="800"/>
      <c r="EAD73" s="800"/>
      <c r="EAE73" s="705"/>
      <c r="EAF73" s="799"/>
      <c r="EAG73" s="800"/>
      <c r="EAH73" s="800"/>
      <c r="EAI73" s="800"/>
      <c r="EAJ73" s="800"/>
      <c r="EAK73" s="800"/>
      <c r="EAL73" s="705"/>
      <c r="EAM73" s="799"/>
      <c r="EAN73" s="800"/>
      <c r="EAO73" s="800"/>
      <c r="EAP73" s="800"/>
      <c r="EAQ73" s="800"/>
      <c r="EAR73" s="800"/>
      <c r="EAS73" s="705"/>
      <c r="EAT73" s="799"/>
      <c r="EAU73" s="800"/>
      <c r="EAV73" s="800"/>
      <c r="EAW73" s="800"/>
      <c r="EAX73" s="800"/>
      <c r="EAY73" s="800"/>
      <c r="EAZ73" s="705"/>
      <c r="EBA73" s="799"/>
      <c r="EBB73" s="800"/>
      <c r="EBC73" s="800"/>
      <c r="EBD73" s="800"/>
      <c r="EBE73" s="800"/>
      <c r="EBF73" s="800"/>
      <c r="EBG73" s="705"/>
      <c r="EBH73" s="799"/>
      <c r="EBI73" s="800"/>
      <c r="EBJ73" s="800"/>
      <c r="EBK73" s="800"/>
      <c r="EBL73" s="800"/>
      <c r="EBM73" s="800"/>
      <c r="EBN73" s="705"/>
      <c r="EBO73" s="799"/>
      <c r="EBP73" s="800"/>
      <c r="EBQ73" s="800"/>
      <c r="EBR73" s="800"/>
      <c r="EBS73" s="800"/>
      <c r="EBT73" s="800"/>
      <c r="EBU73" s="705"/>
      <c r="EBV73" s="799"/>
      <c r="EBW73" s="800"/>
      <c r="EBX73" s="800"/>
      <c r="EBY73" s="800"/>
      <c r="EBZ73" s="800"/>
      <c r="ECA73" s="800"/>
      <c r="ECB73" s="705"/>
      <c r="ECC73" s="799"/>
      <c r="ECD73" s="800"/>
      <c r="ECE73" s="800"/>
      <c r="ECF73" s="800"/>
      <c r="ECG73" s="800"/>
      <c r="ECH73" s="800"/>
      <c r="ECI73" s="705"/>
      <c r="ECJ73" s="799"/>
      <c r="ECK73" s="800"/>
      <c r="ECL73" s="800"/>
      <c r="ECM73" s="800"/>
      <c r="ECN73" s="800"/>
      <c r="ECO73" s="800"/>
      <c r="ECP73" s="705"/>
      <c r="ECQ73" s="799"/>
      <c r="ECR73" s="800"/>
      <c r="ECS73" s="800"/>
      <c r="ECT73" s="800"/>
      <c r="ECU73" s="800"/>
      <c r="ECV73" s="800"/>
      <c r="ECW73" s="705"/>
      <c r="ECX73" s="799"/>
      <c r="ECY73" s="800"/>
      <c r="ECZ73" s="800"/>
      <c r="EDA73" s="800"/>
      <c r="EDB73" s="800"/>
      <c r="EDC73" s="800"/>
      <c r="EDD73" s="705"/>
      <c r="EDE73" s="799"/>
      <c r="EDF73" s="800"/>
      <c r="EDG73" s="800"/>
      <c r="EDH73" s="800"/>
      <c r="EDI73" s="800"/>
      <c r="EDJ73" s="800"/>
      <c r="EDK73" s="705"/>
      <c r="EDL73" s="799"/>
      <c r="EDM73" s="800"/>
      <c r="EDN73" s="800"/>
      <c r="EDO73" s="800"/>
      <c r="EDP73" s="800"/>
      <c r="EDQ73" s="800"/>
      <c r="EDR73" s="705"/>
      <c r="EDS73" s="799"/>
      <c r="EDT73" s="800"/>
      <c r="EDU73" s="800"/>
      <c r="EDV73" s="800"/>
      <c r="EDW73" s="800"/>
      <c r="EDX73" s="800"/>
      <c r="EDY73" s="705"/>
      <c r="EDZ73" s="799"/>
      <c r="EEA73" s="800"/>
      <c r="EEB73" s="800"/>
      <c r="EEC73" s="800"/>
      <c r="EED73" s="800"/>
      <c r="EEE73" s="800"/>
      <c r="EEF73" s="705"/>
      <c r="EEG73" s="799"/>
      <c r="EEH73" s="800"/>
      <c r="EEI73" s="800"/>
      <c r="EEJ73" s="800"/>
      <c r="EEK73" s="800"/>
      <c r="EEL73" s="800"/>
      <c r="EEM73" s="705"/>
      <c r="EEN73" s="799"/>
      <c r="EEO73" s="800"/>
      <c r="EEP73" s="800"/>
      <c r="EEQ73" s="800"/>
      <c r="EER73" s="800"/>
      <c r="EES73" s="800"/>
      <c r="EET73" s="705"/>
      <c r="EEU73" s="799"/>
      <c r="EEV73" s="800"/>
      <c r="EEW73" s="800"/>
      <c r="EEX73" s="800"/>
      <c r="EEY73" s="800"/>
      <c r="EEZ73" s="800"/>
      <c r="EFA73" s="705"/>
      <c r="EFB73" s="799"/>
      <c r="EFC73" s="800"/>
      <c r="EFD73" s="800"/>
      <c r="EFE73" s="800"/>
      <c r="EFF73" s="800"/>
      <c r="EFG73" s="800"/>
      <c r="EFH73" s="705"/>
      <c r="EFI73" s="799"/>
      <c r="EFJ73" s="800"/>
      <c r="EFK73" s="800"/>
      <c r="EFL73" s="800"/>
      <c r="EFM73" s="800"/>
      <c r="EFN73" s="800"/>
      <c r="EFO73" s="705"/>
      <c r="EFP73" s="799"/>
      <c r="EFQ73" s="800"/>
      <c r="EFR73" s="800"/>
      <c r="EFS73" s="800"/>
      <c r="EFT73" s="800"/>
      <c r="EFU73" s="800"/>
      <c r="EFV73" s="705"/>
      <c r="EFW73" s="799"/>
      <c r="EFX73" s="800"/>
      <c r="EFY73" s="800"/>
      <c r="EFZ73" s="800"/>
      <c r="EGA73" s="800"/>
      <c r="EGB73" s="800"/>
      <c r="EGC73" s="705"/>
      <c r="EGD73" s="799"/>
      <c r="EGE73" s="800"/>
      <c r="EGF73" s="800"/>
      <c r="EGG73" s="800"/>
      <c r="EGH73" s="800"/>
      <c r="EGI73" s="800"/>
      <c r="EGJ73" s="705"/>
      <c r="EGK73" s="799"/>
      <c r="EGL73" s="800"/>
      <c r="EGM73" s="800"/>
      <c r="EGN73" s="800"/>
      <c r="EGO73" s="800"/>
      <c r="EGP73" s="800"/>
      <c r="EGQ73" s="705"/>
      <c r="EGR73" s="799"/>
      <c r="EGS73" s="800"/>
      <c r="EGT73" s="800"/>
      <c r="EGU73" s="800"/>
      <c r="EGV73" s="800"/>
      <c r="EGW73" s="800"/>
      <c r="EGX73" s="705"/>
      <c r="EGY73" s="799"/>
      <c r="EGZ73" s="800"/>
      <c r="EHA73" s="800"/>
      <c r="EHB73" s="800"/>
      <c r="EHC73" s="800"/>
      <c r="EHD73" s="800"/>
      <c r="EHE73" s="705"/>
      <c r="EHF73" s="799"/>
      <c r="EHG73" s="800"/>
      <c r="EHH73" s="800"/>
      <c r="EHI73" s="800"/>
      <c r="EHJ73" s="800"/>
      <c r="EHK73" s="800"/>
      <c r="EHL73" s="705"/>
      <c r="EHM73" s="799"/>
      <c r="EHN73" s="800"/>
      <c r="EHO73" s="800"/>
      <c r="EHP73" s="800"/>
      <c r="EHQ73" s="800"/>
      <c r="EHR73" s="800"/>
      <c r="EHS73" s="705"/>
      <c r="EHT73" s="799"/>
      <c r="EHU73" s="800"/>
      <c r="EHV73" s="800"/>
      <c r="EHW73" s="800"/>
      <c r="EHX73" s="800"/>
      <c r="EHY73" s="800"/>
      <c r="EHZ73" s="705"/>
      <c r="EIA73" s="799"/>
      <c r="EIB73" s="800"/>
      <c r="EIC73" s="800"/>
      <c r="EID73" s="800"/>
      <c r="EIE73" s="800"/>
      <c r="EIF73" s="800"/>
      <c r="EIG73" s="705"/>
      <c r="EIH73" s="799"/>
      <c r="EII73" s="800"/>
      <c r="EIJ73" s="800"/>
      <c r="EIK73" s="800"/>
      <c r="EIL73" s="800"/>
      <c r="EIM73" s="800"/>
      <c r="EIN73" s="705"/>
      <c r="EIO73" s="799"/>
      <c r="EIP73" s="800"/>
      <c r="EIQ73" s="800"/>
      <c r="EIR73" s="800"/>
      <c r="EIS73" s="800"/>
      <c r="EIT73" s="800"/>
      <c r="EIU73" s="705"/>
      <c r="EIV73" s="799"/>
      <c r="EIW73" s="800"/>
      <c r="EIX73" s="800"/>
      <c r="EIY73" s="800"/>
      <c r="EIZ73" s="800"/>
      <c r="EJA73" s="800"/>
      <c r="EJB73" s="705"/>
      <c r="EJC73" s="799"/>
      <c r="EJD73" s="800"/>
      <c r="EJE73" s="800"/>
      <c r="EJF73" s="800"/>
      <c r="EJG73" s="800"/>
      <c r="EJH73" s="800"/>
      <c r="EJI73" s="705"/>
      <c r="EJJ73" s="799"/>
      <c r="EJK73" s="800"/>
      <c r="EJL73" s="800"/>
      <c r="EJM73" s="800"/>
      <c r="EJN73" s="800"/>
      <c r="EJO73" s="800"/>
      <c r="EJP73" s="705"/>
      <c r="EJQ73" s="799"/>
      <c r="EJR73" s="800"/>
      <c r="EJS73" s="800"/>
      <c r="EJT73" s="800"/>
      <c r="EJU73" s="800"/>
      <c r="EJV73" s="800"/>
      <c r="EJW73" s="705"/>
      <c r="EJX73" s="799"/>
      <c r="EJY73" s="800"/>
      <c r="EJZ73" s="800"/>
      <c r="EKA73" s="800"/>
      <c r="EKB73" s="800"/>
      <c r="EKC73" s="800"/>
      <c r="EKD73" s="705"/>
      <c r="EKE73" s="799"/>
      <c r="EKF73" s="800"/>
      <c r="EKG73" s="800"/>
      <c r="EKH73" s="800"/>
      <c r="EKI73" s="800"/>
      <c r="EKJ73" s="800"/>
      <c r="EKK73" s="705"/>
      <c r="EKL73" s="799"/>
      <c r="EKM73" s="800"/>
      <c r="EKN73" s="800"/>
      <c r="EKO73" s="800"/>
      <c r="EKP73" s="800"/>
      <c r="EKQ73" s="800"/>
      <c r="EKR73" s="705"/>
      <c r="EKS73" s="799"/>
      <c r="EKT73" s="800"/>
      <c r="EKU73" s="800"/>
      <c r="EKV73" s="800"/>
      <c r="EKW73" s="800"/>
      <c r="EKX73" s="800"/>
      <c r="EKY73" s="705"/>
      <c r="EKZ73" s="799"/>
      <c r="ELA73" s="800"/>
      <c r="ELB73" s="800"/>
      <c r="ELC73" s="800"/>
      <c r="ELD73" s="800"/>
      <c r="ELE73" s="800"/>
      <c r="ELF73" s="705"/>
      <c r="ELG73" s="799"/>
      <c r="ELH73" s="800"/>
      <c r="ELI73" s="800"/>
      <c r="ELJ73" s="800"/>
      <c r="ELK73" s="800"/>
      <c r="ELL73" s="800"/>
      <c r="ELM73" s="705"/>
      <c r="ELN73" s="799"/>
      <c r="ELO73" s="800"/>
      <c r="ELP73" s="800"/>
      <c r="ELQ73" s="800"/>
      <c r="ELR73" s="800"/>
      <c r="ELS73" s="800"/>
      <c r="ELT73" s="705"/>
      <c r="ELU73" s="799"/>
      <c r="ELV73" s="800"/>
      <c r="ELW73" s="800"/>
      <c r="ELX73" s="800"/>
      <c r="ELY73" s="800"/>
      <c r="ELZ73" s="800"/>
      <c r="EMA73" s="705"/>
      <c r="EMB73" s="799"/>
      <c r="EMC73" s="800"/>
      <c r="EMD73" s="800"/>
      <c r="EME73" s="800"/>
      <c r="EMF73" s="800"/>
      <c r="EMG73" s="800"/>
      <c r="EMH73" s="705"/>
      <c r="EMI73" s="799"/>
      <c r="EMJ73" s="800"/>
      <c r="EMK73" s="800"/>
      <c r="EML73" s="800"/>
      <c r="EMM73" s="800"/>
      <c r="EMN73" s="800"/>
      <c r="EMO73" s="705"/>
      <c r="EMP73" s="799"/>
      <c r="EMQ73" s="800"/>
      <c r="EMR73" s="800"/>
      <c r="EMS73" s="800"/>
      <c r="EMT73" s="800"/>
      <c r="EMU73" s="800"/>
      <c r="EMV73" s="705"/>
      <c r="EMW73" s="799"/>
      <c r="EMX73" s="800"/>
      <c r="EMY73" s="800"/>
      <c r="EMZ73" s="800"/>
      <c r="ENA73" s="800"/>
      <c r="ENB73" s="800"/>
      <c r="ENC73" s="705"/>
      <c r="END73" s="799"/>
      <c r="ENE73" s="800"/>
      <c r="ENF73" s="800"/>
      <c r="ENG73" s="800"/>
      <c r="ENH73" s="800"/>
      <c r="ENI73" s="800"/>
      <c r="ENJ73" s="705"/>
      <c r="ENK73" s="799"/>
      <c r="ENL73" s="800"/>
      <c r="ENM73" s="800"/>
      <c r="ENN73" s="800"/>
      <c r="ENO73" s="800"/>
      <c r="ENP73" s="800"/>
      <c r="ENQ73" s="705"/>
      <c r="ENR73" s="799"/>
      <c r="ENS73" s="800"/>
      <c r="ENT73" s="800"/>
      <c r="ENU73" s="800"/>
      <c r="ENV73" s="800"/>
      <c r="ENW73" s="800"/>
      <c r="ENX73" s="705"/>
      <c r="ENY73" s="799"/>
      <c r="ENZ73" s="800"/>
      <c r="EOA73" s="800"/>
      <c r="EOB73" s="800"/>
      <c r="EOC73" s="800"/>
      <c r="EOD73" s="800"/>
      <c r="EOE73" s="705"/>
      <c r="EOF73" s="799"/>
      <c r="EOG73" s="800"/>
      <c r="EOH73" s="800"/>
      <c r="EOI73" s="800"/>
      <c r="EOJ73" s="800"/>
      <c r="EOK73" s="800"/>
      <c r="EOL73" s="705"/>
      <c r="EOM73" s="799"/>
      <c r="EON73" s="800"/>
      <c r="EOO73" s="800"/>
      <c r="EOP73" s="800"/>
      <c r="EOQ73" s="800"/>
      <c r="EOR73" s="800"/>
      <c r="EOS73" s="705"/>
      <c r="EOT73" s="799"/>
      <c r="EOU73" s="800"/>
      <c r="EOV73" s="800"/>
      <c r="EOW73" s="800"/>
      <c r="EOX73" s="800"/>
      <c r="EOY73" s="800"/>
      <c r="EOZ73" s="705"/>
      <c r="EPA73" s="799"/>
      <c r="EPB73" s="800"/>
      <c r="EPC73" s="800"/>
      <c r="EPD73" s="800"/>
      <c r="EPE73" s="800"/>
      <c r="EPF73" s="800"/>
      <c r="EPG73" s="705"/>
      <c r="EPH73" s="799"/>
      <c r="EPI73" s="800"/>
      <c r="EPJ73" s="800"/>
      <c r="EPK73" s="800"/>
      <c r="EPL73" s="800"/>
      <c r="EPM73" s="800"/>
      <c r="EPN73" s="705"/>
      <c r="EPO73" s="799"/>
      <c r="EPP73" s="800"/>
      <c r="EPQ73" s="800"/>
      <c r="EPR73" s="800"/>
      <c r="EPS73" s="800"/>
      <c r="EPT73" s="800"/>
      <c r="EPU73" s="705"/>
      <c r="EPV73" s="799"/>
      <c r="EPW73" s="800"/>
      <c r="EPX73" s="800"/>
      <c r="EPY73" s="800"/>
      <c r="EPZ73" s="800"/>
      <c r="EQA73" s="800"/>
      <c r="EQB73" s="705"/>
      <c r="EQC73" s="799"/>
      <c r="EQD73" s="800"/>
      <c r="EQE73" s="800"/>
      <c r="EQF73" s="800"/>
      <c r="EQG73" s="800"/>
      <c r="EQH73" s="800"/>
      <c r="EQI73" s="705"/>
      <c r="EQJ73" s="799"/>
      <c r="EQK73" s="800"/>
      <c r="EQL73" s="800"/>
      <c r="EQM73" s="800"/>
      <c r="EQN73" s="800"/>
      <c r="EQO73" s="800"/>
      <c r="EQP73" s="705"/>
      <c r="EQQ73" s="799"/>
      <c r="EQR73" s="800"/>
      <c r="EQS73" s="800"/>
      <c r="EQT73" s="800"/>
      <c r="EQU73" s="800"/>
      <c r="EQV73" s="800"/>
      <c r="EQW73" s="705"/>
      <c r="EQX73" s="799"/>
      <c r="EQY73" s="800"/>
      <c r="EQZ73" s="800"/>
      <c r="ERA73" s="800"/>
      <c r="ERB73" s="800"/>
      <c r="ERC73" s="800"/>
      <c r="ERD73" s="705"/>
      <c r="ERE73" s="799"/>
      <c r="ERF73" s="800"/>
      <c r="ERG73" s="800"/>
      <c r="ERH73" s="800"/>
      <c r="ERI73" s="800"/>
      <c r="ERJ73" s="800"/>
      <c r="ERK73" s="705"/>
      <c r="ERL73" s="799"/>
      <c r="ERM73" s="800"/>
      <c r="ERN73" s="800"/>
      <c r="ERO73" s="800"/>
      <c r="ERP73" s="800"/>
      <c r="ERQ73" s="800"/>
      <c r="ERR73" s="705"/>
      <c r="ERS73" s="799"/>
      <c r="ERT73" s="800"/>
      <c r="ERU73" s="800"/>
      <c r="ERV73" s="800"/>
      <c r="ERW73" s="800"/>
      <c r="ERX73" s="800"/>
      <c r="ERY73" s="705"/>
      <c r="ERZ73" s="799"/>
      <c r="ESA73" s="800"/>
      <c r="ESB73" s="800"/>
      <c r="ESC73" s="800"/>
      <c r="ESD73" s="800"/>
      <c r="ESE73" s="800"/>
      <c r="ESF73" s="705"/>
      <c r="ESG73" s="799"/>
      <c r="ESH73" s="800"/>
      <c r="ESI73" s="800"/>
      <c r="ESJ73" s="800"/>
      <c r="ESK73" s="800"/>
      <c r="ESL73" s="800"/>
      <c r="ESM73" s="705"/>
      <c r="ESN73" s="799"/>
      <c r="ESO73" s="800"/>
      <c r="ESP73" s="800"/>
      <c r="ESQ73" s="800"/>
      <c r="ESR73" s="800"/>
      <c r="ESS73" s="800"/>
      <c r="EST73" s="705"/>
      <c r="ESU73" s="799"/>
      <c r="ESV73" s="800"/>
      <c r="ESW73" s="800"/>
      <c r="ESX73" s="800"/>
      <c r="ESY73" s="800"/>
      <c r="ESZ73" s="800"/>
      <c r="ETA73" s="705"/>
      <c r="ETB73" s="799"/>
      <c r="ETC73" s="800"/>
      <c r="ETD73" s="800"/>
      <c r="ETE73" s="800"/>
      <c r="ETF73" s="800"/>
      <c r="ETG73" s="800"/>
      <c r="ETH73" s="705"/>
      <c r="ETI73" s="799"/>
      <c r="ETJ73" s="800"/>
      <c r="ETK73" s="800"/>
      <c r="ETL73" s="800"/>
      <c r="ETM73" s="800"/>
      <c r="ETN73" s="800"/>
      <c r="ETO73" s="705"/>
      <c r="ETP73" s="799"/>
      <c r="ETQ73" s="800"/>
      <c r="ETR73" s="800"/>
      <c r="ETS73" s="800"/>
      <c r="ETT73" s="800"/>
      <c r="ETU73" s="800"/>
      <c r="ETV73" s="705"/>
      <c r="ETW73" s="799"/>
      <c r="ETX73" s="800"/>
      <c r="ETY73" s="800"/>
      <c r="ETZ73" s="800"/>
      <c r="EUA73" s="800"/>
      <c r="EUB73" s="800"/>
      <c r="EUC73" s="705"/>
      <c r="EUD73" s="799"/>
      <c r="EUE73" s="800"/>
      <c r="EUF73" s="800"/>
      <c r="EUG73" s="800"/>
      <c r="EUH73" s="800"/>
      <c r="EUI73" s="800"/>
      <c r="EUJ73" s="705"/>
      <c r="EUK73" s="799"/>
      <c r="EUL73" s="800"/>
      <c r="EUM73" s="800"/>
      <c r="EUN73" s="800"/>
      <c r="EUO73" s="800"/>
      <c r="EUP73" s="800"/>
      <c r="EUQ73" s="705"/>
      <c r="EUR73" s="799"/>
      <c r="EUS73" s="800"/>
      <c r="EUT73" s="800"/>
      <c r="EUU73" s="800"/>
      <c r="EUV73" s="800"/>
      <c r="EUW73" s="800"/>
      <c r="EUX73" s="705"/>
      <c r="EUY73" s="799"/>
      <c r="EUZ73" s="800"/>
      <c r="EVA73" s="800"/>
      <c r="EVB73" s="800"/>
      <c r="EVC73" s="800"/>
      <c r="EVD73" s="800"/>
      <c r="EVE73" s="705"/>
      <c r="EVF73" s="799"/>
      <c r="EVG73" s="800"/>
      <c r="EVH73" s="800"/>
      <c r="EVI73" s="800"/>
      <c r="EVJ73" s="800"/>
      <c r="EVK73" s="800"/>
      <c r="EVL73" s="705"/>
      <c r="EVM73" s="799"/>
      <c r="EVN73" s="800"/>
      <c r="EVO73" s="800"/>
      <c r="EVP73" s="800"/>
      <c r="EVQ73" s="800"/>
      <c r="EVR73" s="800"/>
      <c r="EVS73" s="705"/>
      <c r="EVT73" s="799"/>
      <c r="EVU73" s="800"/>
      <c r="EVV73" s="800"/>
      <c r="EVW73" s="800"/>
      <c r="EVX73" s="800"/>
      <c r="EVY73" s="800"/>
      <c r="EVZ73" s="705"/>
      <c r="EWA73" s="799"/>
      <c r="EWB73" s="800"/>
      <c r="EWC73" s="800"/>
      <c r="EWD73" s="800"/>
      <c r="EWE73" s="800"/>
      <c r="EWF73" s="800"/>
      <c r="EWG73" s="705"/>
      <c r="EWH73" s="799"/>
      <c r="EWI73" s="800"/>
      <c r="EWJ73" s="800"/>
      <c r="EWK73" s="800"/>
      <c r="EWL73" s="800"/>
      <c r="EWM73" s="800"/>
      <c r="EWN73" s="705"/>
      <c r="EWO73" s="799"/>
      <c r="EWP73" s="800"/>
      <c r="EWQ73" s="800"/>
      <c r="EWR73" s="800"/>
      <c r="EWS73" s="800"/>
      <c r="EWT73" s="800"/>
      <c r="EWU73" s="705"/>
      <c r="EWV73" s="799"/>
      <c r="EWW73" s="800"/>
      <c r="EWX73" s="800"/>
      <c r="EWY73" s="800"/>
      <c r="EWZ73" s="800"/>
      <c r="EXA73" s="800"/>
      <c r="EXB73" s="705"/>
      <c r="EXC73" s="799"/>
      <c r="EXD73" s="800"/>
      <c r="EXE73" s="800"/>
      <c r="EXF73" s="800"/>
      <c r="EXG73" s="800"/>
      <c r="EXH73" s="800"/>
      <c r="EXI73" s="705"/>
      <c r="EXJ73" s="799"/>
      <c r="EXK73" s="800"/>
      <c r="EXL73" s="800"/>
      <c r="EXM73" s="800"/>
      <c r="EXN73" s="800"/>
      <c r="EXO73" s="800"/>
      <c r="EXP73" s="705"/>
      <c r="EXQ73" s="799"/>
      <c r="EXR73" s="800"/>
      <c r="EXS73" s="800"/>
      <c r="EXT73" s="800"/>
      <c r="EXU73" s="800"/>
      <c r="EXV73" s="800"/>
      <c r="EXW73" s="705"/>
      <c r="EXX73" s="799"/>
      <c r="EXY73" s="800"/>
      <c r="EXZ73" s="800"/>
      <c r="EYA73" s="800"/>
      <c r="EYB73" s="800"/>
      <c r="EYC73" s="800"/>
      <c r="EYD73" s="705"/>
      <c r="EYE73" s="799"/>
      <c r="EYF73" s="800"/>
      <c r="EYG73" s="800"/>
      <c r="EYH73" s="800"/>
      <c r="EYI73" s="800"/>
      <c r="EYJ73" s="800"/>
      <c r="EYK73" s="705"/>
      <c r="EYL73" s="799"/>
      <c r="EYM73" s="800"/>
      <c r="EYN73" s="800"/>
      <c r="EYO73" s="800"/>
      <c r="EYP73" s="800"/>
      <c r="EYQ73" s="800"/>
      <c r="EYR73" s="705"/>
      <c r="EYS73" s="799"/>
      <c r="EYT73" s="800"/>
      <c r="EYU73" s="800"/>
      <c r="EYV73" s="800"/>
      <c r="EYW73" s="800"/>
      <c r="EYX73" s="800"/>
      <c r="EYY73" s="705"/>
      <c r="EYZ73" s="799"/>
      <c r="EZA73" s="800"/>
      <c r="EZB73" s="800"/>
      <c r="EZC73" s="800"/>
      <c r="EZD73" s="800"/>
      <c r="EZE73" s="800"/>
      <c r="EZF73" s="705"/>
      <c r="EZG73" s="799"/>
      <c r="EZH73" s="800"/>
      <c r="EZI73" s="800"/>
      <c r="EZJ73" s="800"/>
      <c r="EZK73" s="800"/>
      <c r="EZL73" s="800"/>
      <c r="EZM73" s="705"/>
      <c r="EZN73" s="799"/>
      <c r="EZO73" s="800"/>
      <c r="EZP73" s="800"/>
      <c r="EZQ73" s="800"/>
      <c r="EZR73" s="800"/>
      <c r="EZS73" s="800"/>
      <c r="EZT73" s="705"/>
      <c r="EZU73" s="799"/>
      <c r="EZV73" s="800"/>
      <c r="EZW73" s="800"/>
      <c r="EZX73" s="800"/>
      <c r="EZY73" s="800"/>
      <c r="EZZ73" s="800"/>
      <c r="FAA73" s="705"/>
      <c r="FAB73" s="799"/>
      <c r="FAC73" s="800"/>
      <c r="FAD73" s="800"/>
      <c r="FAE73" s="800"/>
      <c r="FAF73" s="800"/>
      <c r="FAG73" s="800"/>
      <c r="FAH73" s="705"/>
      <c r="FAI73" s="799"/>
      <c r="FAJ73" s="800"/>
      <c r="FAK73" s="800"/>
      <c r="FAL73" s="800"/>
      <c r="FAM73" s="800"/>
      <c r="FAN73" s="800"/>
      <c r="FAO73" s="705"/>
      <c r="FAP73" s="799"/>
      <c r="FAQ73" s="800"/>
      <c r="FAR73" s="800"/>
      <c r="FAS73" s="800"/>
      <c r="FAT73" s="800"/>
      <c r="FAU73" s="800"/>
      <c r="FAV73" s="705"/>
      <c r="FAW73" s="799"/>
      <c r="FAX73" s="800"/>
      <c r="FAY73" s="800"/>
      <c r="FAZ73" s="800"/>
      <c r="FBA73" s="800"/>
      <c r="FBB73" s="800"/>
      <c r="FBC73" s="705"/>
      <c r="FBD73" s="799"/>
      <c r="FBE73" s="800"/>
      <c r="FBF73" s="800"/>
      <c r="FBG73" s="800"/>
      <c r="FBH73" s="800"/>
      <c r="FBI73" s="800"/>
      <c r="FBJ73" s="705"/>
      <c r="FBK73" s="799"/>
      <c r="FBL73" s="800"/>
      <c r="FBM73" s="800"/>
      <c r="FBN73" s="800"/>
      <c r="FBO73" s="800"/>
      <c r="FBP73" s="800"/>
      <c r="FBQ73" s="705"/>
      <c r="FBR73" s="799"/>
      <c r="FBS73" s="800"/>
      <c r="FBT73" s="800"/>
      <c r="FBU73" s="800"/>
      <c r="FBV73" s="800"/>
      <c r="FBW73" s="800"/>
      <c r="FBX73" s="705"/>
      <c r="FBY73" s="799"/>
      <c r="FBZ73" s="800"/>
      <c r="FCA73" s="800"/>
      <c r="FCB73" s="800"/>
      <c r="FCC73" s="800"/>
      <c r="FCD73" s="800"/>
      <c r="FCE73" s="705"/>
      <c r="FCF73" s="799"/>
      <c r="FCG73" s="800"/>
      <c r="FCH73" s="800"/>
      <c r="FCI73" s="800"/>
      <c r="FCJ73" s="800"/>
      <c r="FCK73" s="800"/>
      <c r="FCL73" s="705"/>
      <c r="FCM73" s="799"/>
      <c r="FCN73" s="800"/>
      <c r="FCO73" s="800"/>
      <c r="FCP73" s="800"/>
      <c r="FCQ73" s="800"/>
      <c r="FCR73" s="800"/>
      <c r="FCS73" s="705"/>
      <c r="FCT73" s="799"/>
      <c r="FCU73" s="800"/>
      <c r="FCV73" s="800"/>
      <c r="FCW73" s="800"/>
      <c r="FCX73" s="800"/>
      <c r="FCY73" s="800"/>
      <c r="FCZ73" s="705"/>
      <c r="FDA73" s="799"/>
      <c r="FDB73" s="800"/>
      <c r="FDC73" s="800"/>
      <c r="FDD73" s="800"/>
      <c r="FDE73" s="800"/>
      <c r="FDF73" s="800"/>
      <c r="FDG73" s="705"/>
      <c r="FDH73" s="799"/>
      <c r="FDI73" s="800"/>
      <c r="FDJ73" s="800"/>
      <c r="FDK73" s="800"/>
      <c r="FDL73" s="800"/>
      <c r="FDM73" s="800"/>
      <c r="FDN73" s="705"/>
      <c r="FDO73" s="799"/>
      <c r="FDP73" s="800"/>
      <c r="FDQ73" s="800"/>
      <c r="FDR73" s="800"/>
      <c r="FDS73" s="800"/>
      <c r="FDT73" s="800"/>
      <c r="FDU73" s="705"/>
      <c r="FDV73" s="799"/>
      <c r="FDW73" s="800"/>
      <c r="FDX73" s="800"/>
      <c r="FDY73" s="800"/>
      <c r="FDZ73" s="800"/>
      <c r="FEA73" s="800"/>
      <c r="FEB73" s="705"/>
      <c r="FEC73" s="799"/>
      <c r="FED73" s="800"/>
      <c r="FEE73" s="800"/>
      <c r="FEF73" s="800"/>
      <c r="FEG73" s="800"/>
      <c r="FEH73" s="800"/>
      <c r="FEI73" s="705"/>
      <c r="FEJ73" s="799"/>
      <c r="FEK73" s="800"/>
      <c r="FEL73" s="800"/>
      <c r="FEM73" s="800"/>
      <c r="FEN73" s="800"/>
      <c r="FEO73" s="800"/>
      <c r="FEP73" s="705"/>
      <c r="FEQ73" s="799"/>
      <c r="FER73" s="800"/>
      <c r="FES73" s="800"/>
      <c r="FET73" s="800"/>
      <c r="FEU73" s="800"/>
      <c r="FEV73" s="800"/>
      <c r="FEW73" s="705"/>
      <c r="FEX73" s="799"/>
      <c r="FEY73" s="800"/>
      <c r="FEZ73" s="800"/>
      <c r="FFA73" s="800"/>
      <c r="FFB73" s="800"/>
      <c r="FFC73" s="800"/>
      <c r="FFD73" s="705"/>
      <c r="FFE73" s="799"/>
      <c r="FFF73" s="800"/>
      <c r="FFG73" s="800"/>
      <c r="FFH73" s="800"/>
      <c r="FFI73" s="800"/>
      <c r="FFJ73" s="800"/>
      <c r="FFK73" s="705"/>
      <c r="FFL73" s="799"/>
      <c r="FFM73" s="800"/>
      <c r="FFN73" s="800"/>
      <c r="FFO73" s="800"/>
      <c r="FFP73" s="800"/>
      <c r="FFQ73" s="800"/>
      <c r="FFR73" s="705"/>
      <c r="FFS73" s="799"/>
      <c r="FFT73" s="800"/>
      <c r="FFU73" s="800"/>
      <c r="FFV73" s="800"/>
      <c r="FFW73" s="800"/>
      <c r="FFX73" s="800"/>
      <c r="FFY73" s="705"/>
      <c r="FFZ73" s="799"/>
      <c r="FGA73" s="800"/>
      <c r="FGB73" s="800"/>
      <c r="FGC73" s="800"/>
      <c r="FGD73" s="800"/>
      <c r="FGE73" s="800"/>
      <c r="FGF73" s="705"/>
      <c r="FGG73" s="799"/>
      <c r="FGH73" s="800"/>
      <c r="FGI73" s="800"/>
      <c r="FGJ73" s="800"/>
      <c r="FGK73" s="800"/>
      <c r="FGL73" s="800"/>
      <c r="FGM73" s="705"/>
      <c r="FGN73" s="799"/>
      <c r="FGO73" s="800"/>
      <c r="FGP73" s="800"/>
      <c r="FGQ73" s="800"/>
      <c r="FGR73" s="800"/>
      <c r="FGS73" s="800"/>
      <c r="FGT73" s="705"/>
      <c r="FGU73" s="799"/>
      <c r="FGV73" s="800"/>
      <c r="FGW73" s="800"/>
      <c r="FGX73" s="800"/>
      <c r="FGY73" s="800"/>
      <c r="FGZ73" s="800"/>
      <c r="FHA73" s="705"/>
      <c r="FHB73" s="799"/>
      <c r="FHC73" s="800"/>
      <c r="FHD73" s="800"/>
      <c r="FHE73" s="800"/>
      <c r="FHF73" s="800"/>
      <c r="FHG73" s="800"/>
      <c r="FHH73" s="705"/>
      <c r="FHI73" s="799"/>
      <c r="FHJ73" s="800"/>
      <c r="FHK73" s="800"/>
      <c r="FHL73" s="800"/>
      <c r="FHM73" s="800"/>
      <c r="FHN73" s="800"/>
      <c r="FHO73" s="705"/>
      <c r="FHP73" s="799"/>
      <c r="FHQ73" s="800"/>
      <c r="FHR73" s="800"/>
      <c r="FHS73" s="800"/>
      <c r="FHT73" s="800"/>
      <c r="FHU73" s="800"/>
      <c r="FHV73" s="705"/>
      <c r="FHW73" s="799"/>
      <c r="FHX73" s="800"/>
      <c r="FHY73" s="800"/>
      <c r="FHZ73" s="800"/>
      <c r="FIA73" s="800"/>
      <c r="FIB73" s="800"/>
      <c r="FIC73" s="705"/>
      <c r="FID73" s="799"/>
      <c r="FIE73" s="800"/>
      <c r="FIF73" s="800"/>
      <c r="FIG73" s="800"/>
      <c r="FIH73" s="800"/>
      <c r="FII73" s="800"/>
      <c r="FIJ73" s="705"/>
      <c r="FIK73" s="799"/>
      <c r="FIL73" s="800"/>
      <c r="FIM73" s="800"/>
      <c r="FIN73" s="800"/>
      <c r="FIO73" s="800"/>
      <c r="FIP73" s="800"/>
      <c r="FIQ73" s="705"/>
      <c r="FIR73" s="799"/>
      <c r="FIS73" s="800"/>
      <c r="FIT73" s="800"/>
      <c r="FIU73" s="800"/>
      <c r="FIV73" s="800"/>
      <c r="FIW73" s="800"/>
      <c r="FIX73" s="705"/>
      <c r="FIY73" s="799"/>
      <c r="FIZ73" s="800"/>
      <c r="FJA73" s="800"/>
      <c r="FJB73" s="800"/>
      <c r="FJC73" s="800"/>
      <c r="FJD73" s="800"/>
      <c r="FJE73" s="705"/>
      <c r="FJF73" s="799"/>
      <c r="FJG73" s="800"/>
      <c r="FJH73" s="800"/>
      <c r="FJI73" s="800"/>
      <c r="FJJ73" s="800"/>
      <c r="FJK73" s="800"/>
      <c r="FJL73" s="705"/>
      <c r="FJM73" s="799"/>
      <c r="FJN73" s="800"/>
      <c r="FJO73" s="800"/>
      <c r="FJP73" s="800"/>
      <c r="FJQ73" s="800"/>
      <c r="FJR73" s="800"/>
      <c r="FJS73" s="705"/>
      <c r="FJT73" s="799"/>
      <c r="FJU73" s="800"/>
      <c r="FJV73" s="800"/>
      <c r="FJW73" s="800"/>
      <c r="FJX73" s="800"/>
      <c r="FJY73" s="800"/>
      <c r="FJZ73" s="705"/>
      <c r="FKA73" s="799"/>
      <c r="FKB73" s="800"/>
      <c r="FKC73" s="800"/>
      <c r="FKD73" s="800"/>
      <c r="FKE73" s="800"/>
      <c r="FKF73" s="800"/>
      <c r="FKG73" s="705"/>
      <c r="FKH73" s="799"/>
      <c r="FKI73" s="800"/>
      <c r="FKJ73" s="800"/>
      <c r="FKK73" s="800"/>
      <c r="FKL73" s="800"/>
      <c r="FKM73" s="800"/>
      <c r="FKN73" s="705"/>
      <c r="FKO73" s="799"/>
      <c r="FKP73" s="800"/>
      <c r="FKQ73" s="800"/>
      <c r="FKR73" s="800"/>
      <c r="FKS73" s="800"/>
      <c r="FKT73" s="800"/>
      <c r="FKU73" s="705"/>
      <c r="FKV73" s="799"/>
      <c r="FKW73" s="800"/>
      <c r="FKX73" s="800"/>
      <c r="FKY73" s="800"/>
      <c r="FKZ73" s="800"/>
      <c r="FLA73" s="800"/>
      <c r="FLB73" s="705"/>
      <c r="FLC73" s="799"/>
      <c r="FLD73" s="800"/>
      <c r="FLE73" s="800"/>
      <c r="FLF73" s="800"/>
      <c r="FLG73" s="800"/>
      <c r="FLH73" s="800"/>
      <c r="FLI73" s="705"/>
      <c r="FLJ73" s="799"/>
      <c r="FLK73" s="800"/>
      <c r="FLL73" s="800"/>
      <c r="FLM73" s="800"/>
      <c r="FLN73" s="800"/>
      <c r="FLO73" s="800"/>
      <c r="FLP73" s="705"/>
      <c r="FLQ73" s="799"/>
      <c r="FLR73" s="800"/>
      <c r="FLS73" s="800"/>
      <c r="FLT73" s="800"/>
      <c r="FLU73" s="800"/>
      <c r="FLV73" s="800"/>
      <c r="FLW73" s="705"/>
      <c r="FLX73" s="799"/>
      <c r="FLY73" s="800"/>
      <c r="FLZ73" s="800"/>
      <c r="FMA73" s="800"/>
      <c r="FMB73" s="800"/>
      <c r="FMC73" s="800"/>
      <c r="FMD73" s="705"/>
      <c r="FME73" s="799"/>
      <c r="FMF73" s="800"/>
      <c r="FMG73" s="800"/>
      <c r="FMH73" s="800"/>
      <c r="FMI73" s="800"/>
      <c r="FMJ73" s="800"/>
      <c r="FMK73" s="705"/>
      <c r="FML73" s="799"/>
      <c r="FMM73" s="800"/>
      <c r="FMN73" s="800"/>
      <c r="FMO73" s="800"/>
      <c r="FMP73" s="800"/>
      <c r="FMQ73" s="800"/>
      <c r="FMR73" s="705"/>
      <c r="FMS73" s="799"/>
      <c r="FMT73" s="800"/>
      <c r="FMU73" s="800"/>
      <c r="FMV73" s="800"/>
      <c r="FMW73" s="800"/>
      <c r="FMX73" s="800"/>
      <c r="FMY73" s="705"/>
      <c r="FMZ73" s="799"/>
      <c r="FNA73" s="800"/>
      <c r="FNB73" s="800"/>
      <c r="FNC73" s="800"/>
      <c r="FND73" s="800"/>
      <c r="FNE73" s="800"/>
      <c r="FNF73" s="705"/>
      <c r="FNG73" s="799"/>
      <c r="FNH73" s="800"/>
      <c r="FNI73" s="800"/>
      <c r="FNJ73" s="800"/>
      <c r="FNK73" s="800"/>
      <c r="FNL73" s="800"/>
      <c r="FNM73" s="705"/>
      <c r="FNN73" s="799"/>
      <c r="FNO73" s="800"/>
      <c r="FNP73" s="800"/>
      <c r="FNQ73" s="800"/>
      <c r="FNR73" s="800"/>
      <c r="FNS73" s="800"/>
      <c r="FNT73" s="705"/>
      <c r="FNU73" s="799"/>
      <c r="FNV73" s="800"/>
      <c r="FNW73" s="800"/>
      <c r="FNX73" s="800"/>
      <c r="FNY73" s="800"/>
      <c r="FNZ73" s="800"/>
      <c r="FOA73" s="705"/>
      <c r="FOB73" s="799"/>
      <c r="FOC73" s="800"/>
      <c r="FOD73" s="800"/>
      <c r="FOE73" s="800"/>
      <c r="FOF73" s="800"/>
      <c r="FOG73" s="800"/>
      <c r="FOH73" s="705"/>
      <c r="FOI73" s="799"/>
      <c r="FOJ73" s="800"/>
      <c r="FOK73" s="800"/>
      <c r="FOL73" s="800"/>
      <c r="FOM73" s="800"/>
      <c r="FON73" s="800"/>
      <c r="FOO73" s="705"/>
      <c r="FOP73" s="799"/>
      <c r="FOQ73" s="800"/>
      <c r="FOR73" s="800"/>
      <c r="FOS73" s="800"/>
      <c r="FOT73" s="800"/>
      <c r="FOU73" s="800"/>
      <c r="FOV73" s="705"/>
      <c r="FOW73" s="799"/>
      <c r="FOX73" s="800"/>
      <c r="FOY73" s="800"/>
      <c r="FOZ73" s="800"/>
      <c r="FPA73" s="800"/>
      <c r="FPB73" s="800"/>
      <c r="FPC73" s="705"/>
      <c r="FPD73" s="799"/>
      <c r="FPE73" s="800"/>
      <c r="FPF73" s="800"/>
      <c r="FPG73" s="800"/>
      <c r="FPH73" s="800"/>
      <c r="FPI73" s="800"/>
      <c r="FPJ73" s="705"/>
      <c r="FPK73" s="799"/>
      <c r="FPL73" s="800"/>
      <c r="FPM73" s="800"/>
      <c r="FPN73" s="800"/>
      <c r="FPO73" s="800"/>
      <c r="FPP73" s="800"/>
      <c r="FPQ73" s="705"/>
      <c r="FPR73" s="799"/>
      <c r="FPS73" s="800"/>
      <c r="FPT73" s="800"/>
      <c r="FPU73" s="800"/>
      <c r="FPV73" s="800"/>
      <c r="FPW73" s="800"/>
      <c r="FPX73" s="705"/>
      <c r="FPY73" s="799"/>
      <c r="FPZ73" s="800"/>
      <c r="FQA73" s="800"/>
      <c r="FQB73" s="800"/>
      <c r="FQC73" s="800"/>
      <c r="FQD73" s="800"/>
      <c r="FQE73" s="705"/>
      <c r="FQF73" s="799"/>
      <c r="FQG73" s="800"/>
      <c r="FQH73" s="800"/>
      <c r="FQI73" s="800"/>
      <c r="FQJ73" s="800"/>
      <c r="FQK73" s="800"/>
      <c r="FQL73" s="705"/>
      <c r="FQM73" s="799"/>
      <c r="FQN73" s="800"/>
      <c r="FQO73" s="800"/>
      <c r="FQP73" s="800"/>
      <c r="FQQ73" s="800"/>
      <c r="FQR73" s="800"/>
      <c r="FQS73" s="705"/>
      <c r="FQT73" s="799"/>
      <c r="FQU73" s="800"/>
      <c r="FQV73" s="800"/>
      <c r="FQW73" s="800"/>
      <c r="FQX73" s="800"/>
      <c r="FQY73" s="800"/>
      <c r="FQZ73" s="705"/>
      <c r="FRA73" s="799"/>
      <c r="FRB73" s="800"/>
      <c r="FRC73" s="800"/>
      <c r="FRD73" s="800"/>
      <c r="FRE73" s="800"/>
      <c r="FRF73" s="800"/>
      <c r="FRG73" s="705"/>
      <c r="FRH73" s="799"/>
      <c r="FRI73" s="800"/>
      <c r="FRJ73" s="800"/>
      <c r="FRK73" s="800"/>
      <c r="FRL73" s="800"/>
      <c r="FRM73" s="800"/>
      <c r="FRN73" s="705"/>
      <c r="FRO73" s="799"/>
      <c r="FRP73" s="800"/>
      <c r="FRQ73" s="800"/>
      <c r="FRR73" s="800"/>
      <c r="FRS73" s="800"/>
      <c r="FRT73" s="800"/>
      <c r="FRU73" s="705"/>
      <c r="FRV73" s="799"/>
      <c r="FRW73" s="800"/>
      <c r="FRX73" s="800"/>
      <c r="FRY73" s="800"/>
      <c r="FRZ73" s="800"/>
      <c r="FSA73" s="800"/>
      <c r="FSB73" s="705"/>
      <c r="FSC73" s="799"/>
      <c r="FSD73" s="800"/>
      <c r="FSE73" s="800"/>
      <c r="FSF73" s="800"/>
      <c r="FSG73" s="800"/>
      <c r="FSH73" s="800"/>
      <c r="FSI73" s="705"/>
      <c r="FSJ73" s="799"/>
      <c r="FSK73" s="800"/>
      <c r="FSL73" s="800"/>
      <c r="FSM73" s="800"/>
      <c r="FSN73" s="800"/>
      <c r="FSO73" s="800"/>
      <c r="FSP73" s="705"/>
      <c r="FSQ73" s="799"/>
      <c r="FSR73" s="800"/>
      <c r="FSS73" s="800"/>
      <c r="FST73" s="800"/>
      <c r="FSU73" s="800"/>
      <c r="FSV73" s="800"/>
      <c r="FSW73" s="705"/>
      <c r="FSX73" s="799"/>
      <c r="FSY73" s="800"/>
      <c r="FSZ73" s="800"/>
      <c r="FTA73" s="800"/>
      <c r="FTB73" s="800"/>
      <c r="FTC73" s="800"/>
      <c r="FTD73" s="705"/>
      <c r="FTE73" s="799"/>
      <c r="FTF73" s="800"/>
      <c r="FTG73" s="800"/>
      <c r="FTH73" s="800"/>
      <c r="FTI73" s="800"/>
      <c r="FTJ73" s="800"/>
      <c r="FTK73" s="705"/>
      <c r="FTL73" s="799"/>
      <c r="FTM73" s="800"/>
      <c r="FTN73" s="800"/>
      <c r="FTO73" s="800"/>
      <c r="FTP73" s="800"/>
      <c r="FTQ73" s="800"/>
      <c r="FTR73" s="705"/>
      <c r="FTS73" s="799"/>
      <c r="FTT73" s="800"/>
      <c r="FTU73" s="800"/>
      <c r="FTV73" s="800"/>
      <c r="FTW73" s="800"/>
      <c r="FTX73" s="800"/>
      <c r="FTY73" s="705"/>
      <c r="FTZ73" s="799"/>
      <c r="FUA73" s="800"/>
      <c r="FUB73" s="800"/>
      <c r="FUC73" s="800"/>
      <c r="FUD73" s="800"/>
      <c r="FUE73" s="800"/>
      <c r="FUF73" s="705"/>
      <c r="FUG73" s="799"/>
      <c r="FUH73" s="800"/>
      <c r="FUI73" s="800"/>
      <c r="FUJ73" s="800"/>
      <c r="FUK73" s="800"/>
      <c r="FUL73" s="800"/>
      <c r="FUM73" s="705"/>
      <c r="FUN73" s="799"/>
      <c r="FUO73" s="800"/>
      <c r="FUP73" s="800"/>
      <c r="FUQ73" s="800"/>
      <c r="FUR73" s="800"/>
      <c r="FUS73" s="800"/>
      <c r="FUT73" s="705"/>
      <c r="FUU73" s="799"/>
      <c r="FUV73" s="800"/>
      <c r="FUW73" s="800"/>
      <c r="FUX73" s="800"/>
      <c r="FUY73" s="800"/>
      <c r="FUZ73" s="800"/>
      <c r="FVA73" s="705"/>
      <c r="FVB73" s="799"/>
      <c r="FVC73" s="800"/>
      <c r="FVD73" s="800"/>
      <c r="FVE73" s="800"/>
      <c r="FVF73" s="800"/>
      <c r="FVG73" s="800"/>
      <c r="FVH73" s="705"/>
      <c r="FVI73" s="799"/>
      <c r="FVJ73" s="800"/>
      <c r="FVK73" s="800"/>
      <c r="FVL73" s="800"/>
      <c r="FVM73" s="800"/>
      <c r="FVN73" s="800"/>
      <c r="FVO73" s="705"/>
      <c r="FVP73" s="799"/>
      <c r="FVQ73" s="800"/>
      <c r="FVR73" s="800"/>
      <c r="FVS73" s="800"/>
      <c r="FVT73" s="800"/>
      <c r="FVU73" s="800"/>
      <c r="FVV73" s="705"/>
      <c r="FVW73" s="799"/>
      <c r="FVX73" s="800"/>
      <c r="FVY73" s="800"/>
      <c r="FVZ73" s="800"/>
      <c r="FWA73" s="800"/>
      <c r="FWB73" s="800"/>
      <c r="FWC73" s="705"/>
      <c r="FWD73" s="799"/>
      <c r="FWE73" s="800"/>
      <c r="FWF73" s="800"/>
      <c r="FWG73" s="800"/>
      <c r="FWH73" s="800"/>
      <c r="FWI73" s="800"/>
      <c r="FWJ73" s="705"/>
      <c r="FWK73" s="799"/>
      <c r="FWL73" s="800"/>
      <c r="FWM73" s="800"/>
      <c r="FWN73" s="800"/>
      <c r="FWO73" s="800"/>
      <c r="FWP73" s="800"/>
      <c r="FWQ73" s="705"/>
      <c r="FWR73" s="799"/>
      <c r="FWS73" s="800"/>
      <c r="FWT73" s="800"/>
      <c r="FWU73" s="800"/>
      <c r="FWV73" s="800"/>
      <c r="FWW73" s="800"/>
      <c r="FWX73" s="705"/>
      <c r="FWY73" s="799"/>
      <c r="FWZ73" s="800"/>
      <c r="FXA73" s="800"/>
      <c r="FXB73" s="800"/>
      <c r="FXC73" s="800"/>
      <c r="FXD73" s="800"/>
      <c r="FXE73" s="705"/>
      <c r="FXF73" s="799"/>
      <c r="FXG73" s="800"/>
      <c r="FXH73" s="800"/>
      <c r="FXI73" s="800"/>
      <c r="FXJ73" s="800"/>
      <c r="FXK73" s="800"/>
      <c r="FXL73" s="705"/>
      <c r="FXM73" s="799"/>
      <c r="FXN73" s="800"/>
      <c r="FXO73" s="800"/>
      <c r="FXP73" s="800"/>
      <c r="FXQ73" s="800"/>
      <c r="FXR73" s="800"/>
      <c r="FXS73" s="705"/>
      <c r="FXT73" s="799"/>
      <c r="FXU73" s="800"/>
      <c r="FXV73" s="800"/>
      <c r="FXW73" s="800"/>
      <c r="FXX73" s="800"/>
      <c r="FXY73" s="800"/>
      <c r="FXZ73" s="705"/>
      <c r="FYA73" s="799"/>
      <c r="FYB73" s="800"/>
      <c r="FYC73" s="800"/>
      <c r="FYD73" s="800"/>
      <c r="FYE73" s="800"/>
      <c r="FYF73" s="800"/>
      <c r="FYG73" s="705"/>
      <c r="FYH73" s="799"/>
      <c r="FYI73" s="800"/>
      <c r="FYJ73" s="800"/>
      <c r="FYK73" s="800"/>
      <c r="FYL73" s="800"/>
      <c r="FYM73" s="800"/>
      <c r="FYN73" s="705"/>
      <c r="FYO73" s="799"/>
      <c r="FYP73" s="800"/>
      <c r="FYQ73" s="800"/>
      <c r="FYR73" s="800"/>
      <c r="FYS73" s="800"/>
      <c r="FYT73" s="800"/>
      <c r="FYU73" s="705"/>
      <c r="FYV73" s="799"/>
      <c r="FYW73" s="800"/>
      <c r="FYX73" s="800"/>
      <c r="FYY73" s="800"/>
      <c r="FYZ73" s="800"/>
      <c r="FZA73" s="800"/>
      <c r="FZB73" s="705"/>
      <c r="FZC73" s="799"/>
      <c r="FZD73" s="800"/>
      <c r="FZE73" s="800"/>
      <c r="FZF73" s="800"/>
      <c r="FZG73" s="800"/>
      <c r="FZH73" s="800"/>
      <c r="FZI73" s="705"/>
      <c r="FZJ73" s="799"/>
      <c r="FZK73" s="800"/>
      <c r="FZL73" s="800"/>
      <c r="FZM73" s="800"/>
      <c r="FZN73" s="800"/>
      <c r="FZO73" s="800"/>
      <c r="FZP73" s="705"/>
      <c r="FZQ73" s="799"/>
      <c r="FZR73" s="800"/>
      <c r="FZS73" s="800"/>
      <c r="FZT73" s="800"/>
      <c r="FZU73" s="800"/>
      <c r="FZV73" s="800"/>
      <c r="FZW73" s="705"/>
      <c r="FZX73" s="799"/>
      <c r="FZY73" s="800"/>
      <c r="FZZ73" s="800"/>
      <c r="GAA73" s="800"/>
      <c r="GAB73" s="800"/>
      <c r="GAC73" s="800"/>
      <c r="GAD73" s="705"/>
      <c r="GAE73" s="799"/>
      <c r="GAF73" s="800"/>
      <c r="GAG73" s="800"/>
      <c r="GAH73" s="800"/>
      <c r="GAI73" s="800"/>
      <c r="GAJ73" s="800"/>
      <c r="GAK73" s="705"/>
      <c r="GAL73" s="799"/>
      <c r="GAM73" s="800"/>
      <c r="GAN73" s="800"/>
      <c r="GAO73" s="800"/>
      <c r="GAP73" s="800"/>
      <c r="GAQ73" s="800"/>
      <c r="GAR73" s="705"/>
      <c r="GAS73" s="799"/>
      <c r="GAT73" s="800"/>
      <c r="GAU73" s="800"/>
      <c r="GAV73" s="800"/>
      <c r="GAW73" s="800"/>
      <c r="GAX73" s="800"/>
      <c r="GAY73" s="705"/>
      <c r="GAZ73" s="799"/>
      <c r="GBA73" s="800"/>
      <c r="GBB73" s="800"/>
      <c r="GBC73" s="800"/>
      <c r="GBD73" s="800"/>
      <c r="GBE73" s="800"/>
      <c r="GBF73" s="705"/>
      <c r="GBG73" s="799"/>
      <c r="GBH73" s="800"/>
      <c r="GBI73" s="800"/>
      <c r="GBJ73" s="800"/>
      <c r="GBK73" s="800"/>
      <c r="GBL73" s="800"/>
      <c r="GBM73" s="705"/>
      <c r="GBN73" s="799"/>
      <c r="GBO73" s="800"/>
      <c r="GBP73" s="800"/>
      <c r="GBQ73" s="800"/>
      <c r="GBR73" s="800"/>
      <c r="GBS73" s="800"/>
      <c r="GBT73" s="705"/>
      <c r="GBU73" s="799"/>
      <c r="GBV73" s="800"/>
      <c r="GBW73" s="800"/>
      <c r="GBX73" s="800"/>
      <c r="GBY73" s="800"/>
      <c r="GBZ73" s="800"/>
      <c r="GCA73" s="705"/>
      <c r="GCB73" s="799"/>
      <c r="GCC73" s="800"/>
      <c r="GCD73" s="800"/>
      <c r="GCE73" s="800"/>
      <c r="GCF73" s="800"/>
      <c r="GCG73" s="800"/>
      <c r="GCH73" s="705"/>
      <c r="GCI73" s="799"/>
      <c r="GCJ73" s="800"/>
      <c r="GCK73" s="800"/>
      <c r="GCL73" s="800"/>
      <c r="GCM73" s="800"/>
      <c r="GCN73" s="800"/>
      <c r="GCO73" s="705"/>
      <c r="GCP73" s="799"/>
      <c r="GCQ73" s="800"/>
      <c r="GCR73" s="800"/>
      <c r="GCS73" s="800"/>
      <c r="GCT73" s="800"/>
      <c r="GCU73" s="800"/>
      <c r="GCV73" s="705"/>
      <c r="GCW73" s="799"/>
      <c r="GCX73" s="800"/>
      <c r="GCY73" s="800"/>
      <c r="GCZ73" s="800"/>
      <c r="GDA73" s="800"/>
      <c r="GDB73" s="800"/>
      <c r="GDC73" s="705"/>
      <c r="GDD73" s="799"/>
      <c r="GDE73" s="800"/>
      <c r="GDF73" s="800"/>
      <c r="GDG73" s="800"/>
      <c r="GDH73" s="800"/>
      <c r="GDI73" s="800"/>
      <c r="GDJ73" s="705"/>
      <c r="GDK73" s="799"/>
      <c r="GDL73" s="800"/>
      <c r="GDM73" s="800"/>
      <c r="GDN73" s="800"/>
      <c r="GDO73" s="800"/>
      <c r="GDP73" s="800"/>
      <c r="GDQ73" s="705"/>
      <c r="GDR73" s="799"/>
      <c r="GDS73" s="800"/>
      <c r="GDT73" s="800"/>
      <c r="GDU73" s="800"/>
      <c r="GDV73" s="800"/>
      <c r="GDW73" s="800"/>
      <c r="GDX73" s="705"/>
      <c r="GDY73" s="799"/>
      <c r="GDZ73" s="800"/>
      <c r="GEA73" s="800"/>
      <c r="GEB73" s="800"/>
      <c r="GEC73" s="800"/>
      <c r="GED73" s="800"/>
      <c r="GEE73" s="705"/>
      <c r="GEF73" s="799"/>
      <c r="GEG73" s="800"/>
      <c r="GEH73" s="800"/>
      <c r="GEI73" s="800"/>
      <c r="GEJ73" s="800"/>
      <c r="GEK73" s="800"/>
      <c r="GEL73" s="705"/>
      <c r="GEM73" s="799"/>
      <c r="GEN73" s="800"/>
      <c r="GEO73" s="800"/>
      <c r="GEP73" s="800"/>
      <c r="GEQ73" s="800"/>
      <c r="GER73" s="800"/>
      <c r="GES73" s="705"/>
      <c r="GET73" s="799"/>
      <c r="GEU73" s="800"/>
      <c r="GEV73" s="800"/>
      <c r="GEW73" s="800"/>
      <c r="GEX73" s="800"/>
      <c r="GEY73" s="800"/>
      <c r="GEZ73" s="705"/>
      <c r="GFA73" s="799"/>
      <c r="GFB73" s="800"/>
      <c r="GFC73" s="800"/>
      <c r="GFD73" s="800"/>
      <c r="GFE73" s="800"/>
      <c r="GFF73" s="800"/>
      <c r="GFG73" s="705"/>
      <c r="GFH73" s="799"/>
      <c r="GFI73" s="800"/>
      <c r="GFJ73" s="800"/>
      <c r="GFK73" s="800"/>
      <c r="GFL73" s="800"/>
      <c r="GFM73" s="800"/>
      <c r="GFN73" s="705"/>
      <c r="GFO73" s="799"/>
      <c r="GFP73" s="800"/>
      <c r="GFQ73" s="800"/>
      <c r="GFR73" s="800"/>
      <c r="GFS73" s="800"/>
      <c r="GFT73" s="800"/>
      <c r="GFU73" s="705"/>
      <c r="GFV73" s="799"/>
      <c r="GFW73" s="800"/>
      <c r="GFX73" s="800"/>
      <c r="GFY73" s="800"/>
      <c r="GFZ73" s="800"/>
      <c r="GGA73" s="800"/>
      <c r="GGB73" s="705"/>
      <c r="GGC73" s="799"/>
      <c r="GGD73" s="800"/>
      <c r="GGE73" s="800"/>
      <c r="GGF73" s="800"/>
      <c r="GGG73" s="800"/>
      <c r="GGH73" s="800"/>
      <c r="GGI73" s="705"/>
      <c r="GGJ73" s="799"/>
      <c r="GGK73" s="800"/>
      <c r="GGL73" s="800"/>
      <c r="GGM73" s="800"/>
      <c r="GGN73" s="800"/>
      <c r="GGO73" s="800"/>
      <c r="GGP73" s="705"/>
      <c r="GGQ73" s="799"/>
      <c r="GGR73" s="800"/>
      <c r="GGS73" s="800"/>
      <c r="GGT73" s="800"/>
      <c r="GGU73" s="800"/>
      <c r="GGV73" s="800"/>
      <c r="GGW73" s="705"/>
      <c r="GGX73" s="799"/>
      <c r="GGY73" s="800"/>
      <c r="GGZ73" s="800"/>
      <c r="GHA73" s="800"/>
      <c r="GHB73" s="800"/>
      <c r="GHC73" s="800"/>
      <c r="GHD73" s="705"/>
      <c r="GHE73" s="799"/>
      <c r="GHF73" s="800"/>
      <c r="GHG73" s="800"/>
      <c r="GHH73" s="800"/>
      <c r="GHI73" s="800"/>
      <c r="GHJ73" s="800"/>
      <c r="GHK73" s="705"/>
      <c r="GHL73" s="799"/>
      <c r="GHM73" s="800"/>
      <c r="GHN73" s="800"/>
      <c r="GHO73" s="800"/>
      <c r="GHP73" s="800"/>
      <c r="GHQ73" s="800"/>
      <c r="GHR73" s="705"/>
      <c r="GHS73" s="799"/>
      <c r="GHT73" s="800"/>
      <c r="GHU73" s="800"/>
      <c r="GHV73" s="800"/>
      <c r="GHW73" s="800"/>
      <c r="GHX73" s="800"/>
      <c r="GHY73" s="705"/>
      <c r="GHZ73" s="799"/>
      <c r="GIA73" s="800"/>
      <c r="GIB73" s="800"/>
      <c r="GIC73" s="800"/>
      <c r="GID73" s="800"/>
      <c r="GIE73" s="800"/>
      <c r="GIF73" s="705"/>
      <c r="GIG73" s="799"/>
      <c r="GIH73" s="800"/>
      <c r="GII73" s="800"/>
      <c r="GIJ73" s="800"/>
      <c r="GIK73" s="800"/>
      <c r="GIL73" s="800"/>
      <c r="GIM73" s="705"/>
      <c r="GIN73" s="799"/>
      <c r="GIO73" s="800"/>
      <c r="GIP73" s="800"/>
      <c r="GIQ73" s="800"/>
      <c r="GIR73" s="800"/>
      <c r="GIS73" s="800"/>
      <c r="GIT73" s="705"/>
      <c r="GIU73" s="799"/>
      <c r="GIV73" s="800"/>
      <c r="GIW73" s="800"/>
      <c r="GIX73" s="800"/>
      <c r="GIY73" s="800"/>
      <c r="GIZ73" s="800"/>
      <c r="GJA73" s="705"/>
      <c r="GJB73" s="799"/>
      <c r="GJC73" s="800"/>
      <c r="GJD73" s="800"/>
      <c r="GJE73" s="800"/>
      <c r="GJF73" s="800"/>
      <c r="GJG73" s="800"/>
      <c r="GJH73" s="705"/>
      <c r="GJI73" s="799"/>
      <c r="GJJ73" s="800"/>
      <c r="GJK73" s="800"/>
      <c r="GJL73" s="800"/>
      <c r="GJM73" s="800"/>
      <c r="GJN73" s="800"/>
      <c r="GJO73" s="705"/>
      <c r="GJP73" s="799"/>
      <c r="GJQ73" s="800"/>
      <c r="GJR73" s="800"/>
      <c r="GJS73" s="800"/>
      <c r="GJT73" s="800"/>
      <c r="GJU73" s="800"/>
      <c r="GJV73" s="705"/>
      <c r="GJW73" s="799"/>
      <c r="GJX73" s="800"/>
      <c r="GJY73" s="800"/>
      <c r="GJZ73" s="800"/>
      <c r="GKA73" s="800"/>
      <c r="GKB73" s="800"/>
      <c r="GKC73" s="705"/>
      <c r="GKD73" s="799"/>
      <c r="GKE73" s="800"/>
      <c r="GKF73" s="800"/>
      <c r="GKG73" s="800"/>
      <c r="GKH73" s="800"/>
      <c r="GKI73" s="800"/>
      <c r="GKJ73" s="705"/>
      <c r="GKK73" s="799"/>
      <c r="GKL73" s="800"/>
      <c r="GKM73" s="800"/>
      <c r="GKN73" s="800"/>
      <c r="GKO73" s="800"/>
      <c r="GKP73" s="800"/>
      <c r="GKQ73" s="705"/>
      <c r="GKR73" s="799"/>
      <c r="GKS73" s="800"/>
      <c r="GKT73" s="800"/>
      <c r="GKU73" s="800"/>
      <c r="GKV73" s="800"/>
      <c r="GKW73" s="800"/>
      <c r="GKX73" s="705"/>
      <c r="GKY73" s="799"/>
      <c r="GKZ73" s="800"/>
      <c r="GLA73" s="800"/>
      <c r="GLB73" s="800"/>
      <c r="GLC73" s="800"/>
      <c r="GLD73" s="800"/>
      <c r="GLE73" s="705"/>
      <c r="GLF73" s="799"/>
      <c r="GLG73" s="800"/>
      <c r="GLH73" s="800"/>
      <c r="GLI73" s="800"/>
      <c r="GLJ73" s="800"/>
      <c r="GLK73" s="800"/>
      <c r="GLL73" s="705"/>
      <c r="GLM73" s="799"/>
      <c r="GLN73" s="800"/>
      <c r="GLO73" s="800"/>
      <c r="GLP73" s="800"/>
      <c r="GLQ73" s="800"/>
      <c r="GLR73" s="800"/>
      <c r="GLS73" s="705"/>
      <c r="GLT73" s="799"/>
      <c r="GLU73" s="800"/>
      <c r="GLV73" s="800"/>
      <c r="GLW73" s="800"/>
      <c r="GLX73" s="800"/>
      <c r="GLY73" s="800"/>
      <c r="GLZ73" s="705"/>
      <c r="GMA73" s="799"/>
      <c r="GMB73" s="800"/>
      <c r="GMC73" s="800"/>
      <c r="GMD73" s="800"/>
      <c r="GME73" s="800"/>
      <c r="GMF73" s="800"/>
      <c r="GMG73" s="705"/>
      <c r="GMH73" s="799"/>
      <c r="GMI73" s="800"/>
      <c r="GMJ73" s="800"/>
      <c r="GMK73" s="800"/>
      <c r="GML73" s="800"/>
      <c r="GMM73" s="800"/>
      <c r="GMN73" s="705"/>
      <c r="GMO73" s="799"/>
      <c r="GMP73" s="800"/>
      <c r="GMQ73" s="800"/>
      <c r="GMR73" s="800"/>
      <c r="GMS73" s="800"/>
      <c r="GMT73" s="800"/>
      <c r="GMU73" s="705"/>
      <c r="GMV73" s="799"/>
      <c r="GMW73" s="800"/>
      <c r="GMX73" s="800"/>
      <c r="GMY73" s="800"/>
      <c r="GMZ73" s="800"/>
      <c r="GNA73" s="800"/>
      <c r="GNB73" s="705"/>
      <c r="GNC73" s="799"/>
      <c r="GND73" s="800"/>
      <c r="GNE73" s="800"/>
      <c r="GNF73" s="800"/>
      <c r="GNG73" s="800"/>
      <c r="GNH73" s="800"/>
      <c r="GNI73" s="705"/>
      <c r="GNJ73" s="799"/>
      <c r="GNK73" s="800"/>
      <c r="GNL73" s="800"/>
      <c r="GNM73" s="800"/>
      <c r="GNN73" s="800"/>
      <c r="GNO73" s="800"/>
      <c r="GNP73" s="705"/>
      <c r="GNQ73" s="799"/>
      <c r="GNR73" s="800"/>
      <c r="GNS73" s="800"/>
      <c r="GNT73" s="800"/>
      <c r="GNU73" s="800"/>
      <c r="GNV73" s="800"/>
      <c r="GNW73" s="705"/>
      <c r="GNX73" s="799"/>
      <c r="GNY73" s="800"/>
      <c r="GNZ73" s="800"/>
      <c r="GOA73" s="800"/>
      <c r="GOB73" s="800"/>
      <c r="GOC73" s="800"/>
      <c r="GOD73" s="705"/>
      <c r="GOE73" s="799"/>
      <c r="GOF73" s="800"/>
      <c r="GOG73" s="800"/>
      <c r="GOH73" s="800"/>
      <c r="GOI73" s="800"/>
      <c r="GOJ73" s="800"/>
      <c r="GOK73" s="705"/>
      <c r="GOL73" s="799"/>
      <c r="GOM73" s="800"/>
      <c r="GON73" s="800"/>
      <c r="GOO73" s="800"/>
      <c r="GOP73" s="800"/>
      <c r="GOQ73" s="800"/>
      <c r="GOR73" s="705"/>
      <c r="GOS73" s="799"/>
      <c r="GOT73" s="800"/>
      <c r="GOU73" s="800"/>
      <c r="GOV73" s="800"/>
      <c r="GOW73" s="800"/>
      <c r="GOX73" s="800"/>
      <c r="GOY73" s="705"/>
      <c r="GOZ73" s="799"/>
      <c r="GPA73" s="800"/>
      <c r="GPB73" s="800"/>
      <c r="GPC73" s="800"/>
      <c r="GPD73" s="800"/>
      <c r="GPE73" s="800"/>
      <c r="GPF73" s="705"/>
      <c r="GPG73" s="799"/>
      <c r="GPH73" s="800"/>
      <c r="GPI73" s="800"/>
      <c r="GPJ73" s="800"/>
      <c r="GPK73" s="800"/>
      <c r="GPL73" s="800"/>
      <c r="GPM73" s="705"/>
      <c r="GPN73" s="799"/>
      <c r="GPO73" s="800"/>
      <c r="GPP73" s="800"/>
      <c r="GPQ73" s="800"/>
      <c r="GPR73" s="800"/>
      <c r="GPS73" s="800"/>
      <c r="GPT73" s="705"/>
      <c r="GPU73" s="799"/>
      <c r="GPV73" s="800"/>
      <c r="GPW73" s="800"/>
      <c r="GPX73" s="800"/>
      <c r="GPY73" s="800"/>
      <c r="GPZ73" s="800"/>
      <c r="GQA73" s="705"/>
      <c r="GQB73" s="799"/>
      <c r="GQC73" s="800"/>
      <c r="GQD73" s="800"/>
      <c r="GQE73" s="800"/>
      <c r="GQF73" s="800"/>
      <c r="GQG73" s="800"/>
      <c r="GQH73" s="705"/>
      <c r="GQI73" s="799"/>
      <c r="GQJ73" s="800"/>
      <c r="GQK73" s="800"/>
      <c r="GQL73" s="800"/>
      <c r="GQM73" s="800"/>
      <c r="GQN73" s="800"/>
      <c r="GQO73" s="705"/>
      <c r="GQP73" s="799"/>
      <c r="GQQ73" s="800"/>
      <c r="GQR73" s="800"/>
      <c r="GQS73" s="800"/>
      <c r="GQT73" s="800"/>
      <c r="GQU73" s="800"/>
      <c r="GQV73" s="705"/>
      <c r="GQW73" s="799"/>
      <c r="GQX73" s="800"/>
      <c r="GQY73" s="800"/>
      <c r="GQZ73" s="800"/>
      <c r="GRA73" s="800"/>
      <c r="GRB73" s="800"/>
      <c r="GRC73" s="705"/>
      <c r="GRD73" s="799"/>
      <c r="GRE73" s="800"/>
      <c r="GRF73" s="800"/>
      <c r="GRG73" s="800"/>
      <c r="GRH73" s="800"/>
      <c r="GRI73" s="800"/>
      <c r="GRJ73" s="705"/>
      <c r="GRK73" s="799"/>
      <c r="GRL73" s="800"/>
      <c r="GRM73" s="800"/>
      <c r="GRN73" s="800"/>
      <c r="GRO73" s="800"/>
      <c r="GRP73" s="800"/>
      <c r="GRQ73" s="705"/>
      <c r="GRR73" s="799"/>
      <c r="GRS73" s="800"/>
      <c r="GRT73" s="800"/>
      <c r="GRU73" s="800"/>
      <c r="GRV73" s="800"/>
      <c r="GRW73" s="800"/>
      <c r="GRX73" s="705"/>
      <c r="GRY73" s="799"/>
      <c r="GRZ73" s="800"/>
      <c r="GSA73" s="800"/>
      <c r="GSB73" s="800"/>
      <c r="GSC73" s="800"/>
      <c r="GSD73" s="800"/>
      <c r="GSE73" s="705"/>
      <c r="GSF73" s="799"/>
      <c r="GSG73" s="800"/>
      <c r="GSH73" s="800"/>
      <c r="GSI73" s="800"/>
      <c r="GSJ73" s="800"/>
      <c r="GSK73" s="800"/>
      <c r="GSL73" s="705"/>
      <c r="GSM73" s="799"/>
      <c r="GSN73" s="800"/>
      <c r="GSO73" s="800"/>
      <c r="GSP73" s="800"/>
      <c r="GSQ73" s="800"/>
      <c r="GSR73" s="800"/>
      <c r="GSS73" s="705"/>
      <c r="GST73" s="799"/>
      <c r="GSU73" s="800"/>
      <c r="GSV73" s="800"/>
      <c r="GSW73" s="800"/>
      <c r="GSX73" s="800"/>
      <c r="GSY73" s="800"/>
      <c r="GSZ73" s="705"/>
      <c r="GTA73" s="799"/>
      <c r="GTB73" s="800"/>
      <c r="GTC73" s="800"/>
      <c r="GTD73" s="800"/>
      <c r="GTE73" s="800"/>
      <c r="GTF73" s="800"/>
      <c r="GTG73" s="705"/>
      <c r="GTH73" s="799"/>
      <c r="GTI73" s="800"/>
      <c r="GTJ73" s="800"/>
      <c r="GTK73" s="800"/>
      <c r="GTL73" s="800"/>
      <c r="GTM73" s="800"/>
      <c r="GTN73" s="705"/>
      <c r="GTO73" s="799"/>
      <c r="GTP73" s="800"/>
      <c r="GTQ73" s="800"/>
      <c r="GTR73" s="800"/>
      <c r="GTS73" s="800"/>
      <c r="GTT73" s="800"/>
      <c r="GTU73" s="705"/>
      <c r="GTV73" s="799"/>
      <c r="GTW73" s="800"/>
      <c r="GTX73" s="800"/>
      <c r="GTY73" s="800"/>
      <c r="GTZ73" s="800"/>
      <c r="GUA73" s="800"/>
      <c r="GUB73" s="705"/>
      <c r="GUC73" s="799"/>
      <c r="GUD73" s="800"/>
      <c r="GUE73" s="800"/>
      <c r="GUF73" s="800"/>
      <c r="GUG73" s="800"/>
      <c r="GUH73" s="800"/>
      <c r="GUI73" s="705"/>
      <c r="GUJ73" s="799"/>
      <c r="GUK73" s="800"/>
      <c r="GUL73" s="800"/>
      <c r="GUM73" s="800"/>
      <c r="GUN73" s="800"/>
      <c r="GUO73" s="800"/>
      <c r="GUP73" s="705"/>
      <c r="GUQ73" s="799"/>
      <c r="GUR73" s="800"/>
      <c r="GUS73" s="800"/>
      <c r="GUT73" s="800"/>
      <c r="GUU73" s="800"/>
      <c r="GUV73" s="800"/>
      <c r="GUW73" s="705"/>
      <c r="GUX73" s="799"/>
      <c r="GUY73" s="800"/>
      <c r="GUZ73" s="800"/>
      <c r="GVA73" s="800"/>
      <c r="GVB73" s="800"/>
      <c r="GVC73" s="800"/>
      <c r="GVD73" s="705"/>
      <c r="GVE73" s="799"/>
      <c r="GVF73" s="800"/>
      <c r="GVG73" s="800"/>
      <c r="GVH73" s="800"/>
      <c r="GVI73" s="800"/>
      <c r="GVJ73" s="800"/>
      <c r="GVK73" s="705"/>
      <c r="GVL73" s="799"/>
      <c r="GVM73" s="800"/>
      <c r="GVN73" s="800"/>
      <c r="GVO73" s="800"/>
      <c r="GVP73" s="800"/>
      <c r="GVQ73" s="800"/>
      <c r="GVR73" s="705"/>
      <c r="GVS73" s="799"/>
      <c r="GVT73" s="800"/>
      <c r="GVU73" s="800"/>
      <c r="GVV73" s="800"/>
      <c r="GVW73" s="800"/>
      <c r="GVX73" s="800"/>
      <c r="GVY73" s="705"/>
      <c r="GVZ73" s="799"/>
      <c r="GWA73" s="800"/>
      <c r="GWB73" s="800"/>
      <c r="GWC73" s="800"/>
      <c r="GWD73" s="800"/>
      <c r="GWE73" s="800"/>
      <c r="GWF73" s="705"/>
      <c r="GWG73" s="799"/>
      <c r="GWH73" s="800"/>
      <c r="GWI73" s="800"/>
      <c r="GWJ73" s="800"/>
      <c r="GWK73" s="800"/>
      <c r="GWL73" s="800"/>
      <c r="GWM73" s="705"/>
      <c r="GWN73" s="799"/>
      <c r="GWO73" s="800"/>
      <c r="GWP73" s="800"/>
      <c r="GWQ73" s="800"/>
      <c r="GWR73" s="800"/>
      <c r="GWS73" s="800"/>
      <c r="GWT73" s="705"/>
      <c r="GWU73" s="799"/>
      <c r="GWV73" s="800"/>
      <c r="GWW73" s="800"/>
      <c r="GWX73" s="800"/>
      <c r="GWY73" s="800"/>
      <c r="GWZ73" s="800"/>
      <c r="GXA73" s="705"/>
      <c r="GXB73" s="799"/>
      <c r="GXC73" s="800"/>
      <c r="GXD73" s="800"/>
      <c r="GXE73" s="800"/>
      <c r="GXF73" s="800"/>
      <c r="GXG73" s="800"/>
      <c r="GXH73" s="705"/>
      <c r="GXI73" s="799"/>
      <c r="GXJ73" s="800"/>
      <c r="GXK73" s="800"/>
      <c r="GXL73" s="800"/>
      <c r="GXM73" s="800"/>
      <c r="GXN73" s="800"/>
      <c r="GXO73" s="705"/>
      <c r="GXP73" s="799"/>
      <c r="GXQ73" s="800"/>
      <c r="GXR73" s="800"/>
      <c r="GXS73" s="800"/>
      <c r="GXT73" s="800"/>
      <c r="GXU73" s="800"/>
      <c r="GXV73" s="705"/>
      <c r="GXW73" s="799"/>
      <c r="GXX73" s="800"/>
      <c r="GXY73" s="800"/>
      <c r="GXZ73" s="800"/>
      <c r="GYA73" s="800"/>
      <c r="GYB73" s="800"/>
      <c r="GYC73" s="705"/>
      <c r="GYD73" s="799"/>
      <c r="GYE73" s="800"/>
      <c r="GYF73" s="800"/>
      <c r="GYG73" s="800"/>
      <c r="GYH73" s="800"/>
      <c r="GYI73" s="800"/>
      <c r="GYJ73" s="705"/>
      <c r="GYK73" s="799"/>
      <c r="GYL73" s="800"/>
      <c r="GYM73" s="800"/>
      <c r="GYN73" s="800"/>
      <c r="GYO73" s="800"/>
      <c r="GYP73" s="800"/>
      <c r="GYQ73" s="705"/>
      <c r="GYR73" s="799"/>
      <c r="GYS73" s="800"/>
      <c r="GYT73" s="800"/>
      <c r="GYU73" s="800"/>
      <c r="GYV73" s="800"/>
      <c r="GYW73" s="800"/>
      <c r="GYX73" s="705"/>
      <c r="GYY73" s="799"/>
      <c r="GYZ73" s="800"/>
      <c r="GZA73" s="800"/>
      <c r="GZB73" s="800"/>
      <c r="GZC73" s="800"/>
      <c r="GZD73" s="800"/>
      <c r="GZE73" s="705"/>
      <c r="GZF73" s="799"/>
      <c r="GZG73" s="800"/>
      <c r="GZH73" s="800"/>
      <c r="GZI73" s="800"/>
      <c r="GZJ73" s="800"/>
      <c r="GZK73" s="800"/>
      <c r="GZL73" s="705"/>
      <c r="GZM73" s="799"/>
      <c r="GZN73" s="800"/>
      <c r="GZO73" s="800"/>
      <c r="GZP73" s="800"/>
      <c r="GZQ73" s="800"/>
      <c r="GZR73" s="800"/>
      <c r="GZS73" s="705"/>
      <c r="GZT73" s="799"/>
      <c r="GZU73" s="800"/>
      <c r="GZV73" s="800"/>
      <c r="GZW73" s="800"/>
      <c r="GZX73" s="800"/>
      <c r="GZY73" s="800"/>
      <c r="GZZ73" s="705"/>
      <c r="HAA73" s="799"/>
      <c r="HAB73" s="800"/>
      <c r="HAC73" s="800"/>
      <c r="HAD73" s="800"/>
      <c r="HAE73" s="800"/>
      <c r="HAF73" s="800"/>
      <c r="HAG73" s="705"/>
      <c r="HAH73" s="799"/>
      <c r="HAI73" s="800"/>
      <c r="HAJ73" s="800"/>
      <c r="HAK73" s="800"/>
      <c r="HAL73" s="800"/>
      <c r="HAM73" s="800"/>
      <c r="HAN73" s="705"/>
      <c r="HAO73" s="799"/>
      <c r="HAP73" s="800"/>
      <c r="HAQ73" s="800"/>
      <c r="HAR73" s="800"/>
      <c r="HAS73" s="800"/>
      <c r="HAT73" s="800"/>
      <c r="HAU73" s="705"/>
      <c r="HAV73" s="799"/>
      <c r="HAW73" s="800"/>
      <c r="HAX73" s="800"/>
      <c r="HAY73" s="800"/>
      <c r="HAZ73" s="800"/>
      <c r="HBA73" s="800"/>
      <c r="HBB73" s="705"/>
      <c r="HBC73" s="799"/>
      <c r="HBD73" s="800"/>
      <c r="HBE73" s="800"/>
      <c r="HBF73" s="800"/>
      <c r="HBG73" s="800"/>
      <c r="HBH73" s="800"/>
      <c r="HBI73" s="705"/>
      <c r="HBJ73" s="799"/>
      <c r="HBK73" s="800"/>
      <c r="HBL73" s="800"/>
      <c r="HBM73" s="800"/>
      <c r="HBN73" s="800"/>
      <c r="HBO73" s="800"/>
      <c r="HBP73" s="705"/>
      <c r="HBQ73" s="799"/>
      <c r="HBR73" s="800"/>
      <c r="HBS73" s="800"/>
      <c r="HBT73" s="800"/>
      <c r="HBU73" s="800"/>
      <c r="HBV73" s="800"/>
      <c r="HBW73" s="705"/>
      <c r="HBX73" s="799"/>
      <c r="HBY73" s="800"/>
      <c r="HBZ73" s="800"/>
      <c r="HCA73" s="800"/>
      <c r="HCB73" s="800"/>
      <c r="HCC73" s="800"/>
      <c r="HCD73" s="705"/>
      <c r="HCE73" s="799"/>
      <c r="HCF73" s="800"/>
      <c r="HCG73" s="800"/>
      <c r="HCH73" s="800"/>
      <c r="HCI73" s="800"/>
      <c r="HCJ73" s="800"/>
      <c r="HCK73" s="705"/>
      <c r="HCL73" s="799"/>
      <c r="HCM73" s="800"/>
      <c r="HCN73" s="800"/>
      <c r="HCO73" s="800"/>
      <c r="HCP73" s="800"/>
      <c r="HCQ73" s="800"/>
      <c r="HCR73" s="705"/>
      <c r="HCS73" s="799"/>
      <c r="HCT73" s="800"/>
      <c r="HCU73" s="800"/>
      <c r="HCV73" s="800"/>
      <c r="HCW73" s="800"/>
      <c r="HCX73" s="800"/>
      <c r="HCY73" s="705"/>
      <c r="HCZ73" s="799"/>
      <c r="HDA73" s="800"/>
      <c r="HDB73" s="800"/>
      <c r="HDC73" s="800"/>
      <c r="HDD73" s="800"/>
      <c r="HDE73" s="800"/>
      <c r="HDF73" s="705"/>
      <c r="HDG73" s="799"/>
      <c r="HDH73" s="800"/>
      <c r="HDI73" s="800"/>
      <c r="HDJ73" s="800"/>
      <c r="HDK73" s="800"/>
      <c r="HDL73" s="800"/>
      <c r="HDM73" s="705"/>
      <c r="HDN73" s="799"/>
      <c r="HDO73" s="800"/>
      <c r="HDP73" s="800"/>
      <c r="HDQ73" s="800"/>
      <c r="HDR73" s="800"/>
      <c r="HDS73" s="800"/>
      <c r="HDT73" s="705"/>
      <c r="HDU73" s="799"/>
      <c r="HDV73" s="800"/>
      <c r="HDW73" s="800"/>
      <c r="HDX73" s="800"/>
      <c r="HDY73" s="800"/>
      <c r="HDZ73" s="800"/>
      <c r="HEA73" s="705"/>
      <c r="HEB73" s="799"/>
      <c r="HEC73" s="800"/>
      <c r="HED73" s="800"/>
      <c r="HEE73" s="800"/>
      <c r="HEF73" s="800"/>
      <c r="HEG73" s="800"/>
      <c r="HEH73" s="705"/>
      <c r="HEI73" s="799"/>
      <c r="HEJ73" s="800"/>
      <c r="HEK73" s="800"/>
      <c r="HEL73" s="800"/>
      <c r="HEM73" s="800"/>
      <c r="HEN73" s="800"/>
      <c r="HEO73" s="705"/>
      <c r="HEP73" s="799"/>
      <c r="HEQ73" s="800"/>
      <c r="HER73" s="800"/>
      <c r="HES73" s="800"/>
      <c r="HET73" s="800"/>
      <c r="HEU73" s="800"/>
      <c r="HEV73" s="705"/>
      <c r="HEW73" s="799"/>
      <c r="HEX73" s="800"/>
      <c r="HEY73" s="800"/>
      <c r="HEZ73" s="800"/>
      <c r="HFA73" s="800"/>
      <c r="HFB73" s="800"/>
      <c r="HFC73" s="705"/>
      <c r="HFD73" s="799"/>
      <c r="HFE73" s="800"/>
      <c r="HFF73" s="800"/>
      <c r="HFG73" s="800"/>
      <c r="HFH73" s="800"/>
      <c r="HFI73" s="800"/>
      <c r="HFJ73" s="705"/>
      <c r="HFK73" s="799"/>
      <c r="HFL73" s="800"/>
      <c r="HFM73" s="800"/>
      <c r="HFN73" s="800"/>
      <c r="HFO73" s="800"/>
      <c r="HFP73" s="800"/>
      <c r="HFQ73" s="705"/>
      <c r="HFR73" s="799"/>
      <c r="HFS73" s="800"/>
      <c r="HFT73" s="800"/>
      <c r="HFU73" s="800"/>
      <c r="HFV73" s="800"/>
      <c r="HFW73" s="800"/>
      <c r="HFX73" s="705"/>
      <c r="HFY73" s="799"/>
      <c r="HFZ73" s="800"/>
      <c r="HGA73" s="800"/>
      <c r="HGB73" s="800"/>
      <c r="HGC73" s="800"/>
      <c r="HGD73" s="800"/>
      <c r="HGE73" s="705"/>
      <c r="HGF73" s="799"/>
      <c r="HGG73" s="800"/>
      <c r="HGH73" s="800"/>
      <c r="HGI73" s="800"/>
      <c r="HGJ73" s="800"/>
      <c r="HGK73" s="800"/>
      <c r="HGL73" s="705"/>
      <c r="HGM73" s="799"/>
      <c r="HGN73" s="800"/>
      <c r="HGO73" s="800"/>
      <c r="HGP73" s="800"/>
      <c r="HGQ73" s="800"/>
      <c r="HGR73" s="800"/>
      <c r="HGS73" s="705"/>
      <c r="HGT73" s="799"/>
      <c r="HGU73" s="800"/>
      <c r="HGV73" s="800"/>
      <c r="HGW73" s="800"/>
      <c r="HGX73" s="800"/>
      <c r="HGY73" s="800"/>
      <c r="HGZ73" s="705"/>
      <c r="HHA73" s="799"/>
      <c r="HHB73" s="800"/>
      <c r="HHC73" s="800"/>
      <c r="HHD73" s="800"/>
      <c r="HHE73" s="800"/>
      <c r="HHF73" s="800"/>
      <c r="HHG73" s="705"/>
      <c r="HHH73" s="799"/>
      <c r="HHI73" s="800"/>
      <c r="HHJ73" s="800"/>
      <c r="HHK73" s="800"/>
      <c r="HHL73" s="800"/>
      <c r="HHM73" s="800"/>
      <c r="HHN73" s="705"/>
      <c r="HHO73" s="799"/>
      <c r="HHP73" s="800"/>
      <c r="HHQ73" s="800"/>
      <c r="HHR73" s="800"/>
      <c r="HHS73" s="800"/>
      <c r="HHT73" s="800"/>
      <c r="HHU73" s="705"/>
      <c r="HHV73" s="799"/>
      <c r="HHW73" s="800"/>
      <c r="HHX73" s="800"/>
      <c r="HHY73" s="800"/>
      <c r="HHZ73" s="800"/>
      <c r="HIA73" s="800"/>
      <c r="HIB73" s="705"/>
      <c r="HIC73" s="799"/>
      <c r="HID73" s="800"/>
      <c r="HIE73" s="800"/>
      <c r="HIF73" s="800"/>
      <c r="HIG73" s="800"/>
      <c r="HIH73" s="800"/>
      <c r="HII73" s="705"/>
      <c r="HIJ73" s="799"/>
      <c r="HIK73" s="800"/>
      <c r="HIL73" s="800"/>
      <c r="HIM73" s="800"/>
      <c r="HIN73" s="800"/>
      <c r="HIO73" s="800"/>
      <c r="HIP73" s="705"/>
      <c r="HIQ73" s="799"/>
      <c r="HIR73" s="800"/>
      <c r="HIS73" s="800"/>
      <c r="HIT73" s="800"/>
      <c r="HIU73" s="800"/>
      <c r="HIV73" s="800"/>
      <c r="HIW73" s="705"/>
      <c r="HIX73" s="799"/>
      <c r="HIY73" s="800"/>
      <c r="HIZ73" s="800"/>
      <c r="HJA73" s="800"/>
      <c r="HJB73" s="800"/>
      <c r="HJC73" s="800"/>
      <c r="HJD73" s="705"/>
      <c r="HJE73" s="799"/>
      <c r="HJF73" s="800"/>
      <c r="HJG73" s="800"/>
      <c r="HJH73" s="800"/>
      <c r="HJI73" s="800"/>
      <c r="HJJ73" s="800"/>
      <c r="HJK73" s="705"/>
      <c r="HJL73" s="799"/>
      <c r="HJM73" s="800"/>
      <c r="HJN73" s="800"/>
      <c r="HJO73" s="800"/>
      <c r="HJP73" s="800"/>
      <c r="HJQ73" s="800"/>
      <c r="HJR73" s="705"/>
      <c r="HJS73" s="799"/>
      <c r="HJT73" s="800"/>
      <c r="HJU73" s="800"/>
      <c r="HJV73" s="800"/>
      <c r="HJW73" s="800"/>
      <c r="HJX73" s="800"/>
      <c r="HJY73" s="705"/>
      <c r="HJZ73" s="799"/>
      <c r="HKA73" s="800"/>
      <c r="HKB73" s="800"/>
      <c r="HKC73" s="800"/>
      <c r="HKD73" s="800"/>
      <c r="HKE73" s="800"/>
      <c r="HKF73" s="705"/>
      <c r="HKG73" s="799"/>
      <c r="HKH73" s="800"/>
      <c r="HKI73" s="800"/>
      <c r="HKJ73" s="800"/>
      <c r="HKK73" s="800"/>
      <c r="HKL73" s="800"/>
      <c r="HKM73" s="705"/>
      <c r="HKN73" s="799"/>
      <c r="HKO73" s="800"/>
      <c r="HKP73" s="800"/>
      <c r="HKQ73" s="800"/>
      <c r="HKR73" s="800"/>
      <c r="HKS73" s="800"/>
      <c r="HKT73" s="705"/>
      <c r="HKU73" s="799"/>
      <c r="HKV73" s="800"/>
      <c r="HKW73" s="800"/>
      <c r="HKX73" s="800"/>
      <c r="HKY73" s="800"/>
      <c r="HKZ73" s="800"/>
      <c r="HLA73" s="705"/>
      <c r="HLB73" s="799"/>
      <c r="HLC73" s="800"/>
      <c r="HLD73" s="800"/>
      <c r="HLE73" s="800"/>
      <c r="HLF73" s="800"/>
      <c r="HLG73" s="800"/>
      <c r="HLH73" s="705"/>
      <c r="HLI73" s="799"/>
      <c r="HLJ73" s="800"/>
      <c r="HLK73" s="800"/>
      <c r="HLL73" s="800"/>
      <c r="HLM73" s="800"/>
      <c r="HLN73" s="800"/>
      <c r="HLO73" s="705"/>
      <c r="HLP73" s="799"/>
      <c r="HLQ73" s="800"/>
      <c r="HLR73" s="800"/>
      <c r="HLS73" s="800"/>
      <c r="HLT73" s="800"/>
      <c r="HLU73" s="800"/>
      <c r="HLV73" s="705"/>
      <c r="HLW73" s="799"/>
      <c r="HLX73" s="800"/>
      <c r="HLY73" s="800"/>
      <c r="HLZ73" s="800"/>
      <c r="HMA73" s="800"/>
      <c r="HMB73" s="800"/>
      <c r="HMC73" s="705"/>
      <c r="HMD73" s="799"/>
      <c r="HME73" s="800"/>
      <c r="HMF73" s="800"/>
      <c r="HMG73" s="800"/>
      <c r="HMH73" s="800"/>
      <c r="HMI73" s="800"/>
      <c r="HMJ73" s="705"/>
      <c r="HMK73" s="799"/>
      <c r="HML73" s="800"/>
      <c r="HMM73" s="800"/>
      <c r="HMN73" s="800"/>
      <c r="HMO73" s="800"/>
      <c r="HMP73" s="800"/>
      <c r="HMQ73" s="705"/>
      <c r="HMR73" s="799"/>
      <c r="HMS73" s="800"/>
      <c r="HMT73" s="800"/>
      <c r="HMU73" s="800"/>
      <c r="HMV73" s="800"/>
      <c r="HMW73" s="800"/>
      <c r="HMX73" s="705"/>
      <c r="HMY73" s="799"/>
      <c r="HMZ73" s="800"/>
      <c r="HNA73" s="800"/>
      <c r="HNB73" s="800"/>
      <c r="HNC73" s="800"/>
      <c r="HND73" s="800"/>
      <c r="HNE73" s="705"/>
      <c r="HNF73" s="799"/>
      <c r="HNG73" s="800"/>
      <c r="HNH73" s="800"/>
      <c r="HNI73" s="800"/>
      <c r="HNJ73" s="800"/>
      <c r="HNK73" s="800"/>
      <c r="HNL73" s="705"/>
      <c r="HNM73" s="799"/>
      <c r="HNN73" s="800"/>
      <c r="HNO73" s="800"/>
      <c r="HNP73" s="800"/>
      <c r="HNQ73" s="800"/>
      <c r="HNR73" s="800"/>
      <c r="HNS73" s="705"/>
      <c r="HNT73" s="799"/>
      <c r="HNU73" s="800"/>
      <c r="HNV73" s="800"/>
      <c r="HNW73" s="800"/>
      <c r="HNX73" s="800"/>
      <c r="HNY73" s="800"/>
      <c r="HNZ73" s="705"/>
      <c r="HOA73" s="799"/>
      <c r="HOB73" s="800"/>
      <c r="HOC73" s="800"/>
      <c r="HOD73" s="800"/>
      <c r="HOE73" s="800"/>
      <c r="HOF73" s="800"/>
      <c r="HOG73" s="705"/>
      <c r="HOH73" s="799"/>
      <c r="HOI73" s="800"/>
      <c r="HOJ73" s="800"/>
      <c r="HOK73" s="800"/>
      <c r="HOL73" s="800"/>
      <c r="HOM73" s="800"/>
      <c r="HON73" s="705"/>
      <c r="HOO73" s="799"/>
      <c r="HOP73" s="800"/>
      <c r="HOQ73" s="800"/>
      <c r="HOR73" s="800"/>
      <c r="HOS73" s="800"/>
      <c r="HOT73" s="800"/>
      <c r="HOU73" s="705"/>
      <c r="HOV73" s="799"/>
      <c r="HOW73" s="800"/>
      <c r="HOX73" s="800"/>
      <c r="HOY73" s="800"/>
      <c r="HOZ73" s="800"/>
      <c r="HPA73" s="800"/>
      <c r="HPB73" s="705"/>
      <c r="HPC73" s="799"/>
      <c r="HPD73" s="800"/>
      <c r="HPE73" s="800"/>
      <c r="HPF73" s="800"/>
      <c r="HPG73" s="800"/>
      <c r="HPH73" s="800"/>
      <c r="HPI73" s="705"/>
      <c r="HPJ73" s="799"/>
      <c r="HPK73" s="800"/>
      <c r="HPL73" s="800"/>
      <c r="HPM73" s="800"/>
      <c r="HPN73" s="800"/>
      <c r="HPO73" s="800"/>
      <c r="HPP73" s="705"/>
      <c r="HPQ73" s="799"/>
      <c r="HPR73" s="800"/>
      <c r="HPS73" s="800"/>
      <c r="HPT73" s="800"/>
      <c r="HPU73" s="800"/>
      <c r="HPV73" s="800"/>
      <c r="HPW73" s="705"/>
      <c r="HPX73" s="799"/>
      <c r="HPY73" s="800"/>
      <c r="HPZ73" s="800"/>
      <c r="HQA73" s="800"/>
      <c r="HQB73" s="800"/>
      <c r="HQC73" s="800"/>
      <c r="HQD73" s="705"/>
      <c r="HQE73" s="799"/>
      <c r="HQF73" s="800"/>
      <c r="HQG73" s="800"/>
      <c r="HQH73" s="800"/>
      <c r="HQI73" s="800"/>
      <c r="HQJ73" s="800"/>
      <c r="HQK73" s="705"/>
      <c r="HQL73" s="799"/>
      <c r="HQM73" s="800"/>
      <c r="HQN73" s="800"/>
      <c r="HQO73" s="800"/>
      <c r="HQP73" s="800"/>
      <c r="HQQ73" s="800"/>
      <c r="HQR73" s="705"/>
      <c r="HQS73" s="799"/>
      <c r="HQT73" s="800"/>
      <c r="HQU73" s="800"/>
      <c r="HQV73" s="800"/>
      <c r="HQW73" s="800"/>
      <c r="HQX73" s="800"/>
      <c r="HQY73" s="705"/>
      <c r="HQZ73" s="799"/>
      <c r="HRA73" s="800"/>
      <c r="HRB73" s="800"/>
      <c r="HRC73" s="800"/>
      <c r="HRD73" s="800"/>
      <c r="HRE73" s="800"/>
      <c r="HRF73" s="705"/>
      <c r="HRG73" s="799"/>
      <c r="HRH73" s="800"/>
      <c r="HRI73" s="800"/>
      <c r="HRJ73" s="800"/>
      <c r="HRK73" s="800"/>
      <c r="HRL73" s="800"/>
      <c r="HRM73" s="705"/>
      <c r="HRN73" s="799"/>
      <c r="HRO73" s="800"/>
      <c r="HRP73" s="800"/>
      <c r="HRQ73" s="800"/>
      <c r="HRR73" s="800"/>
      <c r="HRS73" s="800"/>
      <c r="HRT73" s="705"/>
      <c r="HRU73" s="799"/>
      <c r="HRV73" s="800"/>
      <c r="HRW73" s="800"/>
      <c r="HRX73" s="800"/>
      <c r="HRY73" s="800"/>
      <c r="HRZ73" s="800"/>
      <c r="HSA73" s="705"/>
      <c r="HSB73" s="799"/>
      <c r="HSC73" s="800"/>
      <c r="HSD73" s="800"/>
      <c r="HSE73" s="800"/>
      <c r="HSF73" s="800"/>
      <c r="HSG73" s="800"/>
      <c r="HSH73" s="705"/>
      <c r="HSI73" s="799"/>
      <c r="HSJ73" s="800"/>
      <c r="HSK73" s="800"/>
      <c r="HSL73" s="800"/>
      <c r="HSM73" s="800"/>
      <c r="HSN73" s="800"/>
      <c r="HSO73" s="705"/>
      <c r="HSP73" s="799"/>
      <c r="HSQ73" s="800"/>
      <c r="HSR73" s="800"/>
      <c r="HSS73" s="800"/>
      <c r="HST73" s="800"/>
      <c r="HSU73" s="800"/>
      <c r="HSV73" s="705"/>
      <c r="HSW73" s="799"/>
      <c r="HSX73" s="800"/>
      <c r="HSY73" s="800"/>
      <c r="HSZ73" s="800"/>
      <c r="HTA73" s="800"/>
      <c r="HTB73" s="800"/>
      <c r="HTC73" s="705"/>
      <c r="HTD73" s="799"/>
      <c r="HTE73" s="800"/>
      <c r="HTF73" s="800"/>
      <c r="HTG73" s="800"/>
      <c r="HTH73" s="800"/>
      <c r="HTI73" s="800"/>
      <c r="HTJ73" s="705"/>
      <c r="HTK73" s="799"/>
      <c r="HTL73" s="800"/>
      <c r="HTM73" s="800"/>
      <c r="HTN73" s="800"/>
      <c r="HTO73" s="800"/>
      <c r="HTP73" s="800"/>
      <c r="HTQ73" s="705"/>
      <c r="HTR73" s="799"/>
      <c r="HTS73" s="800"/>
      <c r="HTT73" s="800"/>
      <c r="HTU73" s="800"/>
      <c r="HTV73" s="800"/>
      <c r="HTW73" s="800"/>
      <c r="HTX73" s="705"/>
      <c r="HTY73" s="799"/>
      <c r="HTZ73" s="800"/>
      <c r="HUA73" s="800"/>
      <c r="HUB73" s="800"/>
      <c r="HUC73" s="800"/>
      <c r="HUD73" s="800"/>
      <c r="HUE73" s="705"/>
      <c r="HUF73" s="799"/>
      <c r="HUG73" s="800"/>
      <c r="HUH73" s="800"/>
      <c r="HUI73" s="800"/>
      <c r="HUJ73" s="800"/>
      <c r="HUK73" s="800"/>
      <c r="HUL73" s="705"/>
      <c r="HUM73" s="799"/>
      <c r="HUN73" s="800"/>
      <c r="HUO73" s="800"/>
      <c r="HUP73" s="800"/>
      <c r="HUQ73" s="800"/>
      <c r="HUR73" s="800"/>
      <c r="HUS73" s="705"/>
      <c r="HUT73" s="799"/>
      <c r="HUU73" s="800"/>
      <c r="HUV73" s="800"/>
      <c r="HUW73" s="800"/>
      <c r="HUX73" s="800"/>
      <c r="HUY73" s="800"/>
      <c r="HUZ73" s="705"/>
      <c r="HVA73" s="799"/>
      <c r="HVB73" s="800"/>
      <c r="HVC73" s="800"/>
      <c r="HVD73" s="800"/>
      <c r="HVE73" s="800"/>
      <c r="HVF73" s="800"/>
      <c r="HVG73" s="705"/>
      <c r="HVH73" s="799"/>
      <c r="HVI73" s="800"/>
      <c r="HVJ73" s="800"/>
      <c r="HVK73" s="800"/>
      <c r="HVL73" s="800"/>
      <c r="HVM73" s="800"/>
      <c r="HVN73" s="705"/>
      <c r="HVO73" s="799"/>
      <c r="HVP73" s="800"/>
      <c r="HVQ73" s="800"/>
      <c r="HVR73" s="800"/>
      <c r="HVS73" s="800"/>
      <c r="HVT73" s="800"/>
      <c r="HVU73" s="705"/>
      <c r="HVV73" s="799"/>
      <c r="HVW73" s="800"/>
      <c r="HVX73" s="800"/>
      <c r="HVY73" s="800"/>
      <c r="HVZ73" s="800"/>
      <c r="HWA73" s="800"/>
      <c r="HWB73" s="705"/>
      <c r="HWC73" s="799"/>
      <c r="HWD73" s="800"/>
      <c r="HWE73" s="800"/>
      <c r="HWF73" s="800"/>
      <c r="HWG73" s="800"/>
      <c r="HWH73" s="800"/>
      <c r="HWI73" s="705"/>
      <c r="HWJ73" s="799"/>
      <c r="HWK73" s="800"/>
      <c r="HWL73" s="800"/>
      <c r="HWM73" s="800"/>
      <c r="HWN73" s="800"/>
      <c r="HWO73" s="800"/>
      <c r="HWP73" s="705"/>
      <c r="HWQ73" s="799"/>
      <c r="HWR73" s="800"/>
      <c r="HWS73" s="800"/>
      <c r="HWT73" s="800"/>
      <c r="HWU73" s="800"/>
      <c r="HWV73" s="800"/>
      <c r="HWW73" s="705"/>
      <c r="HWX73" s="799"/>
      <c r="HWY73" s="800"/>
      <c r="HWZ73" s="800"/>
      <c r="HXA73" s="800"/>
      <c r="HXB73" s="800"/>
      <c r="HXC73" s="800"/>
      <c r="HXD73" s="705"/>
      <c r="HXE73" s="799"/>
      <c r="HXF73" s="800"/>
      <c r="HXG73" s="800"/>
      <c r="HXH73" s="800"/>
      <c r="HXI73" s="800"/>
      <c r="HXJ73" s="800"/>
      <c r="HXK73" s="705"/>
      <c r="HXL73" s="799"/>
      <c r="HXM73" s="800"/>
      <c r="HXN73" s="800"/>
      <c r="HXO73" s="800"/>
      <c r="HXP73" s="800"/>
      <c r="HXQ73" s="800"/>
      <c r="HXR73" s="705"/>
      <c r="HXS73" s="799"/>
      <c r="HXT73" s="800"/>
      <c r="HXU73" s="800"/>
      <c r="HXV73" s="800"/>
      <c r="HXW73" s="800"/>
      <c r="HXX73" s="800"/>
      <c r="HXY73" s="705"/>
      <c r="HXZ73" s="799"/>
      <c r="HYA73" s="800"/>
      <c r="HYB73" s="800"/>
      <c r="HYC73" s="800"/>
      <c r="HYD73" s="800"/>
      <c r="HYE73" s="800"/>
      <c r="HYF73" s="705"/>
      <c r="HYG73" s="799"/>
      <c r="HYH73" s="800"/>
      <c r="HYI73" s="800"/>
      <c r="HYJ73" s="800"/>
      <c r="HYK73" s="800"/>
      <c r="HYL73" s="800"/>
      <c r="HYM73" s="705"/>
      <c r="HYN73" s="799"/>
      <c r="HYO73" s="800"/>
      <c r="HYP73" s="800"/>
      <c r="HYQ73" s="800"/>
      <c r="HYR73" s="800"/>
      <c r="HYS73" s="800"/>
      <c r="HYT73" s="705"/>
      <c r="HYU73" s="799"/>
      <c r="HYV73" s="800"/>
      <c r="HYW73" s="800"/>
      <c r="HYX73" s="800"/>
      <c r="HYY73" s="800"/>
      <c r="HYZ73" s="800"/>
      <c r="HZA73" s="705"/>
      <c r="HZB73" s="799"/>
      <c r="HZC73" s="800"/>
      <c r="HZD73" s="800"/>
      <c r="HZE73" s="800"/>
      <c r="HZF73" s="800"/>
      <c r="HZG73" s="800"/>
      <c r="HZH73" s="705"/>
      <c r="HZI73" s="799"/>
      <c r="HZJ73" s="800"/>
      <c r="HZK73" s="800"/>
      <c r="HZL73" s="800"/>
      <c r="HZM73" s="800"/>
      <c r="HZN73" s="800"/>
      <c r="HZO73" s="705"/>
      <c r="HZP73" s="799"/>
      <c r="HZQ73" s="800"/>
      <c r="HZR73" s="800"/>
      <c r="HZS73" s="800"/>
      <c r="HZT73" s="800"/>
      <c r="HZU73" s="800"/>
      <c r="HZV73" s="705"/>
      <c r="HZW73" s="799"/>
      <c r="HZX73" s="800"/>
      <c r="HZY73" s="800"/>
      <c r="HZZ73" s="800"/>
      <c r="IAA73" s="800"/>
      <c r="IAB73" s="800"/>
      <c r="IAC73" s="705"/>
      <c r="IAD73" s="799"/>
      <c r="IAE73" s="800"/>
      <c r="IAF73" s="800"/>
      <c r="IAG73" s="800"/>
      <c r="IAH73" s="800"/>
      <c r="IAI73" s="800"/>
      <c r="IAJ73" s="705"/>
      <c r="IAK73" s="799"/>
      <c r="IAL73" s="800"/>
      <c r="IAM73" s="800"/>
      <c r="IAN73" s="800"/>
      <c r="IAO73" s="800"/>
      <c r="IAP73" s="800"/>
      <c r="IAQ73" s="705"/>
      <c r="IAR73" s="799"/>
      <c r="IAS73" s="800"/>
      <c r="IAT73" s="800"/>
      <c r="IAU73" s="800"/>
      <c r="IAV73" s="800"/>
      <c r="IAW73" s="800"/>
      <c r="IAX73" s="705"/>
      <c r="IAY73" s="799"/>
      <c r="IAZ73" s="800"/>
      <c r="IBA73" s="800"/>
      <c r="IBB73" s="800"/>
      <c r="IBC73" s="800"/>
      <c r="IBD73" s="800"/>
      <c r="IBE73" s="705"/>
      <c r="IBF73" s="799"/>
      <c r="IBG73" s="800"/>
      <c r="IBH73" s="800"/>
      <c r="IBI73" s="800"/>
      <c r="IBJ73" s="800"/>
      <c r="IBK73" s="800"/>
      <c r="IBL73" s="705"/>
      <c r="IBM73" s="799"/>
      <c r="IBN73" s="800"/>
      <c r="IBO73" s="800"/>
      <c r="IBP73" s="800"/>
      <c r="IBQ73" s="800"/>
      <c r="IBR73" s="800"/>
      <c r="IBS73" s="705"/>
      <c r="IBT73" s="799"/>
      <c r="IBU73" s="800"/>
      <c r="IBV73" s="800"/>
      <c r="IBW73" s="800"/>
      <c r="IBX73" s="800"/>
      <c r="IBY73" s="800"/>
      <c r="IBZ73" s="705"/>
      <c r="ICA73" s="799"/>
      <c r="ICB73" s="800"/>
      <c r="ICC73" s="800"/>
      <c r="ICD73" s="800"/>
      <c r="ICE73" s="800"/>
      <c r="ICF73" s="800"/>
      <c r="ICG73" s="705"/>
      <c r="ICH73" s="799"/>
      <c r="ICI73" s="800"/>
      <c r="ICJ73" s="800"/>
      <c r="ICK73" s="800"/>
      <c r="ICL73" s="800"/>
      <c r="ICM73" s="800"/>
      <c r="ICN73" s="705"/>
      <c r="ICO73" s="799"/>
      <c r="ICP73" s="800"/>
      <c r="ICQ73" s="800"/>
      <c r="ICR73" s="800"/>
      <c r="ICS73" s="800"/>
      <c r="ICT73" s="800"/>
      <c r="ICU73" s="705"/>
      <c r="ICV73" s="799"/>
      <c r="ICW73" s="800"/>
      <c r="ICX73" s="800"/>
      <c r="ICY73" s="800"/>
      <c r="ICZ73" s="800"/>
      <c r="IDA73" s="800"/>
      <c r="IDB73" s="705"/>
      <c r="IDC73" s="799"/>
      <c r="IDD73" s="800"/>
      <c r="IDE73" s="800"/>
      <c r="IDF73" s="800"/>
      <c r="IDG73" s="800"/>
      <c r="IDH73" s="800"/>
      <c r="IDI73" s="705"/>
      <c r="IDJ73" s="799"/>
      <c r="IDK73" s="800"/>
      <c r="IDL73" s="800"/>
      <c r="IDM73" s="800"/>
      <c r="IDN73" s="800"/>
      <c r="IDO73" s="800"/>
      <c r="IDP73" s="705"/>
      <c r="IDQ73" s="799"/>
      <c r="IDR73" s="800"/>
      <c r="IDS73" s="800"/>
      <c r="IDT73" s="800"/>
      <c r="IDU73" s="800"/>
      <c r="IDV73" s="800"/>
      <c r="IDW73" s="705"/>
      <c r="IDX73" s="799"/>
      <c r="IDY73" s="800"/>
      <c r="IDZ73" s="800"/>
      <c r="IEA73" s="800"/>
      <c r="IEB73" s="800"/>
      <c r="IEC73" s="800"/>
      <c r="IED73" s="705"/>
      <c r="IEE73" s="799"/>
      <c r="IEF73" s="800"/>
      <c r="IEG73" s="800"/>
      <c r="IEH73" s="800"/>
      <c r="IEI73" s="800"/>
      <c r="IEJ73" s="800"/>
      <c r="IEK73" s="705"/>
      <c r="IEL73" s="799"/>
      <c r="IEM73" s="800"/>
      <c r="IEN73" s="800"/>
      <c r="IEO73" s="800"/>
      <c r="IEP73" s="800"/>
      <c r="IEQ73" s="800"/>
      <c r="IER73" s="705"/>
      <c r="IES73" s="799"/>
      <c r="IET73" s="800"/>
      <c r="IEU73" s="800"/>
      <c r="IEV73" s="800"/>
      <c r="IEW73" s="800"/>
      <c r="IEX73" s="800"/>
      <c r="IEY73" s="705"/>
      <c r="IEZ73" s="799"/>
      <c r="IFA73" s="800"/>
      <c r="IFB73" s="800"/>
      <c r="IFC73" s="800"/>
      <c r="IFD73" s="800"/>
      <c r="IFE73" s="800"/>
      <c r="IFF73" s="705"/>
      <c r="IFG73" s="799"/>
      <c r="IFH73" s="800"/>
      <c r="IFI73" s="800"/>
      <c r="IFJ73" s="800"/>
      <c r="IFK73" s="800"/>
      <c r="IFL73" s="800"/>
      <c r="IFM73" s="705"/>
      <c r="IFN73" s="799"/>
      <c r="IFO73" s="800"/>
      <c r="IFP73" s="800"/>
      <c r="IFQ73" s="800"/>
      <c r="IFR73" s="800"/>
      <c r="IFS73" s="800"/>
      <c r="IFT73" s="705"/>
      <c r="IFU73" s="799"/>
      <c r="IFV73" s="800"/>
      <c r="IFW73" s="800"/>
      <c r="IFX73" s="800"/>
      <c r="IFY73" s="800"/>
      <c r="IFZ73" s="800"/>
      <c r="IGA73" s="705"/>
      <c r="IGB73" s="799"/>
      <c r="IGC73" s="800"/>
      <c r="IGD73" s="800"/>
      <c r="IGE73" s="800"/>
      <c r="IGF73" s="800"/>
      <c r="IGG73" s="800"/>
      <c r="IGH73" s="705"/>
      <c r="IGI73" s="799"/>
      <c r="IGJ73" s="800"/>
      <c r="IGK73" s="800"/>
      <c r="IGL73" s="800"/>
      <c r="IGM73" s="800"/>
      <c r="IGN73" s="800"/>
      <c r="IGO73" s="705"/>
      <c r="IGP73" s="799"/>
      <c r="IGQ73" s="800"/>
      <c r="IGR73" s="800"/>
      <c r="IGS73" s="800"/>
      <c r="IGT73" s="800"/>
      <c r="IGU73" s="800"/>
      <c r="IGV73" s="705"/>
      <c r="IGW73" s="799"/>
      <c r="IGX73" s="800"/>
      <c r="IGY73" s="800"/>
      <c r="IGZ73" s="800"/>
      <c r="IHA73" s="800"/>
      <c r="IHB73" s="800"/>
      <c r="IHC73" s="705"/>
      <c r="IHD73" s="799"/>
      <c r="IHE73" s="800"/>
      <c r="IHF73" s="800"/>
      <c r="IHG73" s="800"/>
      <c r="IHH73" s="800"/>
      <c r="IHI73" s="800"/>
      <c r="IHJ73" s="705"/>
      <c r="IHK73" s="799"/>
      <c r="IHL73" s="800"/>
      <c r="IHM73" s="800"/>
      <c r="IHN73" s="800"/>
      <c r="IHO73" s="800"/>
      <c r="IHP73" s="800"/>
      <c r="IHQ73" s="705"/>
      <c r="IHR73" s="799"/>
      <c r="IHS73" s="800"/>
      <c r="IHT73" s="800"/>
      <c r="IHU73" s="800"/>
      <c r="IHV73" s="800"/>
      <c r="IHW73" s="800"/>
      <c r="IHX73" s="705"/>
      <c r="IHY73" s="799"/>
      <c r="IHZ73" s="800"/>
      <c r="IIA73" s="800"/>
      <c r="IIB73" s="800"/>
      <c r="IIC73" s="800"/>
      <c r="IID73" s="800"/>
      <c r="IIE73" s="705"/>
      <c r="IIF73" s="799"/>
      <c r="IIG73" s="800"/>
      <c r="IIH73" s="800"/>
      <c r="III73" s="800"/>
      <c r="IIJ73" s="800"/>
      <c r="IIK73" s="800"/>
      <c r="IIL73" s="705"/>
      <c r="IIM73" s="799"/>
      <c r="IIN73" s="800"/>
      <c r="IIO73" s="800"/>
      <c r="IIP73" s="800"/>
      <c r="IIQ73" s="800"/>
      <c r="IIR73" s="800"/>
      <c r="IIS73" s="705"/>
      <c r="IIT73" s="799"/>
      <c r="IIU73" s="800"/>
      <c r="IIV73" s="800"/>
      <c r="IIW73" s="800"/>
      <c r="IIX73" s="800"/>
      <c r="IIY73" s="800"/>
      <c r="IIZ73" s="705"/>
      <c r="IJA73" s="799"/>
      <c r="IJB73" s="800"/>
      <c r="IJC73" s="800"/>
      <c r="IJD73" s="800"/>
      <c r="IJE73" s="800"/>
      <c r="IJF73" s="800"/>
      <c r="IJG73" s="705"/>
      <c r="IJH73" s="799"/>
      <c r="IJI73" s="800"/>
      <c r="IJJ73" s="800"/>
      <c r="IJK73" s="800"/>
      <c r="IJL73" s="800"/>
      <c r="IJM73" s="800"/>
      <c r="IJN73" s="705"/>
      <c r="IJO73" s="799"/>
      <c r="IJP73" s="800"/>
      <c r="IJQ73" s="800"/>
      <c r="IJR73" s="800"/>
      <c r="IJS73" s="800"/>
      <c r="IJT73" s="800"/>
      <c r="IJU73" s="705"/>
      <c r="IJV73" s="799"/>
      <c r="IJW73" s="800"/>
      <c r="IJX73" s="800"/>
      <c r="IJY73" s="800"/>
      <c r="IJZ73" s="800"/>
      <c r="IKA73" s="800"/>
      <c r="IKB73" s="705"/>
      <c r="IKC73" s="799"/>
      <c r="IKD73" s="800"/>
      <c r="IKE73" s="800"/>
      <c r="IKF73" s="800"/>
      <c r="IKG73" s="800"/>
      <c r="IKH73" s="800"/>
      <c r="IKI73" s="705"/>
      <c r="IKJ73" s="799"/>
      <c r="IKK73" s="800"/>
      <c r="IKL73" s="800"/>
      <c r="IKM73" s="800"/>
      <c r="IKN73" s="800"/>
      <c r="IKO73" s="800"/>
      <c r="IKP73" s="705"/>
      <c r="IKQ73" s="799"/>
      <c r="IKR73" s="800"/>
      <c r="IKS73" s="800"/>
      <c r="IKT73" s="800"/>
      <c r="IKU73" s="800"/>
      <c r="IKV73" s="800"/>
      <c r="IKW73" s="705"/>
      <c r="IKX73" s="799"/>
      <c r="IKY73" s="800"/>
      <c r="IKZ73" s="800"/>
      <c r="ILA73" s="800"/>
      <c r="ILB73" s="800"/>
      <c r="ILC73" s="800"/>
      <c r="ILD73" s="705"/>
      <c r="ILE73" s="799"/>
      <c r="ILF73" s="800"/>
      <c r="ILG73" s="800"/>
      <c r="ILH73" s="800"/>
      <c r="ILI73" s="800"/>
      <c r="ILJ73" s="800"/>
      <c r="ILK73" s="705"/>
      <c r="ILL73" s="799"/>
      <c r="ILM73" s="800"/>
      <c r="ILN73" s="800"/>
      <c r="ILO73" s="800"/>
      <c r="ILP73" s="800"/>
      <c r="ILQ73" s="800"/>
      <c r="ILR73" s="705"/>
      <c r="ILS73" s="799"/>
      <c r="ILT73" s="800"/>
      <c r="ILU73" s="800"/>
      <c r="ILV73" s="800"/>
      <c r="ILW73" s="800"/>
      <c r="ILX73" s="800"/>
      <c r="ILY73" s="705"/>
      <c r="ILZ73" s="799"/>
      <c r="IMA73" s="800"/>
      <c r="IMB73" s="800"/>
      <c r="IMC73" s="800"/>
      <c r="IMD73" s="800"/>
      <c r="IME73" s="800"/>
      <c r="IMF73" s="705"/>
      <c r="IMG73" s="799"/>
      <c r="IMH73" s="800"/>
      <c r="IMI73" s="800"/>
      <c r="IMJ73" s="800"/>
      <c r="IMK73" s="800"/>
      <c r="IML73" s="800"/>
      <c r="IMM73" s="705"/>
      <c r="IMN73" s="799"/>
      <c r="IMO73" s="800"/>
      <c r="IMP73" s="800"/>
      <c r="IMQ73" s="800"/>
      <c r="IMR73" s="800"/>
      <c r="IMS73" s="800"/>
      <c r="IMT73" s="705"/>
      <c r="IMU73" s="799"/>
      <c r="IMV73" s="800"/>
      <c r="IMW73" s="800"/>
      <c r="IMX73" s="800"/>
      <c r="IMY73" s="800"/>
      <c r="IMZ73" s="800"/>
      <c r="INA73" s="705"/>
      <c r="INB73" s="799"/>
      <c r="INC73" s="800"/>
      <c r="IND73" s="800"/>
      <c r="INE73" s="800"/>
      <c r="INF73" s="800"/>
      <c r="ING73" s="800"/>
      <c r="INH73" s="705"/>
      <c r="INI73" s="799"/>
      <c r="INJ73" s="800"/>
      <c r="INK73" s="800"/>
      <c r="INL73" s="800"/>
      <c r="INM73" s="800"/>
      <c r="INN73" s="800"/>
      <c r="INO73" s="705"/>
      <c r="INP73" s="799"/>
      <c r="INQ73" s="800"/>
      <c r="INR73" s="800"/>
      <c r="INS73" s="800"/>
      <c r="INT73" s="800"/>
      <c r="INU73" s="800"/>
      <c r="INV73" s="705"/>
      <c r="INW73" s="799"/>
      <c r="INX73" s="800"/>
      <c r="INY73" s="800"/>
      <c r="INZ73" s="800"/>
      <c r="IOA73" s="800"/>
      <c r="IOB73" s="800"/>
      <c r="IOC73" s="705"/>
      <c r="IOD73" s="799"/>
      <c r="IOE73" s="800"/>
      <c r="IOF73" s="800"/>
      <c r="IOG73" s="800"/>
      <c r="IOH73" s="800"/>
      <c r="IOI73" s="800"/>
      <c r="IOJ73" s="705"/>
      <c r="IOK73" s="799"/>
      <c r="IOL73" s="800"/>
      <c r="IOM73" s="800"/>
      <c r="ION73" s="800"/>
      <c r="IOO73" s="800"/>
      <c r="IOP73" s="800"/>
      <c r="IOQ73" s="705"/>
      <c r="IOR73" s="799"/>
      <c r="IOS73" s="800"/>
      <c r="IOT73" s="800"/>
      <c r="IOU73" s="800"/>
      <c r="IOV73" s="800"/>
      <c r="IOW73" s="800"/>
      <c r="IOX73" s="705"/>
      <c r="IOY73" s="799"/>
      <c r="IOZ73" s="800"/>
      <c r="IPA73" s="800"/>
      <c r="IPB73" s="800"/>
      <c r="IPC73" s="800"/>
      <c r="IPD73" s="800"/>
      <c r="IPE73" s="705"/>
      <c r="IPF73" s="799"/>
      <c r="IPG73" s="800"/>
      <c r="IPH73" s="800"/>
      <c r="IPI73" s="800"/>
      <c r="IPJ73" s="800"/>
      <c r="IPK73" s="800"/>
      <c r="IPL73" s="705"/>
      <c r="IPM73" s="799"/>
      <c r="IPN73" s="800"/>
      <c r="IPO73" s="800"/>
      <c r="IPP73" s="800"/>
      <c r="IPQ73" s="800"/>
      <c r="IPR73" s="800"/>
      <c r="IPS73" s="705"/>
      <c r="IPT73" s="799"/>
      <c r="IPU73" s="800"/>
      <c r="IPV73" s="800"/>
      <c r="IPW73" s="800"/>
      <c r="IPX73" s="800"/>
      <c r="IPY73" s="800"/>
      <c r="IPZ73" s="705"/>
      <c r="IQA73" s="799"/>
      <c r="IQB73" s="800"/>
      <c r="IQC73" s="800"/>
      <c r="IQD73" s="800"/>
      <c r="IQE73" s="800"/>
      <c r="IQF73" s="800"/>
      <c r="IQG73" s="705"/>
      <c r="IQH73" s="799"/>
      <c r="IQI73" s="800"/>
      <c r="IQJ73" s="800"/>
      <c r="IQK73" s="800"/>
      <c r="IQL73" s="800"/>
      <c r="IQM73" s="800"/>
      <c r="IQN73" s="705"/>
      <c r="IQO73" s="799"/>
      <c r="IQP73" s="800"/>
      <c r="IQQ73" s="800"/>
      <c r="IQR73" s="800"/>
      <c r="IQS73" s="800"/>
      <c r="IQT73" s="800"/>
      <c r="IQU73" s="705"/>
      <c r="IQV73" s="799"/>
      <c r="IQW73" s="800"/>
      <c r="IQX73" s="800"/>
      <c r="IQY73" s="800"/>
      <c r="IQZ73" s="800"/>
      <c r="IRA73" s="800"/>
      <c r="IRB73" s="705"/>
      <c r="IRC73" s="799"/>
      <c r="IRD73" s="800"/>
      <c r="IRE73" s="800"/>
      <c r="IRF73" s="800"/>
      <c r="IRG73" s="800"/>
      <c r="IRH73" s="800"/>
      <c r="IRI73" s="705"/>
      <c r="IRJ73" s="799"/>
      <c r="IRK73" s="800"/>
      <c r="IRL73" s="800"/>
      <c r="IRM73" s="800"/>
      <c r="IRN73" s="800"/>
      <c r="IRO73" s="800"/>
      <c r="IRP73" s="705"/>
      <c r="IRQ73" s="799"/>
      <c r="IRR73" s="800"/>
      <c r="IRS73" s="800"/>
      <c r="IRT73" s="800"/>
      <c r="IRU73" s="800"/>
      <c r="IRV73" s="800"/>
      <c r="IRW73" s="705"/>
      <c r="IRX73" s="799"/>
      <c r="IRY73" s="800"/>
      <c r="IRZ73" s="800"/>
      <c r="ISA73" s="800"/>
      <c r="ISB73" s="800"/>
      <c r="ISC73" s="800"/>
      <c r="ISD73" s="705"/>
      <c r="ISE73" s="799"/>
      <c r="ISF73" s="800"/>
      <c r="ISG73" s="800"/>
      <c r="ISH73" s="800"/>
      <c r="ISI73" s="800"/>
      <c r="ISJ73" s="800"/>
      <c r="ISK73" s="705"/>
      <c r="ISL73" s="799"/>
      <c r="ISM73" s="800"/>
      <c r="ISN73" s="800"/>
      <c r="ISO73" s="800"/>
      <c r="ISP73" s="800"/>
      <c r="ISQ73" s="800"/>
      <c r="ISR73" s="705"/>
      <c r="ISS73" s="799"/>
      <c r="IST73" s="800"/>
      <c r="ISU73" s="800"/>
      <c r="ISV73" s="800"/>
      <c r="ISW73" s="800"/>
      <c r="ISX73" s="800"/>
      <c r="ISY73" s="705"/>
      <c r="ISZ73" s="799"/>
      <c r="ITA73" s="800"/>
      <c r="ITB73" s="800"/>
      <c r="ITC73" s="800"/>
      <c r="ITD73" s="800"/>
      <c r="ITE73" s="800"/>
      <c r="ITF73" s="705"/>
      <c r="ITG73" s="799"/>
      <c r="ITH73" s="800"/>
      <c r="ITI73" s="800"/>
      <c r="ITJ73" s="800"/>
      <c r="ITK73" s="800"/>
      <c r="ITL73" s="800"/>
      <c r="ITM73" s="705"/>
      <c r="ITN73" s="799"/>
      <c r="ITO73" s="800"/>
      <c r="ITP73" s="800"/>
      <c r="ITQ73" s="800"/>
      <c r="ITR73" s="800"/>
      <c r="ITS73" s="800"/>
      <c r="ITT73" s="705"/>
      <c r="ITU73" s="799"/>
      <c r="ITV73" s="800"/>
      <c r="ITW73" s="800"/>
      <c r="ITX73" s="800"/>
      <c r="ITY73" s="800"/>
      <c r="ITZ73" s="800"/>
      <c r="IUA73" s="705"/>
      <c r="IUB73" s="799"/>
      <c r="IUC73" s="800"/>
      <c r="IUD73" s="800"/>
      <c r="IUE73" s="800"/>
      <c r="IUF73" s="800"/>
      <c r="IUG73" s="800"/>
      <c r="IUH73" s="705"/>
      <c r="IUI73" s="799"/>
      <c r="IUJ73" s="800"/>
      <c r="IUK73" s="800"/>
      <c r="IUL73" s="800"/>
      <c r="IUM73" s="800"/>
      <c r="IUN73" s="800"/>
      <c r="IUO73" s="705"/>
      <c r="IUP73" s="799"/>
      <c r="IUQ73" s="800"/>
      <c r="IUR73" s="800"/>
      <c r="IUS73" s="800"/>
      <c r="IUT73" s="800"/>
      <c r="IUU73" s="800"/>
      <c r="IUV73" s="705"/>
      <c r="IUW73" s="799"/>
      <c r="IUX73" s="800"/>
      <c r="IUY73" s="800"/>
      <c r="IUZ73" s="800"/>
      <c r="IVA73" s="800"/>
      <c r="IVB73" s="800"/>
      <c r="IVC73" s="705"/>
      <c r="IVD73" s="799"/>
      <c r="IVE73" s="800"/>
      <c r="IVF73" s="800"/>
      <c r="IVG73" s="800"/>
      <c r="IVH73" s="800"/>
      <c r="IVI73" s="800"/>
      <c r="IVJ73" s="705"/>
      <c r="IVK73" s="799"/>
      <c r="IVL73" s="800"/>
      <c r="IVM73" s="800"/>
      <c r="IVN73" s="800"/>
      <c r="IVO73" s="800"/>
      <c r="IVP73" s="800"/>
      <c r="IVQ73" s="705"/>
      <c r="IVR73" s="799"/>
      <c r="IVS73" s="800"/>
      <c r="IVT73" s="800"/>
      <c r="IVU73" s="800"/>
      <c r="IVV73" s="800"/>
      <c r="IVW73" s="800"/>
      <c r="IVX73" s="705"/>
      <c r="IVY73" s="799"/>
      <c r="IVZ73" s="800"/>
      <c r="IWA73" s="800"/>
      <c r="IWB73" s="800"/>
      <c r="IWC73" s="800"/>
      <c r="IWD73" s="800"/>
      <c r="IWE73" s="705"/>
      <c r="IWF73" s="799"/>
      <c r="IWG73" s="800"/>
      <c r="IWH73" s="800"/>
      <c r="IWI73" s="800"/>
      <c r="IWJ73" s="800"/>
      <c r="IWK73" s="800"/>
      <c r="IWL73" s="705"/>
      <c r="IWM73" s="799"/>
      <c r="IWN73" s="800"/>
      <c r="IWO73" s="800"/>
      <c r="IWP73" s="800"/>
      <c r="IWQ73" s="800"/>
      <c r="IWR73" s="800"/>
      <c r="IWS73" s="705"/>
      <c r="IWT73" s="799"/>
      <c r="IWU73" s="800"/>
      <c r="IWV73" s="800"/>
      <c r="IWW73" s="800"/>
      <c r="IWX73" s="800"/>
      <c r="IWY73" s="800"/>
      <c r="IWZ73" s="705"/>
      <c r="IXA73" s="799"/>
      <c r="IXB73" s="800"/>
      <c r="IXC73" s="800"/>
      <c r="IXD73" s="800"/>
      <c r="IXE73" s="800"/>
      <c r="IXF73" s="800"/>
      <c r="IXG73" s="705"/>
      <c r="IXH73" s="799"/>
      <c r="IXI73" s="800"/>
      <c r="IXJ73" s="800"/>
      <c r="IXK73" s="800"/>
      <c r="IXL73" s="800"/>
      <c r="IXM73" s="800"/>
      <c r="IXN73" s="705"/>
      <c r="IXO73" s="799"/>
      <c r="IXP73" s="800"/>
      <c r="IXQ73" s="800"/>
      <c r="IXR73" s="800"/>
      <c r="IXS73" s="800"/>
      <c r="IXT73" s="800"/>
      <c r="IXU73" s="705"/>
      <c r="IXV73" s="799"/>
      <c r="IXW73" s="800"/>
      <c r="IXX73" s="800"/>
      <c r="IXY73" s="800"/>
      <c r="IXZ73" s="800"/>
      <c r="IYA73" s="800"/>
      <c r="IYB73" s="705"/>
      <c r="IYC73" s="799"/>
      <c r="IYD73" s="800"/>
      <c r="IYE73" s="800"/>
      <c r="IYF73" s="800"/>
      <c r="IYG73" s="800"/>
      <c r="IYH73" s="800"/>
      <c r="IYI73" s="705"/>
      <c r="IYJ73" s="799"/>
      <c r="IYK73" s="800"/>
      <c r="IYL73" s="800"/>
      <c r="IYM73" s="800"/>
      <c r="IYN73" s="800"/>
      <c r="IYO73" s="800"/>
      <c r="IYP73" s="705"/>
      <c r="IYQ73" s="799"/>
      <c r="IYR73" s="800"/>
      <c r="IYS73" s="800"/>
      <c r="IYT73" s="800"/>
      <c r="IYU73" s="800"/>
      <c r="IYV73" s="800"/>
      <c r="IYW73" s="705"/>
      <c r="IYX73" s="799"/>
      <c r="IYY73" s="800"/>
      <c r="IYZ73" s="800"/>
      <c r="IZA73" s="800"/>
      <c r="IZB73" s="800"/>
      <c r="IZC73" s="800"/>
      <c r="IZD73" s="705"/>
      <c r="IZE73" s="799"/>
      <c r="IZF73" s="800"/>
      <c r="IZG73" s="800"/>
      <c r="IZH73" s="800"/>
      <c r="IZI73" s="800"/>
      <c r="IZJ73" s="800"/>
      <c r="IZK73" s="705"/>
      <c r="IZL73" s="799"/>
      <c r="IZM73" s="800"/>
      <c r="IZN73" s="800"/>
      <c r="IZO73" s="800"/>
      <c r="IZP73" s="800"/>
      <c r="IZQ73" s="800"/>
      <c r="IZR73" s="705"/>
      <c r="IZS73" s="799"/>
      <c r="IZT73" s="800"/>
      <c r="IZU73" s="800"/>
      <c r="IZV73" s="800"/>
      <c r="IZW73" s="800"/>
      <c r="IZX73" s="800"/>
      <c r="IZY73" s="705"/>
      <c r="IZZ73" s="799"/>
      <c r="JAA73" s="800"/>
      <c r="JAB73" s="800"/>
      <c r="JAC73" s="800"/>
      <c r="JAD73" s="800"/>
      <c r="JAE73" s="800"/>
      <c r="JAF73" s="705"/>
      <c r="JAG73" s="799"/>
      <c r="JAH73" s="800"/>
      <c r="JAI73" s="800"/>
      <c r="JAJ73" s="800"/>
      <c r="JAK73" s="800"/>
      <c r="JAL73" s="800"/>
      <c r="JAM73" s="705"/>
      <c r="JAN73" s="799"/>
      <c r="JAO73" s="800"/>
      <c r="JAP73" s="800"/>
      <c r="JAQ73" s="800"/>
      <c r="JAR73" s="800"/>
      <c r="JAS73" s="800"/>
      <c r="JAT73" s="705"/>
      <c r="JAU73" s="799"/>
      <c r="JAV73" s="800"/>
      <c r="JAW73" s="800"/>
      <c r="JAX73" s="800"/>
      <c r="JAY73" s="800"/>
      <c r="JAZ73" s="800"/>
      <c r="JBA73" s="705"/>
      <c r="JBB73" s="799"/>
      <c r="JBC73" s="800"/>
      <c r="JBD73" s="800"/>
      <c r="JBE73" s="800"/>
      <c r="JBF73" s="800"/>
      <c r="JBG73" s="800"/>
      <c r="JBH73" s="705"/>
      <c r="JBI73" s="799"/>
      <c r="JBJ73" s="800"/>
      <c r="JBK73" s="800"/>
      <c r="JBL73" s="800"/>
      <c r="JBM73" s="800"/>
      <c r="JBN73" s="800"/>
      <c r="JBO73" s="705"/>
      <c r="JBP73" s="799"/>
      <c r="JBQ73" s="800"/>
      <c r="JBR73" s="800"/>
      <c r="JBS73" s="800"/>
      <c r="JBT73" s="800"/>
      <c r="JBU73" s="800"/>
      <c r="JBV73" s="705"/>
      <c r="JBW73" s="799"/>
      <c r="JBX73" s="800"/>
      <c r="JBY73" s="800"/>
      <c r="JBZ73" s="800"/>
      <c r="JCA73" s="800"/>
      <c r="JCB73" s="800"/>
      <c r="JCC73" s="705"/>
      <c r="JCD73" s="799"/>
      <c r="JCE73" s="800"/>
      <c r="JCF73" s="800"/>
      <c r="JCG73" s="800"/>
      <c r="JCH73" s="800"/>
      <c r="JCI73" s="800"/>
      <c r="JCJ73" s="705"/>
      <c r="JCK73" s="799"/>
      <c r="JCL73" s="800"/>
      <c r="JCM73" s="800"/>
      <c r="JCN73" s="800"/>
      <c r="JCO73" s="800"/>
      <c r="JCP73" s="800"/>
      <c r="JCQ73" s="705"/>
      <c r="JCR73" s="799"/>
      <c r="JCS73" s="800"/>
      <c r="JCT73" s="800"/>
      <c r="JCU73" s="800"/>
      <c r="JCV73" s="800"/>
      <c r="JCW73" s="800"/>
      <c r="JCX73" s="705"/>
      <c r="JCY73" s="799"/>
      <c r="JCZ73" s="800"/>
      <c r="JDA73" s="800"/>
      <c r="JDB73" s="800"/>
      <c r="JDC73" s="800"/>
      <c r="JDD73" s="800"/>
      <c r="JDE73" s="705"/>
      <c r="JDF73" s="799"/>
      <c r="JDG73" s="800"/>
      <c r="JDH73" s="800"/>
      <c r="JDI73" s="800"/>
      <c r="JDJ73" s="800"/>
      <c r="JDK73" s="800"/>
      <c r="JDL73" s="705"/>
      <c r="JDM73" s="799"/>
      <c r="JDN73" s="800"/>
      <c r="JDO73" s="800"/>
      <c r="JDP73" s="800"/>
      <c r="JDQ73" s="800"/>
      <c r="JDR73" s="800"/>
      <c r="JDS73" s="705"/>
      <c r="JDT73" s="799"/>
      <c r="JDU73" s="800"/>
      <c r="JDV73" s="800"/>
      <c r="JDW73" s="800"/>
      <c r="JDX73" s="800"/>
      <c r="JDY73" s="800"/>
      <c r="JDZ73" s="705"/>
      <c r="JEA73" s="799"/>
      <c r="JEB73" s="800"/>
      <c r="JEC73" s="800"/>
      <c r="JED73" s="800"/>
      <c r="JEE73" s="800"/>
      <c r="JEF73" s="800"/>
      <c r="JEG73" s="705"/>
      <c r="JEH73" s="799"/>
      <c r="JEI73" s="800"/>
      <c r="JEJ73" s="800"/>
      <c r="JEK73" s="800"/>
      <c r="JEL73" s="800"/>
      <c r="JEM73" s="800"/>
      <c r="JEN73" s="705"/>
      <c r="JEO73" s="799"/>
      <c r="JEP73" s="800"/>
      <c r="JEQ73" s="800"/>
      <c r="JER73" s="800"/>
      <c r="JES73" s="800"/>
      <c r="JET73" s="800"/>
      <c r="JEU73" s="705"/>
      <c r="JEV73" s="799"/>
      <c r="JEW73" s="800"/>
      <c r="JEX73" s="800"/>
      <c r="JEY73" s="800"/>
      <c r="JEZ73" s="800"/>
      <c r="JFA73" s="800"/>
      <c r="JFB73" s="705"/>
      <c r="JFC73" s="799"/>
      <c r="JFD73" s="800"/>
      <c r="JFE73" s="800"/>
      <c r="JFF73" s="800"/>
      <c r="JFG73" s="800"/>
      <c r="JFH73" s="800"/>
      <c r="JFI73" s="705"/>
      <c r="JFJ73" s="799"/>
      <c r="JFK73" s="800"/>
      <c r="JFL73" s="800"/>
      <c r="JFM73" s="800"/>
      <c r="JFN73" s="800"/>
      <c r="JFO73" s="800"/>
      <c r="JFP73" s="705"/>
      <c r="JFQ73" s="799"/>
      <c r="JFR73" s="800"/>
      <c r="JFS73" s="800"/>
      <c r="JFT73" s="800"/>
      <c r="JFU73" s="800"/>
      <c r="JFV73" s="800"/>
      <c r="JFW73" s="705"/>
      <c r="JFX73" s="799"/>
      <c r="JFY73" s="800"/>
      <c r="JFZ73" s="800"/>
      <c r="JGA73" s="800"/>
      <c r="JGB73" s="800"/>
      <c r="JGC73" s="800"/>
      <c r="JGD73" s="705"/>
      <c r="JGE73" s="799"/>
      <c r="JGF73" s="800"/>
      <c r="JGG73" s="800"/>
      <c r="JGH73" s="800"/>
      <c r="JGI73" s="800"/>
      <c r="JGJ73" s="800"/>
      <c r="JGK73" s="705"/>
      <c r="JGL73" s="799"/>
      <c r="JGM73" s="800"/>
      <c r="JGN73" s="800"/>
      <c r="JGO73" s="800"/>
      <c r="JGP73" s="800"/>
      <c r="JGQ73" s="800"/>
      <c r="JGR73" s="705"/>
      <c r="JGS73" s="799"/>
      <c r="JGT73" s="800"/>
      <c r="JGU73" s="800"/>
      <c r="JGV73" s="800"/>
      <c r="JGW73" s="800"/>
      <c r="JGX73" s="800"/>
      <c r="JGY73" s="705"/>
      <c r="JGZ73" s="799"/>
      <c r="JHA73" s="800"/>
      <c r="JHB73" s="800"/>
      <c r="JHC73" s="800"/>
      <c r="JHD73" s="800"/>
      <c r="JHE73" s="800"/>
      <c r="JHF73" s="705"/>
      <c r="JHG73" s="799"/>
      <c r="JHH73" s="800"/>
      <c r="JHI73" s="800"/>
      <c r="JHJ73" s="800"/>
      <c r="JHK73" s="800"/>
      <c r="JHL73" s="800"/>
      <c r="JHM73" s="705"/>
      <c r="JHN73" s="799"/>
      <c r="JHO73" s="800"/>
      <c r="JHP73" s="800"/>
      <c r="JHQ73" s="800"/>
      <c r="JHR73" s="800"/>
      <c r="JHS73" s="800"/>
      <c r="JHT73" s="705"/>
      <c r="JHU73" s="799"/>
      <c r="JHV73" s="800"/>
      <c r="JHW73" s="800"/>
      <c r="JHX73" s="800"/>
      <c r="JHY73" s="800"/>
      <c r="JHZ73" s="800"/>
      <c r="JIA73" s="705"/>
      <c r="JIB73" s="799"/>
      <c r="JIC73" s="800"/>
      <c r="JID73" s="800"/>
      <c r="JIE73" s="800"/>
      <c r="JIF73" s="800"/>
      <c r="JIG73" s="800"/>
      <c r="JIH73" s="705"/>
      <c r="JII73" s="799"/>
      <c r="JIJ73" s="800"/>
      <c r="JIK73" s="800"/>
      <c r="JIL73" s="800"/>
      <c r="JIM73" s="800"/>
      <c r="JIN73" s="800"/>
      <c r="JIO73" s="705"/>
      <c r="JIP73" s="799"/>
      <c r="JIQ73" s="800"/>
      <c r="JIR73" s="800"/>
      <c r="JIS73" s="800"/>
      <c r="JIT73" s="800"/>
      <c r="JIU73" s="800"/>
      <c r="JIV73" s="705"/>
      <c r="JIW73" s="799"/>
      <c r="JIX73" s="800"/>
      <c r="JIY73" s="800"/>
      <c r="JIZ73" s="800"/>
      <c r="JJA73" s="800"/>
      <c r="JJB73" s="800"/>
      <c r="JJC73" s="705"/>
      <c r="JJD73" s="799"/>
      <c r="JJE73" s="800"/>
      <c r="JJF73" s="800"/>
      <c r="JJG73" s="800"/>
      <c r="JJH73" s="800"/>
      <c r="JJI73" s="800"/>
      <c r="JJJ73" s="705"/>
      <c r="JJK73" s="799"/>
      <c r="JJL73" s="800"/>
      <c r="JJM73" s="800"/>
      <c r="JJN73" s="800"/>
      <c r="JJO73" s="800"/>
      <c r="JJP73" s="800"/>
      <c r="JJQ73" s="705"/>
      <c r="JJR73" s="799"/>
      <c r="JJS73" s="800"/>
      <c r="JJT73" s="800"/>
      <c r="JJU73" s="800"/>
      <c r="JJV73" s="800"/>
      <c r="JJW73" s="800"/>
      <c r="JJX73" s="705"/>
      <c r="JJY73" s="799"/>
      <c r="JJZ73" s="800"/>
      <c r="JKA73" s="800"/>
      <c r="JKB73" s="800"/>
      <c r="JKC73" s="800"/>
      <c r="JKD73" s="800"/>
      <c r="JKE73" s="705"/>
      <c r="JKF73" s="799"/>
      <c r="JKG73" s="800"/>
      <c r="JKH73" s="800"/>
      <c r="JKI73" s="800"/>
      <c r="JKJ73" s="800"/>
      <c r="JKK73" s="800"/>
      <c r="JKL73" s="705"/>
      <c r="JKM73" s="799"/>
      <c r="JKN73" s="800"/>
      <c r="JKO73" s="800"/>
      <c r="JKP73" s="800"/>
      <c r="JKQ73" s="800"/>
      <c r="JKR73" s="800"/>
      <c r="JKS73" s="705"/>
      <c r="JKT73" s="799"/>
      <c r="JKU73" s="800"/>
      <c r="JKV73" s="800"/>
      <c r="JKW73" s="800"/>
      <c r="JKX73" s="800"/>
      <c r="JKY73" s="800"/>
      <c r="JKZ73" s="705"/>
      <c r="JLA73" s="799"/>
      <c r="JLB73" s="800"/>
      <c r="JLC73" s="800"/>
      <c r="JLD73" s="800"/>
      <c r="JLE73" s="800"/>
      <c r="JLF73" s="800"/>
      <c r="JLG73" s="705"/>
      <c r="JLH73" s="799"/>
      <c r="JLI73" s="800"/>
      <c r="JLJ73" s="800"/>
      <c r="JLK73" s="800"/>
      <c r="JLL73" s="800"/>
      <c r="JLM73" s="800"/>
      <c r="JLN73" s="705"/>
      <c r="JLO73" s="799"/>
      <c r="JLP73" s="800"/>
      <c r="JLQ73" s="800"/>
      <c r="JLR73" s="800"/>
      <c r="JLS73" s="800"/>
      <c r="JLT73" s="800"/>
      <c r="JLU73" s="705"/>
      <c r="JLV73" s="799"/>
      <c r="JLW73" s="800"/>
      <c r="JLX73" s="800"/>
      <c r="JLY73" s="800"/>
      <c r="JLZ73" s="800"/>
      <c r="JMA73" s="800"/>
      <c r="JMB73" s="705"/>
      <c r="JMC73" s="799"/>
      <c r="JMD73" s="800"/>
      <c r="JME73" s="800"/>
      <c r="JMF73" s="800"/>
      <c r="JMG73" s="800"/>
      <c r="JMH73" s="800"/>
      <c r="JMI73" s="705"/>
      <c r="JMJ73" s="799"/>
      <c r="JMK73" s="800"/>
      <c r="JML73" s="800"/>
      <c r="JMM73" s="800"/>
      <c r="JMN73" s="800"/>
      <c r="JMO73" s="800"/>
      <c r="JMP73" s="705"/>
      <c r="JMQ73" s="799"/>
      <c r="JMR73" s="800"/>
      <c r="JMS73" s="800"/>
      <c r="JMT73" s="800"/>
      <c r="JMU73" s="800"/>
      <c r="JMV73" s="800"/>
      <c r="JMW73" s="705"/>
      <c r="JMX73" s="799"/>
      <c r="JMY73" s="800"/>
      <c r="JMZ73" s="800"/>
      <c r="JNA73" s="800"/>
      <c r="JNB73" s="800"/>
      <c r="JNC73" s="800"/>
      <c r="JND73" s="705"/>
      <c r="JNE73" s="799"/>
      <c r="JNF73" s="800"/>
      <c r="JNG73" s="800"/>
      <c r="JNH73" s="800"/>
      <c r="JNI73" s="800"/>
      <c r="JNJ73" s="800"/>
      <c r="JNK73" s="705"/>
      <c r="JNL73" s="799"/>
      <c r="JNM73" s="800"/>
      <c r="JNN73" s="800"/>
      <c r="JNO73" s="800"/>
      <c r="JNP73" s="800"/>
      <c r="JNQ73" s="800"/>
      <c r="JNR73" s="705"/>
      <c r="JNS73" s="799"/>
      <c r="JNT73" s="800"/>
      <c r="JNU73" s="800"/>
      <c r="JNV73" s="800"/>
      <c r="JNW73" s="800"/>
      <c r="JNX73" s="800"/>
      <c r="JNY73" s="705"/>
      <c r="JNZ73" s="799"/>
      <c r="JOA73" s="800"/>
      <c r="JOB73" s="800"/>
      <c r="JOC73" s="800"/>
      <c r="JOD73" s="800"/>
      <c r="JOE73" s="800"/>
      <c r="JOF73" s="705"/>
      <c r="JOG73" s="799"/>
      <c r="JOH73" s="800"/>
      <c r="JOI73" s="800"/>
      <c r="JOJ73" s="800"/>
      <c r="JOK73" s="800"/>
      <c r="JOL73" s="800"/>
      <c r="JOM73" s="705"/>
      <c r="JON73" s="799"/>
      <c r="JOO73" s="800"/>
      <c r="JOP73" s="800"/>
      <c r="JOQ73" s="800"/>
      <c r="JOR73" s="800"/>
      <c r="JOS73" s="800"/>
      <c r="JOT73" s="705"/>
      <c r="JOU73" s="799"/>
      <c r="JOV73" s="800"/>
      <c r="JOW73" s="800"/>
      <c r="JOX73" s="800"/>
      <c r="JOY73" s="800"/>
      <c r="JOZ73" s="800"/>
      <c r="JPA73" s="705"/>
      <c r="JPB73" s="799"/>
      <c r="JPC73" s="800"/>
      <c r="JPD73" s="800"/>
      <c r="JPE73" s="800"/>
      <c r="JPF73" s="800"/>
      <c r="JPG73" s="800"/>
      <c r="JPH73" s="705"/>
      <c r="JPI73" s="799"/>
      <c r="JPJ73" s="800"/>
      <c r="JPK73" s="800"/>
      <c r="JPL73" s="800"/>
      <c r="JPM73" s="800"/>
      <c r="JPN73" s="800"/>
      <c r="JPO73" s="705"/>
      <c r="JPP73" s="799"/>
      <c r="JPQ73" s="800"/>
      <c r="JPR73" s="800"/>
      <c r="JPS73" s="800"/>
      <c r="JPT73" s="800"/>
      <c r="JPU73" s="800"/>
      <c r="JPV73" s="705"/>
      <c r="JPW73" s="799"/>
      <c r="JPX73" s="800"/>
      <c r="JPY73" s="800"/>
      <c r="JPZ73" s="800"/>
      <c r="JQA73" s="800"/>
      <c r="JQB73" s="800"/>
      <c r="JQC73" s="705"/>
      <c r="JQD73" s="799"/>
      <c r="JQE73" s="800"/>
      <c r="JQF73" s="800"/>
      <c r="JQG73" s="800"/>
      <c r="JQH73" s="800"/>
      <c r="JQI73" s="800"/>
      <c r="JQJ73" s="705"/>
      <c r="JQK73" s="799"/>
      <c r="JQL73" s="800"/>
      <c r="JQM73" s="800"/>
      <c r="JQN73" s="800"/>
      <c r="JQO73" s="800"/>
      <c r="JQP73" s="800"/>
      <c r="JQQ73" s="705"/>
      <c r="JQR73" s="799"/>
      <c r="JQS73" s="800"/>
      <c r="JQT73" s="800"/>
      <c r="JQU73" s="800"/>
      <c r="JQV73" s="800"/>
      <c r="JQW73" s="800"/>
      <c r="JQX73" s="705"/>
      <c r="JQY73" s="799"/>
      <c r="JQZ73" s="800"/>
      <c r="JRA73" s="800"/>
      <c r="JRB73" s="800"/>
      <c r="JRC73" s="800"/>
      <c r="JRD73" s="800"/>
      <c r="JRE73" s="705"/>
      <c r="JRF73" s="799"/>
      <c r="JRG73" s="800"/>
      <c r="JRH73" s="800"/>
      <c r="JRI73" s="800"/>
      <c r="JRJ73" s="800"/>
      <c r="JRK73" s="800"/>
      <c r="JRL73" s="705"/>
      <c r="JRM73" s="799"/>
      <c r="JRN73" s="800"/>
      <c r="JRO73" s="800"/>
      <c r="JRP73" s="800"/>
      <c r="JRQ73" s="800"/>
      <c r="JRR73" s="800"/>
      <c r="JRS73" s="705"/>
      <c r="JRT73" s="799"/>
      <c r="JRU73" s="800"/>
      <c r="JRV73" s="800"/>
      <c r="JRW73" s="800"/>
      <c r="JRX73" s="800"/>
      <c r="JRY73" s="800"/>
      <c r="JRZ73" s="705"/>
      <c r="JSA73" s="799"/>
      <c r="JSB73" s="800"/>
      <c r="JSC73" s="800"/>
      <c r="JSD73" s="800"/>
      <c r="JSE73" s="800"/>
      <c r="JSF73" s="800"/>
      <c r="JSG73" s="705"/>
      <c r="JSH73" s="799"/>
      <c r="JSI73" s="800"/>
      <c r="JSJ73" s="800"/>
      <c r="JSK73" s="800"/>
      <c r="JSL73" s="800"/>
      <c r="JSM73" s="800"/>
      <c r="JSN73" s="705"/>
      <c r="JSO73" s="799"/>
      <c r="JSP73" s="800"/>
      <c r="JSQ73" s="800"/>
      <c r="JSR73" s="800"/>
      <c r="JSS73" s="800"/>
      <c r="JST73" s="800"/>
      <c r="JSU73" s="705"/>
      <c r="JSV73" s="799"/>
      <c r="JSW73" s="800"/>
      <c r="JSX73" s="800"/>
      <c r="JSY73" s="800"/>
      <c r="JSZ73" s="800"/>
      <c r="JTA73" s="800"/>
      <c r="JTB73" s="705"/>
      <c r="JTC73" s="799"/>
      <c r="JTD73" s="800"/>
      <c r="JTE73" s="800"/>
      <c r="JTF73" s="800"/>
      <c r="JTG73" s="800"/>
      <c r="JTH73" s="800"/>
      <c r="JTI73" s="705"/>
      <c r="JTJ73" s="799"/>
      <c r="JTK73" s="800"/>
      <c r="JTL73" s="800"/>
      <c r="JTM73" s="800"/>
      <c r="JTN73" s="800"/>
      <c r="JTO73" s="800"/>
      <c r="JTP73" s="705"/>
      <c r="JTQ73" s="799"/>
      <c r="JTR73" s="800"/>
      <c r="JTS73" s="800"/>
      <c r="JTT73" s="800"/>
      <c r="JTU73" s="800"/>
      <c r="JTV73" s="800"/>
      <c r="JTW73" s="705"/>
      <c r="JTX73" s="799"/>
      <c r="JTY73" s="800"/>
      <c r="JTZ73" s="800"/>
      <c r="JUA73" s="800"/>
      <c r="JUB73" s="800"/>
      <c r="JUC73" s="800"/>
      <c r="JUD73" s="705"/>
      <c r="JUE73" s="799"/>
      <c r="JUF73" s="800"/>
      <c r="JUG73" s="800"/>
      <c r="JUH73" s="800"/>
      <c r="JUI73" s="800"/>
      <c r="JUJ73" s="800"/>
      <c r="JUK73" s="705"/>
      <c r="JUL73" s="799"/>
      <c r="JUM73" s="800"/>
      <c r="JUN73" s="800"/>
      <c r="JUO73" s="800"/>
      <c r="JUP73" s="800"/>
      <c r="JUQ73" s="800"/>
      <c r="JUR73" s="705"/>
      <c r="JUS73" s="799"/>
      <c r="JUT73" s="800"/>
      <c r="JUU73" s="800"/>
      <c r="JUV73" s="800"/>
      <c r="JUW73" s="800"/>
      <c r="JUX73" s="800"/>
      <c r="JUY73" s="705"/>
      <c r="JUZ73" s="799"/>
      <c r="JVA73" s="800"/>
      <c r="JVB73" s="800"/>
      <c r="JVC73" s="800"/>
      <c r="JVD73" s="800"/>
      <c r="JVE73" s="800"/>
      <c r="JVF73" s="705"/>
      <c r="JVG73" s="799"/>
      <c r="JVH73" s="800"/>
      <c r="JVI73" s="800"/>
      <c r="JVJ73" s="800"/>
      <c r="JVK73" s="800"/>
      <c r="JVL73" s="800"/>
      <c r="JVM73" s="705"/>
      <c r="JVN73" s="799"/>
      <c r="JVO73" s="800"/>
      <c r="JVP73" s="800"/>
      <c r="JVQ73" s="800"/>
      <c r="JVR73" s="800"/>
      <c r="JVS73" s="800"/>
      <c r="JVT73" s="705"/>
      <c r="JVU73" s="799"/>
      <c r="JVV73" s="800"/>
      <c r="JVW73" s="800"/>
      <c r="JVX73" s="800"/>
      <c r="JVY73" s="800"/>
      <c r="JVZ73" s="800"/>
      <c r="JWA73" s="705"/>
      <c r="JWB73" s="799"/>
      <c r="JWC73" s="800"/>
      <c r="JWD73" s="800"/>
      <c r="JWE73" s="800"/>
      <c r="JWF73" s="800"/>
      <c r="JWG73" s="800"/>
      <c r="JWH73" s="705"/>
      <c r="JWI73" s="799"/>
      <c r="JWJ73" s="800"/>
      <c r="JWK73" s="800"/>
      <c r="JWL73" s="800"/>
      <c r="JWM73" s="800"/>
      <c r="JWN73" s="800"/>
      <c r="JWO73" s="705"/>
      <c r="JWP73" s="799"/>
      <c r="JWQ73" s="800"/>
      <c r="JWR73" s="800"/>
      <c r="JWS73" s="800"/>
      <c r="JWT73" s="800"/>
      <c r="JWU73" s="800"/>
      <c r="JWV73" s="705"/>
      <c r="JWW73" s="799"/>
      <c r="JWX73" s="800"/>
      <c r="JWY73" s="800"/>
      <c r="JWZ73" s="800"/>
      <c r="JXA73" s="800"/>
      <c r="JXB73" s="800"/>
      <c r="JXC73" s="705"/>
      <c r="JXD73" s="799"/>
      <c r="JXE73" s="800"/>
      <c r="JXF73" s="800"/>
      <c r="JXG73" s="800"/>
      <c r="JXH73" s="800"/>
      <c r="JXI73" s="800"/>
      <c r="JXJ73" s="705"/>
      <c r="JXK73" s="799"/>
      <c r="JXL73" s="800"/>
      <c r="JXM73" s="800"/>
      <c r="JXN73" s="800"/>
      <c r="JXO73" s="800"/>
      <c r="JXP73" s="800"/>
      <c r="JXQ73" s="705"/>
      <c r="JXR73" s="799"/>
      <c r="JXS73" s="800"/>
      <c r="JXT73" s="800"/>
      <c r="JXU73" s="800"/>
      <c r="JXV73" s="800"/>
      <c r="JXW73" s="800"/>
      <c r="JXX73" s="705"/>
      <c r="JXY73" s="799"/>
      <c r="JXZ73" s="800"/>
      <c r="JYA73" s="800"/>
      <c r="JYB73" s="800"/>
      <c r="JYC73" s="800"/>
      <c r="JYD73" s="800"/>
      <c r="JYE73" s="705"/>
      <c r="JYF73" s="799"/>
      <c r="JYG73" s="800"/>
      <c r="JYH73" s="800"/>
      <c r="JYI73" s="800"/>
      <c r="JYJ73" s="800"/>
      <c r="JYK73" s="800"/>
      <c r="JYL73" s="705"/>
      <c r="JYM73" s="799"/>
      <c r="JYN73" s="800"/>
      <c r="JYO73" s="800"/>
      <c r="JYP73" s="800"/>
      <c r="JYQ73" s="800"/>
      <c r="JYR73" s="800"/>
      <c r="JYS73" s="705"/>
      <c r="JYT73" s="799"/>
      <c r="JYU73" s="800"/>
      <c r="JYV73" s="800"/>
      <c r="JYW73" s="800"/>
      <c r="JYX73" s="800"/>
      <c r="JYY73" s="800"/>
      <c r="JYZ73" s="705"/>
      <c r="JZA73" s="799"/>
      <c r="JZB73" s="800"/>
      <c r="JZC73" s="800"/>
      <c r="JZD73" s="800"/>
      <c r="JZE73" s="800"/>
      <c r="JZF73" s="800"/>
      <c r="JZG73" s="705"/>
      <c r="JZH73" s="799"/>
      <c r="JZI73" s="800"/>
      <c r="JZJ73" s="800"/>
      <c r="JZK73" s="800"/>
      <c r="JZL73" s="800"/>
      <c r="JZM73" s="800"/>
      <c r="JZN73" s="705"/>
      <c r="JZO73" s="799"/>
      <c r="JZP73" s="800"/>
      <c r="JZQ73" s="800"/>
      <c r="JZR73" s="800"/>
      <c r="JZS73" s="800"/>
      <c r="JZT73" s="800"/>
      <c r="JZU73" s="705"/>
      <c r="JZV73" s="799"/>
      <c r="JZW73" s="800"/>
      <c r="JZX73" s="800"/>
      <c r="JZY73" s="800"/>
      <c r="JZZ73" s="800"/>
      <c r="KAA73" s="800"/>
      <c r="KAB73" s="705"/>
      <c r="KAC73" s="799"/>
      <c r="KAD73" s="800"/>
      <c r="KAE73" s="800"/>
      <c r="KAF73" s="800"/>
      <c r="KAG73" s="800"/>
      <c r="KAH73" s="800"/>
      <c r="KAI73" s="705"/>
      <c r="KAJ73" s="799"/>
      <c r="KAK73" s="800"/>
      <c r="KAL73" s="800"/>
      <c r="KAM73" s="800"/>
      <c r="KAN73" s="800"/>
      <c r="KAO73" s="800"/>
      <c r="KAP73" s="705"/>
      <c r="KAQ73" s="799"/>
      <c r="KAR73" s="800"/>
      <c r="KAS73" s="800"/>
      <c r="KAT73" s="800"/>
      <c r="KAU73" s="800"/>
      <c r="KAV73" s="800"/>
      <c r="KAW73" s="705"/>
      <c r="KAX73" s="799"/>
      <c r="KAY73" s="800"/>
      <c r="KAZ73" s="800"/>
      <c r="KBA73" s="800"/>
      <c r="KBB73" s="800"/>
      <c r="KBC73" s="800"/>
      <c r="KBD73" s="705"/>
      <c r="KBE73" s="799"/>
      <c r="KBF73" s="800"/>
      <c r="KBG73" s="800"/>
      <c r="KBH73" s="800"/>
      <c r="KBI73" s="800"/>
      <c r="KBJ73" s="800"/>
      <c r="KBK73" s="705"/>
      <c r="KBL73" s="799"/>
      <c r="KBM73" s="800"/>
      <c r="KBN73" s="800"/>
      <c r="KBO73" s="800"/>
      <c r="KBP73" s="800"/>
      <c r="KBQ73" s="800"/>
      <c r="KBR73" s="705"/>
      <c r="KBS73" s="799"/>
      <c r="KBT73" s="800"/>
      <c r="KBU73" s="800"/>
      <c r="KBV73" s="800"/>
      <c r="KBW73" s="800"/>
      <c r="KBX73" s="800"/>
      <c r="KBY73" s="705"/>
      <c r="KBZ73" s="799"/>
      <c r="KCA73" s="800"/>
      <c r="KCB73" s="800"/>
      <c r="KCC73" s="800"/>
      <c r="KCD73" s="800"/>
      <c r="KCE73" s="800"/>
      <c r="KCF73" s="705"/>
      <c r="KCG73" s="799"/>
      <c r="KCH73" s="800"/>
      <c r="KCI73" s="800"/>
      <c r="KCJ73" s="800"/>
      <c r="KCK73" s="800"/>
      <c r="KCL73" s="800"/>
      <c r="KCM73" s="705"/>
      <c r="KCN73" s="799"/>
      <c r="KCO73" s="800"/>
      <c r="KCP73" s="800"/>
      <c r="KCQ73" s="800"/>
      <c r="KCR73" s="800"/>
      <c r="KCS73" s="800"/>
      <c r="KCT73" s="705"/>
      <c r="KCU73" s="799"/>
      <c r="KCV73" s="800"/>
      <c r="KCW73" s="800"/>
      <c r="KCX73" s="800"/>
      <c r="KCY73" s="800"/>
      <c r="KCZ73" s="800"/>
      <c r="KDA73" s="705"/>
      <c r="KDB73" s="799"/>
      <c r="KDC73" s="800"/>
      <c r="KDD73" s="800"/>
      <c r="KDE73" s="800"/>
      <c r="KDF73" s="800"/>
      <c r="KDG73" s="800"/>
      <c r="KDH73" s="705"/>
      <c r="KDI73" s="799"/>
      <c r="KDJ73" s="800"/>
      <c r="KDK73" s="800"/>
      <c r="KDL73" s="800"/>
      <c r="KDM73" s="800"/>
      <c r="KDN73" s="800"/>
      <c r="KDO73" s="705"/>
      <c r="KDP73" s="799"/>
      <c r="KDQ73" s="800"/>
      <c r="KDR73" s="800"/>
      <c r="KDS73" s="800"/>
      <c r="KDT73" s="800"/>
      <c r="KDU73" s="800"/>
      <c r="KDV73" s="705"/>
      <c r="KDW73" s="799"/>
      <c r="KDX73" s="800"/>
      <c r="KDY73" s="800"/>
      <c r="KDZ73" s="800"/>
      <c r="KEA73" s="800"/>
      <c r="KEB73" s="800"/>
      <c r="KEC73" s="705"/>
      <c r="KED73" s="799"/>
      <c r="KEE73" s="800"/>
      <c r="KEF73" s="800"/>
      <c r="KEG73" s="800"/>
      <c r="KEH73" s="800"/>
      <c r="KEI73" s="800"/>
      <c r="KEJ73" s="705"/>
      <c r="KEK73" s="799"/>
      <c r="KEL73" s="800"/>
      <c r="KEM73" s="800"/>
      <c r="KEN73" s="800"/>
      <c r="KEO73" s="800"/>
      <c r="KEP73" s="800"/>
      <c r="KEQ73" s="705"/>
      <c r="KER73" s="799"/>
      <c r="KES73" s="800"/>
      <c r="KET73" s="800"/>
      <c r="KEU73" s="800"/>
      <c r="KEV73" s="800"/>
      <c r="KEW73" s="800"/>
      <c r="KEX73" s="705"/>
      <c r="KEY73" s="799"/>
      <c r="KEZ73" s="800"/>
      <c r="KFA73" s="800"/>
      <c r="KFB73" s="800"/>
      <c r="KFC73" s="800"/>
      <c r="KFD73" s="800"/>
      <c r="KFE73" s="705"/>
      <c r="KFF73" s="799"/>
      <c r="KFG73" s="800"/>
      <c r="KFH73" s="800"/>
      <c r="KFI73" s="800"/>
      <c r="KFJ73" s="800"/>
      <c r="KFK73" s="800"/>
      <c r="KFL73" s="705"/>
      <c r="KFM73" s="799"/>
      <c r="KFN73" s="800"/>
      <c r="KFO73" s="800"/>
      <c r="KFP73" s="800"/>
      <c r="KFQ73" s="800"/>
      <c r="KFR73" s="800"/>
      <c r="KFS73" s="705"/>
      <c r="KFT73" s="799"/>
      <c r="KFU73" s="800"/>
      <c r="KFV73" s="800"/>
      <c r="KFW73" s="800"/>
      <c r="KFX73" s="800"/>
      <c r="KFY73" s="800"/>
      <c r="KFZ73" s="705"/>
      <c r="KGA73" s="799"/>
      <c r="KGB73" s="800"/>
      <c r="KGC73" s="800"/>
      <c r="KGD73" s="800"/>
      <c r="KGE73" s="800"/>
      <c r="KGF73" s="800"/>
      <c r="KGG73" s="705"/>
      <c r="KGH73" s="799"/>
      <c r="KGI73" s="800"/>
      <c r="KGJ73" s="800"/>
      <c r="KGK73" s="800"/>
      <c r="KGL73" s="800"/>
      <c r="KGM73" s="800"/>
      <c r="KGN73" s="705"/>
      <c r="KGO73" s="799"/>
      <c r="KGP73" s="800"/>
      <c r="KGQ73" s="800"/>
      <c r="KGR73" s="800"/>
      <c r="KGS73" s="800"/>
      <c r="KGT73" s="800"/>
      <c r="KGU73" s="705"/>
      <c r="KGV73" s="799"/>
      <c r="KGW73" s="800"/>
      <c r="KGX73" s="800"/>
      <c r="KGY73" s="800"/>
      <c r="KGZ73" s="800"/>
      <c r="KHA73" s="800"/>
      <c r="KHB73" s="705"/>
      <c r="KHC73" s="799"/>
      <c r="KHD73" s="800"/>
      <c r="KHE73" s="800"/>
      <c r="KHF73" s="800"/>
      <c r="KHG73" s="800"/>
      <c r="KHH73" s="800"/>
      <c r="KHI73" s="705"/>
      <c r="KHJ73" s="799"/>
      <c r="KHK73" s="800"/>
      <c r="KHL73" s="800"/>
      <c r="KHM73" s="800"/>
      <c r="KHN73" s="800"/>
      <c r="KHO73" s="800"/>
      <c r="KHP73" s="705"/>
      <c r="KHQ73" s="799"/>
      <c r="KHR73" s="800"/>
      <c r="KHS73" s="800"/>
      <c r="KHT73" s="800"/>
      <c r="KHU73" s="800"/>
      <c r="KHV73" s="800"/>
      <c r="KHW73" s="705"/>
      <c r="KHX73" s="799"/>
      <c r="KHY73" s="800"/>
      <c r="KHZ73" s="800"/>
      <c r="KIA73" s="800"/>
      <c r="KIB73" s="800"/>
      <c r="KIC73" s="800"/>
      <c r="KID73" s="705"/>
      <c r="KIE73" s="799"/>
      <c r="KIF73" s="800"/>
      <c r="KIG73" s="800"/>
      <c r="KIH73" s="800"/>
      <c r="KII73" s="800"/>
      <c r="KIJ73" s="800"/>
      <c r="KIK73" s="705"/>
      <c r="KIL73" s="799"/>
      <c r="KIM73" s="800"/>
      <c r="KIN73" s="800"/>
      <c r="KIO73" s="800"/>
      <c r="KIP73" s="800"/>
      <c r="KIQ73" s="800"/>
      <c r="KIR73" s="705"/>
      <c r="KIS73" s="799"/>
      <c r="KIT73" s="800"/>
      <c r="KIU73" s="800"/>
      <c r="KIV73" s="800"/>
      <c r="KIW73" s="800"/>
      <c r="KIX73" s="800"/>
      <c r="KIY73" s="705"/>
      <c r="KIZ73" s="799"/>
      <c r="KJA73" s="800"/>
      <c r="KJB73" s="800"/>
      <c r="KJC73" s="800"/>
      <c r="KJD73" s="800"/>
      <c r="KJE73" s="800"/>
      <c r="KJF73" s="705"/>
      <c r="KJG73" s="799"/>
      <c r="KJH73" s="800"/>
      <c r="KJI73" s="800"/>
      <c r="KJJ73" s="800"/>
      <c r="KJK73" s="800"/>
      <c r="KJL73" s="800"/>
      <c r="KJM73" s="705"/>
      <c r="KJN73" s="799"/>
      <c r="KJO73" s="800"/>
      <c r="KJP73" s="800"/>
      <c r="KJQ73" s="800"/>
      <c r="KJR73" s="800"/>
      <c r="KJS73" s="800"/>
      <c r="KJT73" s="705"/>
      <c r="KJU73" s="799"/>
      <c r="KJV73" s="800"/>
      <c r="KJW73" s="800"/>
      <c r="KJX73" s="800"/>
      <c r="KJY73" s="800"/>
      <c r="KJZ73" s="800"/>
      <c r="KKA73" s="705"/>
      <c r="KKB73" s="799"/>
      <c r="KKC73" s="800"/>
      <c r="KKD73" s="800"/>
      <c r="KKE73" s="800"/>
      <c r="KKF73" s="800"/>
      <c r="KKG73" s="800"/>
      <c r="KKH73" s="705"/>
      <c r="KKI73" s="799"/>
      <c r="KKJ73" s="800"/>
      <c r="KKK73" s="800"/>
      <c r="KKL73" s="800"/>
      <c r="KKM73" s="800"/>
      <c r="KKN73" s="800"/>
      <c r="KKO73" s="705"/>
      <c r="KKP73" s="799"/>
      <c r="KKQ73" s="800"/>
      <c r="KKR73" s="800"/>
      <c r="KKS73" s="800"/>
      <c r="KKT73" s="800"/>
      <c r="KKU73" s="800"/>
      <c r="KKV73" s="705"/>
      <c r="KKW73" s="799"/>
      <c r="KKX73" s="800"/>
      <c r="KKY73" s="800"/>
      <c r="KKZ73" s="800"/>
      <c r="KLA73" s="800"/>
      <c r="KLB73" s="800"/>
      <c r="KLC73" s="705"/>
      <c r="KLD73" s="799"/>
      <c r="KLE73" s="800"/>
      <c r="KLF73" s="800"/>
      <c r="KLG73" s="800"/>
      <c r="KLH73" s="800"/>
      <c r="KLI73" s="800"/>
      <c r="KLJ73" s="705"/>
      <c r="KLK73" s="799"/>
      <c r="KLL73" s="800"/>
      <c r="KLM73" s="800"/>
      <c r="KLN73" s="800"/>
      <c r="KLO73" s="800"/>
      <c r="KLP73" s="800"/>
      <c r="KLQ73" s="705"/>
      <c r="KLR73" s="799"/>
      <c r="KLS73" s="800"/>
      <c r="KLT73" s="800"/>
      <c r="KLU73" s="800"/>
      <c r="KLV73" s="800"/>
      <c r="KLW73" s="800"/>
      <c r="KLX73" s="705"/>
      <c r="KLY73" s="799"/>
      <c r="KLZ73" s="800"/>
      <c r="KMA73" s="800"/>
      <c r="KMB73" s="800"/>
      <c r="KMC73" s="800"/>
      <c r="KMD73" s="800"/>
      <c r="KME73" s="705"/>
      <c r="KMF73" s="799"/>
      <c r="KMG73" s="800"/>
      <c r="KMH73" s="800"/>
      <c r="KMI73" s="800"/>
      <c r="KMJ73" s="800"/>
      <c r="KMK73" s="800"/>
      <c r="KML73" s="705"/>
      <c r="KMM73" s="799"/>
      <c r="KMN73" s="800"/>
      <c r="KMO73" s="800"/>
      <c r="KMP73" s="800"/>
      <c r="KMQ73" s="800"/>
      <c r="KMR73" s="800"/>
      <c r="KMS73" s="705"/>
      <c r="KMT73" s="799"/>
      <c r="KMU73" s="800"/>
      <c r="KMV73" s="800"/>
      <c r="KMW73" s="800"/>
      <c r="KMX73" s="800"/>
      <c r="KMY73" s="800"/>
      <c r="KMZ73" s="705"/>
      <c r="KNA73" s="799"/>
      <c r="KNB73" s="800"/>
      <c r="KNC73" s="800"/>
      <c r="KND73" s="800"/>
      <c r="KNE73" s="800"/>
      <c r="KNF73" s="800"/>
      <c r="KNG73" s="705"/>
      <c r="KNH73" s="799"/>
      <c r="KNI73" s="800"/>
      <c r="KNJ73" s="800"/>
      <c r="KNK73" s="800"/>
      <c r="KNL73" s="800"/>
      <c r="KNM73" s="800"/>
      <c r="KNN73" s="705"/>
      <c r="KNO73" s="799"/>
      <c r="KNP73" s="800"/>
      <c r="KNQ73" s="800"/>
      <c r="KNR73" s="800"/>
      <c r="KNS73" s="800"/>
      <c r="KNT73" s="800"/>
      <c r="KNU73" s="705"/>
      <c r="KNV73" s="799"/>
      <c r="KNW73" s="800"/>
      <c r="KNX73" s="800"/>
      <c r="KNY73" s="800"/>
      <c r="KNZ73" s="800"/>
      <c r="KOA73" s="800"/>
      <c r="KOB73" s="705"/>
      <c r="KOC73" s="799"/>
      <c r="KOD73" s="800"/>
      <c r="KOE73" s="800"/>
      <c r="KOF73" s="800"/>
      <c r="KOG73" s="800"/>
      <c r="KOH73" s="800"/>
      <c r="KOI73" s="705"/>
      <c r="KOJ73" s="799"/>
      <c r="KOK73" s="800"/>
      <c r="KOL73" s="800"/>
      <c r="KOM73" s="800"/>
      <c r="KON73" s="800"/>
      <c r="KOO73" s="800"/>
      <c r="KOP73" s="705"/>
      <c r="KOQ73" s="799"/>
      <c r="KOR73" s="800"/>
      <c r="KOS73" s="800"/>
      <c r="KOT73" s="800"/>
      <c r="KOU73" s="800"/>
      <c r="KOV73" s="800"/>
      <c r="KOW73" s="705"/>
      <c r="KOX73" s="799"/>
      <c r="KOY73" s="800"/>
      <c r="KOZ73" s="800"/>
      <c r="KPA73" s="800"/>
      <c r="KPB73" s="800"/>
      <c r="KPC73" s="800"/>
      <c r="KPD73" s="705"/>
      <c r="KPE73" s="799"/>
      <c r="KPF73" s="800"/>
      <c r="KPG73" s="800"/>
      <c r="KPH73" s="800"/>
      <c r="KPI73" s="800"/>
      <c r="KPJ73" s="800"/>
      <c r="KPK73" s="705"/>
      <c r="KPL73" s="799"/>
      <c r="KPM73" s="800"/>
      <c r="KPN73" s="800"/>
      <c r="KPO73" s="800"/>
      <c r="KPP73" s="800"/>
      <c r="KPQ73" s="800"/>
      <c r="KPR73" s="705"/>
      <c r="KPS73" s="799"/>
      <c r="KPT73" s="800"/>
      <c r="KPU73" s="800"/>
      <c r="KPV73" s="800"/>
      <c r="KPW73" s="800"/>
      <c r="KPX73" s="800"/>
      <c r="KPY73" s="705"/>
      <c r="KPZ73" s="799"/>
      <c r="KQA73" s="800"/>
      <c r="KQB73" s="800"/>
      <c r="KQC73" s="800"/>
      <c r="KQD73" s="800"/>
      <c r="KQE73" s="800"/>
      <c r="KQF73" s="705"/>
      <c r="KQG73" s="799"/>
      <c r="KQH73" s="800"/>
      <c r="KQI73" s="800"/>
      <c r="KQJ73" s="800"/>
      <c r="KQK73" s="800"/>
      <c r="KQL73" s="800"/>
      <c r="KQM73" s="705"/>
      <c r="KQN73" s="799"/>
      <c r="KQO73" s="800"/>
      <c r="KQP73" s="800"/>
      <c r="KQQ73" s="800"/>
      <c r="KQR73" s="800"/>
      <c r="KQS73" s="800"/>
      <c r="KQT73" s="705"/>
      <c r="KQU73" s="799"/>
      <c r="KQV73" s="800"/>
      <c r="KQW73" s="800"/>
      <c r="KQX73" s="800"/>
      <c r="KQY73" s="800"/>
      <c r="KQZ73" s="800"/>
      <c r="KRA73" s="705"/>
      <c r="KRB73" s="799"/>
      <c r="KRC73" s="800"/>
      <c r="KRD73" s="800"/>
      <c r="KRE73" s="800"/>
      <c r="KRF73" s="800"/>
      <c r="KRG73" s="800"/>
      <c r="KRH73" s="705"/>
      <c r="KRI73" s="799"/>
      <c r="KRJ73" s="800"/>
      <c r="KRK73" s="800"/>
      <c r="KRL73" s="800"/>
      <c r="KRM73" s="800"/>
      <c r="KRN73" s="800"/>
      <c r="KRO73" s="705"/>
      <c r="KRP73" s="799"/>
      <c r="KRQ73" s="800"/>
      <c r="KRR73" s="800"/>
      <c r="KRS73" s="800"/>
      <c r="KRT73" s="800"/>
      <c r="KRU73" s="800"/>
      <c r="KRV73" s="705"/>
      <c r="KRW73" s="799"/>
      <c r="KRX73" s="800"/>
      <c r="KRY73" s="800"/>
      <c r="KRZ73" s="800"/>
      <c r="KSA73" s="800"/>
      <c r="KSB73" s="800"/>
      <c r="KSC73" s="705"/>
      <c r="KSD73" s="799"/>
      <c r="KSE73" s="800"/>
      <c r="KSF73" s="800"/>
      <c r="KSG73" s="800"/>
      <c r="KSH73" s="800"/>
      <c r="KSI73" s="800"/>
      <c r="KSJ73" s="705"/>
      <c r="KSK73" s="799"/>
      <c r="KSL73" s="800"/>
      <c r="KSM73" s="800"/>
      <c r="KSN73" s="800"/>
      <c r="KSO73" s="800"/>
      <c r="KSP73" s="800"/>
      <c r="KSQ73" s="705"/>
      <c r="KSR73" s="799"/>
      <c r="KSS73" s="800"/>
      <c r="KST73" s="800"/>
      <c r="KSU73" s="800"/>
      <c r="KSV73" s="800"/>
      <c r="KSW73" s="800"/>
      <c r="KSX73" s="705"/>
      <c r="KSY73" s="799"/>
      <c r="KSZ73" s="800"/>
      <c r="KTA73" s="800"/>
      <c r="KTB73" s="800"/>
      <c r="KTC73" s="800"/>
      <c r="KTD73" s="800"/>
      <c r="KTE73" s="705"/>
      <c r="KTF73" s="799"/>
      <c r="KTG73" s="800"/>
      <c r="KTH73" s="800"/>
      <c r="KTI73" s="800"/>
      <c r="KTJ73" s="800"/>
      <c r="KTK73" s="800"/>
      <c r="KTL73" s="705"/>
      <c r="KTM73" s="799"/>
      <c r="KTN73" s="800"/>
      <c r="KTO73" s="800"/>
      <c r="KTP73" s="800"/>
      <c r="KTQ73" s="800"/>
      <c r="KTR73" s="800"/>
      <c r="KTS73" s="705"/>
      <c r="KTT73" s="799"/>
      <c r="KTU73" s="800"/>
      <c r="KTV73" s="800"/>
      <c r="KTW73" s="800"/>
      <c r="KTX73" s="800"/>
      <c r="KTY73" s="800"/>
      <c r="KTZ73" s="705"/>
      <c r="KUA73" s="799"/>
      <c r="KUB73" s="800"/>
      <c r="KUC73" s="800"/>
      <c r="KUD73" s="800"/>
      <c r="KUE73" s="800"/>
      <c r="KUF73" s="800"/>
      <c r="KUG73" s="705"/>
      <c r="KUH73" s="799"/>
      <c r="KUI73" s="800"/>
      <c r="KUJ73" s="800"/>
      <c r="KUK73" s="800"/>
      <c r="KUL73" s="800"/>
      <c r="KUM73" s="800"/>
      <c r="KUN73" s="705"/>
      <c r="KUO73" s="799"/>
      <c r="KUP73" s="800"/>
      <c r="KUQ73" s="800"/>
      <c r="KUR73" s="800"/>
      <c r="KUS73" s="800"/>
      <c r="KUT73" s="800"/>
      <c r="KUU73" s="705"/>
      <c r="KUV73" s="799"/>
      <c r="KUW73" s="800"/>
      <c r="KUX73" s="800"/>
      <c r="KUY73" s="800"/>
      <c r="KUZ73" s="800"/>
      <c r="KVA73" s="800"/>
      <c r="KVB73" s="705"/>
      <c r="KVC73" s="799"/>
      <c r="KVD73" s="800"/>
      <c r="KVE73" s="800"/>
      <c r="KVF73" s="800"/>
      <c r="KVG73" s="800"/>
      <c r="KVH73" s="800"/>
      <c r="KVI73" s="705"/>
      <c r="KVJ73" s="799"/>
      <c r="KVK73" s="800"/>
      <c r="KVL73" s="800"/>
      <c r="KVM73" s="800"/>
      <c r="KVN73" s="800"/>
      <c r="KVO73" s="800"/>
      <c r="KVP73" s="705"/>
      <c r="KVQ73" s="799"/>
      <c r="KVR73" s="800"/>
      <c r="KVS73" s="800"/>
      <c r="KVT73" s="800"/>
      <c r="KVU73" s="800"/>
      <c r="KVV73" s="800"/>
      <c r="KVW73" s="705"/>
      <c r="KVX73" s="799"/>
      <c r="KVY73" s="800"/>
      <c r="KVZ73" s="800"/>
      <c r="KWA73" s="800"/>
      <c r="KWB73" s="800"/>
      <c r="KWC73" s="800"/>
      <c r="KWD73" s="705"/>
      <c r="KWE73" s="799"/>
      <c r="KWF73" s="800"/>
      <c r="KWG73" s="800"/>
      <c r="KWH73" s="800"/>
      <c r="KWI73" s="800"/>
      <c r="KWJ73" s="800"/>
      <c r="KWK73" s="705"/>
      <c r="KWL73" s="799"/>
      <c r="KWM73" s="800"/>
      <c r="KWN73" s="800"/>
      <c r="KWO73" s="800"/>
      <c r="KWP73" s="800"/>
      <c r="KWQ73" s="800"/>
      <c r="KWR73" s="705"/>
      <c r="KWS73" s="799"/>
      <c r="KWT73" s="800"/>
      <c r="KWU73" s="800"/>
      <c r="KWV73" s="800"/>
      <c r="KWW73" s="800"/>
      <c r="KWX73" s="800"/>
      <c r="KWY73" s="705"/>
      <c r="KWZ73" s="799"/>
      <c r="KXA73" s="800"/>
      <c r="KXB73" s="800"/>
      <c r="KXC73" s="800"/>
      <c r="KXD73" s="800"/>
      <c r="KXE73" s="800"/>
      <c r="KXF73" s="705"/>
      <c r="KXG73" s="799"/>
      <c r="KXH73" s="800"/>
      <c r="KXI73" s="800"/>
      <c r="KXJ73" s="800"/>
      <c r="KXK73" s="800"/>
      <c r="KXL73" s="800"/>
      <c r="KXM73" s="705"/>
      <c r="KXN73" s="799"/>
      <c r="KXO73" s="800"/>
      <c r="KXP73" s="800"/>
      <c r="KXQ73" s="800"/>
      <c r="KXR73" s="800"/>
      <c r="KXS73" s="800"/>
      <c r="KXT73" s="705"/>
      <c r="KXU73" s="799"/>
      <c r="KXV73" s="800"/>
      <c r="KXW73" s="800"/>
      <c r="KXX73" s="800"/>
      <c r="KXY73" s="800"/>
      <c r="KXZ73" s="800"/>
      <c r="KYA73" s="705"/>
      <c r="KYB73" s="799"/>
      <c r="KYC73" s="800"/>
      <c r="KYD73" s="800"/>
      <c r="KYE73" s="800"/>
      <c r="KYF73" s="800"/>
      <c r="KYG73" s="800"/>
      <c r="KYH73" s="705"/>
      <c r="KYI73" s="799"/>
      <c r="KYJ73" s="800"/>
      <c r="KYK73" s="800"/>
      <c r="KYL73" s="800"/>
      <c r="KYM73" s="800"/>
      <c r="KYN73" s="800"/>
      <c r="KYO73" s="705"/>
      <c r="KYP73" s="799"/>
      <c r="KYQ73" s="800"/>
      <c r="KYR73" s="800"/>
      <c r="KYS73" s="800"/>
      <c r="KYT73" s="800"/>
      <c r="KYU73" s="800"/>
      <c r="KYV73" s="705"/>
      <c r="KYW73" s="799"/>
      <c r="KYX73" s="800"/>
      <c r="KYY73" s="800"/>
      <c r="KYZ73" s="800"/>
      <c r="KZA73" s="800"/>
      <c r="KZB73" s="800"/>
      <c r="KZC73" s="705"/>
      <c r="KZD73" s="799"/>
      <c r="KZE73" s="800"/>
      <c r="KZF73" s="800"/>
      <c r="KZG73" s="800"/>
      <c r="KZH73" s="800"/>
      <c r="KZI73" s="800"/>
      <c r="KZJ73" s="705"/>
      <c r="KZK73" s="799"/>
      <c r="KZL73" s="800"/>
      <c r="KZM73" s="800"/>
      <c r="KZN73" s="800"/>
      <c r="KZO73" s="800"/>
      <c r="KZP73" s="800"/>
      <c r="KZQ73" s="705"/>
      <c r="KZR73" s="799"/>
      <c r="KZS73" s="800"/>
      <c r="KZT73" s="800"/>
      <c r="KZU73" s="800"/>
      <c r="KZV73" s="800"/>
      <c r="KZW73" s="800"/>
      <c r="KZX73" s="705"/>
      <c r="KZY73" s="799"/>
      <c r="KZZ73" s="800"/>
      <c r="LAA73" s="800"/>
      <c r="LAB73" s="800"/>
      <c r="LAC73" s="800"/>
      <c r="LAD73" s="800"/>
      <c r="LAE73" s="705"/>
      <c r="LAF73" s="799"/>
      <c r="LAG73" s="800"/>
      <c r="LAH73" s="800"/>
      <c r="LAI73" s="800"/>
      <c r="LAJ73" s="800"/>
      <c r="LAK73" s="800"/>
      <c r="LAL73" s="705"/>
      <c r="LAM73" s="799"/>
      <c r="LAN73" s="800"/>
      <c r="LAO73" s="800"/>
      <c r="LAP73" s="800"/>
      <c r="LAQ73" s="800"/>
      <c r="LAR73" s="800"/>
      <c r="LAS73" s="705"/>
      <c r="LAT73" s="799"/>
      <c r="LAU73" s="800"/>
      <c r="LAV73" s="800"/>
      <c r="LAW73" s="800"/>
      <c r="LAX73" s="800"/>
      <c r="LAY73" s="800"/>
      <c r="LAZ73" s="705"/>
      <c r="LBA73" s="799"/>
      <c r="LBB73" s="800"/>
      <c r="LBC73" s="800"/>
      <c r="LBD73" s="800"/>
      <c r="LBE73" s="800"/>
      <c r="LBF73" s="800"/>
      <c r="LBG73" s="705"/>
      <c r="LBH73" s="799"/>
      <c r="LBI73" s="800"/>
      <c r="LBJ73" s="800"/>
      <c r="LBK73" s="800"/>
      <c r="LBL73" s="800"/>
      <c r="LBM73" s="800"/>
      <c r="LBN73" s="705"/>
      <c r="LBO73" s="799"/>
      <c r="LBP73" s="800"/>
      <c r="LBQ73" s="800"/>
      <c r="LBR73" s="800"/>
      <c r="LBS73" s="800"/>
      <c r="LBT73" s="800"/>
      <c r="LBU73" s="705"/>
      <c r="LBV73" s="799"/>
      <c r="LBW73" s="800"/>
      <c r="LBX73" s="800"/>
      <c r="LBY73" s="800"/>
      <c r="LBZ73" s="800"/>
      <c r="LCA73" s="800"/>
      <c r="LCB73" s="705"/>
      <c r="LCC73" s="799"/>
      <c r="LCD73" s="800"/>
      <c r="LCE73" s="800"/>
      <c r="LCF73" s="800"/>
      <c r="LCG73" s="800"/>
      <c r="LCH73" s="800"/>
      <c r="LCI73" s="705"/>
      <c r="LCJ73" s="799"/>
      <c r="LCK73" s="800"/>
      <c r="LCL73" s="800"/>
      <c r="LCM73" s="800"/>
      <c r="LCN73" s="800"/>
      <c r="LCO73" s="800"/>
      <c r="LCP73" s="705"/>
      <c r="LCQ73" s="799"/>
      <c r="LCR73" s="800"/>
      <c r="LCS73" s="800"/>
      <c r="LCT73" s="800"/>
      <c r="LCU73" s="800"/>
      <c r="LCV73" s="800"/>
      <c r="LCW73" s="705"/>
      <c r="LCX73" s="799"/>
      <c r="LCY73" s="800"/>
      <c r="LCZ73" s="800"/>
      <c r="LDA73" s="800"/>
      <c r="LDB73" s="800"/>
      <c r="LDC73" s="800"/>
      <c r="LDD73" s="705"/>
      <c r="LDE73" s="799"/>
      <c r="LDF73" s="800"/>
      <c r="LDG73" s="800"/>
      <c r="LDH73" s="800"/>
      <c r="LDI73" s="800"/>
      <c r="LDJ73" s="800"/>
      <c r="LDK73" s="705"/>
      <c r="LDL73" s="799"/>
      <c r="LDM73" s="800"/>
      <c r="LDN73" s="800"/>
      <c r="LDO73" s="800"/>
      <c r="LDP73" s="800"/>
      <c r="LDQ73" s="800"/>
      <c r="LDR73" s="705"/>
      <c r="LDS73" s="799"/>
      <c r="LDT73" s="800"/>
      <c r="LDU73" s="800"/>
      <c r="LDV73" s="800"/>
      <c r="LDW73" s="800"/>
      <c r="LDX73" s="800"/>
      <c r="LDY73" s="705"/>
      <c r="LDZ73" s="799"/>
      <c r="LEA73" s="800"/>
      <c r="LEB73" s="800"/>
      <c r="LEC73" s="800"/>
      <c r="LED73" s="800"/>
      <c r="LEE73" s="800"/>
      <c r="LEF73" s="705"/>
      <c r="LEG73" s="799"/>
      <c r="LEH73" s="800"/>
      <c r="LEI73" s="800"/>
      <c r="LEJ73" s="800"/>
      <c r="LEK73" s="800"/>
      <c r="LEL73" s="800"/>
      <c r="LEM73" s="705"/>
      <c r="LEN73" s="799"/>
      <c r="LEO73" s="800"/>
      <c r="LEP73" s="800"/>
      <c r="LEQ73" s="800"/>
      <c r="LER73" s="800"/>
      <c r="LES73" s="800"/>
      <c r="LET73" s="705"/>
      <c r="LEU73" s="799"/>
      <c r="LEV73" s="800"/>
      <c r="LEW73" s="800"/>
      <c r="LEX73" s="800"/>
      <c r="LEY73" s="800"/>
      <c r="LEZ73" s="800"/>
      <c r="LFA73" s="705"/>
      <c r="LFB73" s="799"/>
      <c r="LFC73" s="800"/>
      <c r="LFD73" s="800"/>
      <c r="LFE73" s="800"/>
      <c r="LFF73" s="800"/>
      <c r="LFG73" s="800"/>
      <c r="LFH73" s="705"/>
      <c r="LFI73" s="799"/>
      <c r="LFJ73" s="800"/>
      <c r="LFK73" s="800"/>
      <c r="LFL73" s="800"/>
      <c r="LFM73" s="800"/>
      <c r="LFN73" s="800"/>
      <c r="LFO73" s="705"/>
      <c r="LFP73" s="799"/>
      <c r="LFQ73" s="800"/>
      <c r="LFR73" s="800"/>
      <c r="LFS73" s="800"/>
      <c r="LFT73" s="800"/>
      <c r="LFU73" s="800"/>
      <c r="LFV73" s="705"/>
      <c r="LFW73" s="799"/>
      <c r="LFX73" s="800"/>
      <c r="LFY73" s="800"/>
      <c r="LFZ73" s="800"/>
      <c r="LGA73" s="800"/>
      <c r="LGB73" s="800"/>
      <c r="LGC73" s="705"/>
      <c r="LGD73" s="799"/>
      <c r="LGE73" s="800"/>
      <c r="LGF73" s="800"/>
      <c r="LGG73" s="800"/>
      <c r="LGH73" s="800"/>
      <c r="LGI73" s="800"/>
      <c r="LGJ73" s="705"/>
      <c r="LGK73" s="799"/>
      <c r="LGL73" s="800"/>
      <c r="LGM73" s="800"/>
      <c r="LGN73" s="800"/>
      <c r="LGO73" s="800"/>
      <c r="LGP73" s="800"/>
      <c r="LGQ73" s="705"/>
      <c r="LGR73" s="799"/>
      <c r="LGS73" s="800"/>
      <c r="LGT73" s="800"/>
      <c r="LGU73" s="800"/>
      <c r="LGV73" s="800"/>
      <c r="LGW73" s="800"/>
      <c r="LGX73" s="705"/>
      <c r="LGY73" s="799"/>
      <c r="LGZ73" s="800"/>
      <c r="LHA73" s="800"/>
      <c r="LHB73" s="800"/>
      <c r="LHC73" s="800"/>
      <c r="LHD73" s="800"/>
      <c r="LHE73" s="705"/>
      <c r="LHF73" s="799"/>
      <c r="LHG73" s="800"/>
      <c r="LHH73" s="800"/>
      <c r="LHI73" s="800"/>
      <c r="LHJ73" s="800"/>
      <c r="LHK73" s="800"/>
      <c r="LHL73" s="705"/>
      <c r="LHM73" s="799"/>
      <c r="LHN73" s="800"/>
      <c r="LHO73" s="800"/>
      <c r="LHP73" s="800"/>
      <c r="LHQ73" s="800"/>
      <c r="LHR73" s="800"/>
      <c r="LHS73" s="705"/>
      <c r="LHT73" s="799"/>
      <c r="LHU73" s="800"/>
      <c r="LHV73" s="800"/>
      <c r="LHW73" s="800"/>
      <c r="LHX73" s="800"/>
      <c r="LHY73" s="800"/>
      <c r="LHZ73" s="705"/>
      <c r="LIA73" s="799"/>
      <c r="LIB73" s="800"/>
      <c r="LIC73" s="800"/>
      <c r="LID73" s="800"/>
      <c r="LIE73" s="800"/>
      <c r="LIF73" s="800"/>
      <c r="LIG73" s="705"/>
      <c r="LIH73" s="799"/>
      <c r="LII73" s="800"/>
      <c r="LIJ73" s="800"/>
      <c r="LIK73" s="800"/>
      <c r="LIL73" s="800"/>
      <c r="LIM73" s="800"/>
      <c r="LIN73" s="705"/>
      <c r="LIO73" s="799"/>
      <c r="LIP73" s="800"/>
      <c r="LIQ73" s="800"/>
      <c r="LIR73" s="800"/>
      <c r="LIS73" s="800"/>
      <c r="LIT73" s="800"/>
      <c r="LIU73" s="705"/>
      <c r="LIV73" s="799"/>
      <c r="LIW73" s="800"/>
      <c r="LIX73" s="800"/>
      <c r="LIY73" s="800"/>
      <c r="LIZ73" s="800"/>
      <c r="LJA73" s="800"/>
      <c r="LJB73" s="705"/>
      <c r="LJC73" s="799"/>
      <c r="LJD73" s="800"/>
      <c r="LJE73" s="800"/>
      <c r="LJF73" s="800"/>
      <c r="LJG73" s="800"/>
      <c r="LJH73" s="800"/>
      <c r="LJI73" s="705"/>
      <c r="LJJ73" s="799"/>
      <c r="LJK73" s="800"/>
      <c r="LJL73" s="800"/>
      <c r="LJM73" s="800"/>
      <c r="LJN73" s="800"/>
      <c r="LJO73" s="800"/>
      <c r="LJP73" s="705"/>
      <c r="LJQ73" s="799"/>
      <c r="LJR73" s="800"/>
      <c r="LJS73" s="800"/>
      <c r="LJT73" s="800"/>
      <c r="LJU73" s="800"/>
      <c r="LJV73" s="800"/>
      <c r="LJW73" s="705"/>
      <c r="LJX73" s="799"/>
      <c r="LJY73" s="800"/>
      <c r="LJZ73" s="800"/>
      <c r="LKA73" s="800"/>
      <c r="LKB73" s="800"/>
      <c r="LKC73" s="800"/>
      <c r="LKD73" s="705"/>
      <c r="LKE73" s="799"/>
      <c r="LKF73" s="800"/>
      <c r="LKG73" s="800"/>
      <c r="LKH73" s="800"/>
      <c r="LKI73" s="800"/>
      <c r="LKJ73" s="800"/>
      <c r="LKK73" s="705"/>
      <c r="LKL73" s="799"/>
      <c r="LKM73" s="800"/>
      <c r="LKN73" s="800"/>
      <c r="LKO73" s="800"/>
      <c r="LKP73" s="800"/>
      <c r="LKQ73" s="800"/>
      <c r="LKR73" s="705"/>
      <c r="LKS73" s="799"/>
      <c r="LKT73" s="800"/>
      <c r="LKU73" s="800"/>
      <c r="LKV73" s="800"/>
      <c r="LKW73" s="800"/>
      <c r="LKX73" s="800"/>
      <c r="LKY73" s="705"/>
      <c r="LKZ73" s="799"/>
      <c r="LLA73" s="800"/>
      <c r="LLB73" s="800"/>
      <c r="LLC73" s="800"/>
      <c r="LLD73" s="800"/>
      <c r="LLE73" s="800"/>
      <c r="LLF73" s="705"/>
      <c r="LLG73" s="799"/>
      <c r="LLH73" s="800"/>
      <c r="LLI73" s="800"/>
      <c r="LLJ73" s="800"/>
      <c r="LLK73" s="800"/>
      <c r="LLL73" s="800"/>
      <c r="LLM73" s="705"/>
      <c r="LLN73" s="799"/>
      <c r="LLO73" s="800"/>
      <c r="LLP73" s="800"/>
      <c r="LLQ73" s="800"/>
      <c r="LLR73" s="800"/>
      <c r="LLS73" s="800"/>
      <c r="LLT73" s="705"/>
      <c r="LLU73" s="799"/>
      <c r="LLV73" s="800"/>
      <c r="LLW73" s="800"/>
      <c r="LLX73" s="800"/>
      <c r="LLY73" s="800"/>
      <c r="LLZ73" s="800"/>
      <c r="LMA73" s="705"/>
      <c r="LMB73" s="799"/>
      <c r="LMC73" s="800"/>
      <c r="LMD73" s="800"/>
      <c r="LME73" s="800"/>
      <c r="LMF73" s="800"/>
      <c r="LMG73" s="800"/>
      <c r="LMH73" s="705"/>
      <c r="LMI73" s="799"/>
      <c r="LMJ73" s="800"/>
      <c r="LMK73" s="800"/>
      <c r="LML73" s="800"/>
      <c r="LMM73" s="800"/>
      <c r="LMN73" s="800"/>
      <c r="LMO73" s="705"/>
      <c r="LMP73" s="799"/>
      <c r="LMQ73" s="800"/>
      <c r="LMR73" s="800"/>
      <c r="LMS73" s="800"/>
      <c r="LMT73" s="800"/>
      <c r="LMU73" s="800"/>
      <c r="LMV73" s="705"/>
      <c r="LMW73" s="799"/>
      <c r="LMX73" s="800"/>
      <c r="LMY73" s="800"/>
      <c r="LMZ73" s="800"/>
      <c r="LNA73" s="800"/>
      <c r="LNB73" s="800"/>
      <c r="LNC73" s="705"/>
      <c r="LND73" s="799"/>
      <c r="LNE73" s="800"/>
      <c r="LNF73" s="800"/>
      <c r="LNG73" s="800"/>
      <c r="LNH73" s="800"/>
      <c r="LNI73" s="800"/>
      <c r="LNJ73" s="705"/>
      <c r="LNK73" s="799"/>
      <c r="LNL73" s="800"/>
      <c r="LNM73" s="800"/>
      <c r="LNN73" s="800"/>
      <c r="LNO73" s="800"/>
      <c r="LNP73" s="800"/>
      <c r="LNQ73" s="705"/>
      <c r="LNR73" s="799"/>
      <c r="LNS73" s="800"/>
      <c r="LNT73" s="800"/>
      <c r="LNU73" s="800"/>
      <c r="LNV73" s="800"/>
      <c r="LNW73" s="800"/>
      <c r="LNX73" s="705"/>
      <c r="LNY73" s="799"/>
      <c r="LNZ73" s="800"/>
      <c r="LOA73" s="800"/>
      <c r="LOB73" s="800"/>
      <c r="LOC73" s="800"/>
      <c r="LOD73" s="800"/>
      <c r="LOE73" s="705"/>
      <c r="LOF73" s="799"/>
      <c r="LOG73" s="800"/>
      <c r="LOH73" s="800"/>
      <c r="LOI73" s="800"/>
      <c r="LOJ73" s="800"/>
      <c r="LOK73" s="800"/>
      <c r="LOL73" s="705"/>
      <c r="LOM73" s="799"/>
      <c r="LON73" s="800"/>
      <c r="LOO73" s="800"/>
      <c r="LOP73" s="800"/>
      <c r="LOQ73" s="800"/>
      <c r="LOR73" s="800"/>
      <c r="LOS73" s="705"/>
      <c r="LOT73" s="799"/>
      <c r="LOU73" s="800"/>
      <c r="LOV73" s="800"/>
      <c r="LOW73" s="800"/>
      <c r="LOX73" s="800"/>
      <c r="LOY73" s="800"/>
      <c r="LOZ73" s="705"/>
      <c r="LPA73" s="799"/>
      <c r="LPB73" s="800"/>
      <c r="LPC73" s="800"/>
      <c r="LPD73" s="800"/>
      <c r="LPE73" s="800"/>
      <c r="LPF73" s="800"/>
      <c r="LPG73" s="705"/>
      <c r="LPH73" s="799"/>
      <c r="LPI73" s="800"/>
      <c r="LPJ73" s="800"/>
      <c r="LPK73" s="800"/>
      <c r="LPL73" s="800"/>
      <c r="LPM73" s="800"/>
      <c r="LPN73" s="705"/>
      <c r="LPO73" s="799"/>
      <c r="LPP73" s="800"/>
      <c r="LPQ73" s="800"/>
      <c r="LPR73" s="800"/>
      <c r="LPS73" s="800"/>
      <c r="LPT73" s="800"/>
      <c r="LPU73" s="705"/>
      <c r="LPV73" s="799"/>
      <c r="LPW73" s="800"/>
      <c r="LPX73" s="800"/>
      <c r="LPY73" s="800"/>
      <c r="LPZ73" s="800"/>
      <c r="LQA73" s="800"/>
      <c r="LQB73" s="705"/>
      <c r="LQC73" s="799"/>
      <c r="LQD73" s="800"/>
      <c r="LQE73" s="800"/>
      <c r="LQF73" s="800"/>
      <c r="LQG73" s="800"/>
      <c r="LQH73" s="800"/>
      <c r="LQI73" s="705"/>
      <c r="LQJ73" s="799"/>
      <c r="LQK73" s="800"/>
      <c r="LQL73" s="800"/>
      <c r="LQM73" s="800"/>
      <c r="LQN73" s="800"/>
      <c r="LQO73" s="800"/>
      <c r="LQP73" s="705"/>
      <c r="LQQ73" s="799"/>
      <c r="LQR73" s="800"/>
      <c r="LQS73" s="800"/>
      <c r="LQT73" s="800"/>
      <c r="LQU73" s="800"/>
      <c r="LQV73" s="800"/>
      <c r="LQW73" s="705"/>
      <c r="LQX73" s="799"/>
      <c r="LQY73" s="800"/>
      <c r="LQZ73" s="800"/>
      <c r="LRA73" s="800"/>
      <c r="LRB73" s="800"/>
      <c r="LRC73" s="800"/>
      <c r="LRD73" s="705"/>
      <c r="LRE73" s="799"/>
      <c r="LRF73" s="800"/>
      <c r="LRG73" s="800"/>
      <c r="LRH73" s="800"/>
      <c r="LRI73" s="800"/>
      <c r="LRJ73" s="800"/>
      <c r="LRK73" s="705"/>
      <c r="LRL73" s="799"/>
      <c r="LRM73" s="800"/>
      <c r="LRN73" s="800"/>
      <c r="LRO73" s="800"/>
      <c r="LRP73" s="800"/>
      <c r="LRQ73" s="800"/>
      <c r="LRR73" s="705"/>
      <c r="LRS73" s="799"/>
      <c r="LRT73" s="800"/>
      <c r="LRU73" s="800"/>
      <c r="LRV73" s="800"/>
      <c r="LRW73" s="800"/>
      <c r="LRX73" s="800"/>
      <c r="LRY73" s="705"/>
      <c r="LRZ73" s="799"/>
      <c r="LSA73" s="800"/>
      <c r="LSB73" s="800"/>
      <c r="LSC73" s="800"/>
      <c r="LSD73" s="800"/>
      <c r="LSE73" s="800"/>
      <c r="LSF73" s="705"/>
      <c r="LSG73" s="799"/>
      <c r="LSH73" s="800"/>
      <c r="LSI73" s="800"/>
      <c r="LSJ73" s="800"/>
      <c r="LSK73" s="800"/>
      <c r="LSL73" s="800"/>
      <c r="LSM73" s="705"/>
      <c r="LSN73" s="799"/>
      <c r="LSO73" s="800"/>
      <c r="LSP73" s="800"/>
      <c r="LSQ73" s="800"/>
      <c r="LSR73" s="800"/>
      <c r="LSS73" s="800"/>
      <c r="LST73" s="705"/>
      <c r="LSU73" s="799"/>
      <c r="LSV73" s="800"/>
      <c r="LSW73" s="800"/>
      <c r="LSX73" s="800"/>
      <c r="LSY73" s="800"/>
      <c r="LSZ73" s="800"/>
      <c r="LTA73" s="705"/>
      <c r="LTB73" s="799"/>
      <c r="LTC73" s="800"/>
      <c r="LTD73" s="800"/>
      <c r="LTE73" s="800"/>
      <c r="LTF73" s="800"/>
      <c r="LTG73" s="800"/>
      <c r="LTH73" s="705"/>
      <c r="LTI73" s="799"/>
      <c r="LTJ73" s="800"/>
      <c r="LTK73" s="800"/>
      <c r="LTL73" s="800"/>
      <c r="LTM73" s="800"/>
      <c r="LTN73" s="800"/>
      <c r="LTO73" s="705"/>
      <c r="LTP73" s="799"/>
      <c r="LTQ73" s="800"/>
      <c r="LTR73" s="800"/>
      <c r="LTS73" s="800"/>
      <c r="LTT73" s="800"/>
      <c r="LTU73" s="800"/>
      <c r="LTV73" s="705"/>
      <c r="LTW73" s="799"/>
      <c r="LTX73" s="800"/>
      <c r="LTY73" s="800"/>
      <c r="LTZ73" s="800"/>
      <c r="LUA73" s="800"/>
      <c r="LUB73" s="800"/>
      <c r="LUC73" s="705"/>
      <c r="LUD73" s="799"/>
      <c r="LUE73" s="800"/>
      <c r="LUF73" s="800"/>
      <c r="LUG73" s="800"/>
      <c r="LUH73" s="800"/>
      <c r="LUI73" s="800"/>
      <c r="LUJ73" s="705"/>
      <c r="LUK73" s="799"/>
      <c r="LUL73" s="800"/>
      <c r="LUM73" s="800"/>
      <c r="LUN73" s="800"/>
      <c r="LUO73" s="800"/>
      <c r="LUP73" s="800"/>
      <c r="LUQ73" s="705"/>
      <c r="LUR73" s="799"/>
      <c r="LUS73" s="800"/>
      <c r="LUT73" s="800"/>
      <c r="LUU73" s="800"/>
      <c r="LUV73" s="800"/>
      <c r="LUW73" s="800"/>
      <c r="LUX73" s="705"/>
      <c r="LUY73" s="799"/>
      <c r="LUZ73" s="800"/>
      <c r="LVA73" s="800"/>
      <c r="LVB73" s="800"/>
      <c r="LVC73" s="800"/>
      <c r="LVD73" s="800"/>
      <c r="LVE73" s="705"/>
      <c r="LVF73" s="799"/>
      <c r="LVG73" s="800"/>
      <c r="LVH73" s="800"/>
      <c r="LVI73" s="800"/>
      <c r="LVJ73" s="800"/>
      <c r="LVK73" s="800"/>
      <c r="LVL73" s="705"/>
      <c r="LVM73" s="799"/>
      <c r="LVN73" s="800"/>
      <c r="LVO73" s="800"/>
      <c r="LVP73" s="800"/>
      <c r="LVQ73" s="800"/>
      <c r="LVR73" s="800"/>
      <c r="LVS73" s="705"/>
      <c r="LVT73" s="799"/>
      <c r="LVU73" s="800"/>
      <c r="LVV73" s="800"/>
      <c r="LVW73" s="800"/>
      <c r="LVX73" s="800"/>
      <c r="LVY73" s="800"/>
      <c r="LVZ73" s="705"/>
      <c r="LWA73" s="799"/>
      <c r="LWB73" s="800"/>
      <c r="LWC73" s="800"/>
      <c r="LWD73" s="800"/>
      <c r="LWE73" s="800"/>
      <c r="LWF73" s="800"/>
      <c r="LWG73" s="705"/>
      <c r="LWH73" s="799"/>
      <c r="LWI73" s="800"/>
      <c r="LWJ73" s="800"/>
      <c r="LWK73" s="800"/>
      <c r="LWL73" s="800"/>
      <c r="LWM73" s="800"/>
      <c r="LWN73" s="705"/>
      <c r="LWO73" s="799"/>
      <c r="LWP73" s="800"/>
      <c r="LWQ73" s="800"/>
      <c r="LWR73" s="800"/>
      <c r="LWS73" s="800"/>
      <c r="LWT73" s="800"/>
      <c r="LWU73" s="705"/>
      <c r="LWV73" s="799"/>
      <c r="LWW73" s="800"/>
      <c r="LWX73" s="800"/>
      <c r="LWY73" s="800"/>
      <c r="LWZ73" s="800"/>
      <c r="LXA73" s="800"/>
      <c r="LXB73" s="705"/>
      <c r="LXC73" s="799"/>
      <c r="LXD73" s="800"/>
      <c r="LXE73" s="800"/>
      <c r="LXF73" s="800"/>
      <c r="LXG73" s="800"/>
      <c r="LXH73" s="800"/>
      <c r="LXI73" s="705"/>
      <c r="LXJ73" s="799"/>
      <c r="LXK73" s="800"/>
      <c r="LXL73" s="800"/>
      <c r="LXM73" s="800"/>
      <c r="LXN73" s="800"/>
      <c r="LXO73" s="800"/>
      <c r="LXP73" s="705"/>
      <c r="LXQ73" s="799"/>
      <c r="LXR73" s="800"/>
      <c r="LXS73" s="800"/>
      <c r="LXT73" s="800"/>
      <c r="LXU73" s="800"/>
      <c r="LXV73" s="800"/>
      <c r="LXW73" s="705"/>
      <c r="LXX73" s="799"/>
      <c r="LXY73" s="800"/>
      <c r="LXZ73" s="800"/>
      <c r="LYA73" s="800"/>
      <c r="LYB73" s="800"/>
      <c r="LYC73" s="800"/>
      <c r="LYD73" s="705"/>
      <c r="LYE73" s="799"/>
      <c r="LYF73" s="800"/>
      <c r="LYG73" s="800"/>
      <c r="LYH73" s="800"/>
      <c r="LYI73" s="800"/>
      <c r="LYJ73" s="800"/>
      <c r="LYK73" s="705"/>
      <c r="LYL73" s="799"/>
      <c r="LYM73" s="800"/>
      <c r="LYN73" s="800"/>
      <c r="LYO73" s="800"/>
      <c r="LYP73" s="800"/>
      <c r="LYQ73" s="800"/>
      <c r="LYR73" s="705"/>
      <c r="LYS73" s="799"/>
      <c r="LYT73" s="800"/>
      <c r="LYU73" s="800"/>
      <c r="LYV73" s="800"/>
      <c r="LYW73" s="800"/>
      <c r="LYX73" s="800"/>
      <c r="LYY73" s="705"/>
      <c r="LYZ73" s="799"/>
      <c r="LZA73" s="800"/>
      <c r="LZB73" s="800"/>
      <c r="LZC73" s="800"/>
      <c r="LZD73" s="800"/>
      <c r="LZE73" s="800"/>
      <c r="LZF73" s="705"/>
      <c r="LZG73" s="799"/>
      <c r="LZH73" s="800"/>
      <c r="LZI73" s="800"/>
      <c r="LZJ73" s="800"/>
      <c r="LZK73" s="800"/>
      <c r="LZL73" s="800"/>
      <c r="LZM73" s="705"/>
      <c r="LZN73" s="799"/>
      <c r="LZO73" s="800"/>
      <c r="LZP73" s="800"/>
      <c r="LZQ73" s="800"/>
      <c r="LZR73" s="800"/>
      <c r="LZS73" s="800"/>
      <c r="LZT73" s="705"/>
      <c r="LZU73" s="799"/>
      <c r="LZV73" s="800"/>
      <c r="LZW73" s="800"/>
      <c r="LZX73" s="800"/>
      <c r="LZY73" s="800"/>
      <c r="LZZ73" s="800"/>
      <c r="MAA73" s="705"/>
      <c r="MAB73" s="799"/>
      <c r="MAC73" s="800"/>
      <c r="MAD73" s="800"/>
      <c r="MAE73" s="800"/>
      <c r="MAF73" s="800"/>
      <c r="MAG73" s="800"/>
      <c r="MAH73" s="705"/>
      <c r="MAI73" s="799"/>
      <c r="MAJ73" s="800"/>
      <c r="MAK73" s="800"/>
      <c r="MAL73" s="800"/>
      <c r="MAM73" s="800"/>
      <c r="MAN73" s="800"/>
      <c r="MAO73" s="705"/>
      <c r="MAP73" s="799"/>
      <c r="MAQ73" s="800"/>
      <c r="MAR73" s="800"/>
      <c r="MAS73" s="800"/>
      <c r="MAT73" s="800"/>
      <c r="MAU73" s="800"/>
      <c r="MAV73" s="705"/>
      <c r="MAW73" s="799"/>
      <c r="MAX73" s="800"/>
      <c r="MAY73" s="800"/>
      <c r="MAZ73" s="800"/>
      <c r="MBA73" s="800"/>
      <c r="MBB73" s="800"/>
      <c r="MBC73" s="705"/>
      <c r="MBD73" s="799"/>
      <c r="MBE73" s="800"/>
      <c r="MBF73" s="800"/>
      <c r="MBG73" s="800"/>
      <c r="MBH73" s="800"/>
      <c r="MBI73" s="800"/>
      <c r="MBJ73" s="705"/>
      <c r="MBK73" s="799"/>
      <c r="MBL73" s="800"/>
      <c r="MBM73" s="800"/>
      <c r="MBN73" s="800"/>
      <c r="MBO73" s="800"/>
      <c r="MBP73" s="800"/>
      <c r="MBQ73" s="705"/>
      <c r="MBR73" s="799"/>
      <c r="MBS73" s="800"/>
      <c r="MBT73" s="800"/>
      <c r="MBU73" s="800"/>
      <c r="MBV73" s="800"/>
      <c r="MBW73" s="800"/>
      <c r="MBX73" s="705"/>
      <c r="MBY73" s="799"/>
      <c r="MBZ73" s="800"/>
      <c r="MCA73" s="800"/>
      <c r="MCB73" s="800"/>
      <c r="MCC73" s="800"/>
      <c r="MCD73" s="800"/>
      <c r="MCE73" s="705"/>
      <c r="MCF73" s="799"/>
      <c r="MCG73" s="800"/>
      <c r="MCH73" s="800"/>
      <c r="MCI73" s="800"/>
      <c r="MCJ73" s="800"/>
      <c r="MCK73" s="800"/>
      <c r="MCL73" s="705"/>
      <c r="MCM73" s="799"/>
      <c r="MCN73" s="800"/>
      <c r="MCO73" s="800"/>
      <c r="MCP73" s="800"/>
      <c r="MCQ73" s="800"/>
      <c r="MCR73" s="800"/>
      <c r="MCS73" s="705"/>
      <c r="MCT73" s="799"/>
      <c r="MCU73" s="800"/>
      <c r="MCV73" s="800"/>
      <c r="MCW73" s="800"/>
      <c r="MCX73" s="800"/>
      <c r="MCY73" s="800"/>
      <c r="MCZ73" s="705"/>
      <c r="MDA73" s="799"/>
      <c r="MDB73" s="800"/>
      <c r="MDC73" s="800"/>
      <c r="MDD73" s="800"/>
      <c r="MDE73" s="800"/>
      <c r="MDF73" s="800"/>
      <c r="MDG73" s="705"/>
      <c r="MDH73" s="799"/>
      <c r="MDI73" s="800"/>
      <c r="MDJ73" s="800"/>
      <c r="MDK73" s="800"/>
      <c r="MDL73" s="800"/>
      <c r="MDM73" s="800"/>
      <c r="MDN73" s="705"/>
      <c r="MDO73" s="799"/>
      <c r="MDP73" s="800"/>
      <c r="MDQ73" s="800"/>
      <c r="MDR73" s="800"/>
      <c r="MDS73" s="800"/>
      <c r="MDT73" s="800"/>
      <c r="MDU73" s="705"/>
      <c r="MDV73" s="799"/>
      <c r="MDW73" s="800"/>
      <c r="MDX73" s="800"/>
      <c r="MDY73" s="800"/>
      <c r="MDZ73" s="800"/>
      <c r="MEA73" s="800"/>
      <c r="MEB73" s="705"/>
      <c r="MEC73" s="799"/>
      <c r="MED73" s="800"/>
      <c r="MEE73" s="800"/>
      <c r="MEF73" s="800"/>
      <c r="MEG73" s="800"/>
      <c r="MEH73" s="800"/>
      <c r="MEI73" s="705"/>
      <c r="MEJ73" s="799"/>
      <c r="MEK73" s="800"/>
      <c r="MEL73" s="800"/>
      <c r="MEM73" s="800"/>
      <c r="MEN73" s="800"/>
      <c r="MEO73" s="800"/>
      <c r="MEP73" s="705"/>
      <c r="MEQ73" s="799"/>
      <c r="MER73" s="800"/>
      <c r="MES73" s="800"/>
      <c r="MET73" s="800"/>
      <c r="MEU73" s="800"/>
      <c r="MEV73" s="800"/>
      <c r="MEW73" s="705"/>
      <c r="MEX73" s="799"/>
      <c r="MEY73" s="800"/>
      <c r="MEZ73" s="800"/>
      <c r="MFA73" s="800"/>
      <c r="MFB73" s="800"/>
      <c r="MFC73" s="800"/>
      <c r="MFD73" s="705"/>
      <c r="MFE73" s="799"/>
      <c r="MFF73" s="800"/>
      <c r="MFG73" s="800"/>
      <c r="MFH73" s="800"/>
      <c r="MFI73" s="800"/>
      <c r="MFJ73" s="800"/>
      <c r="MFK73" s="705"/>
      <c r="MFL73" s="799"/>
      <c r="MFM73" s="800"/>
      <c r="MFN73" s="800"/>
      <c r="MFO73" s="800"/>
      <c r="MFP73" s="800"/>
      <c r="MFQ73" s="800"/>
      <c r="MFR73" s="705"/>
      <c r="MFS73" s="799"/>
      <c r="MFT73" s="800"/>
      <c r="MFU73" s="800"/>
      <c r="MFV73" s="800"/>
      <c r="MFW73" s="800"/>
      <c r="MFX73" s="800"/>
      <c r="MFY73" s="705"/>
      <c r="MFZ73" s="799"/>
      <c r="MGA73" s="800"/>
      <c r="MGB73" s="800"/>
      <c r="MGC73" s="800"/>
      <c r="MGD73" s="800"/>
      <c r="MGE73" s="800"/>
      <c r="MGF73" s="705"/>
      <c r="MGG73" s="799"/>
      <c r="MGH73" s="800"/>
      <c r="MGI73" s="800"/>
      <c r="MGJ73" s="800"/>
      <c r="MGK73" s="800"/>
      <c r="MGL73" s="800"/>
      <c r="MGM73" s="705"/>
      <c r="MGN73" s="799"/>
      <c r="MGO73" s="800"/>
      <c r="MGP73" s="800"/>
      <c r="MGQ73" s="800"/>
      <c r="MGR73" s="800"/>
      <c r="MGS73" s="800"/>
      <c r="MGT73" s="705"/>
      <c r="MGU73" s="799"/>
      <c r="MGV73" s="800"/>
      <c r="MGW73" s="800"/>
      <c r="MGX73" s="800"/>
      <c r="MGY73" s="800"/>
      <c r="MGZ73" s="800"/>
      <c r="MHA73" s="705"/>
      <c r="MHB73" s="799"/>
      <c r="MHC73" s="800"/>
      <c r="MHD73" s="800"/>
      <c r="MHE73" s="800"/>
      <c r="MHF73" s="800"/>
      <c r="MHG73" s="800"/>
      <c r="MHH73" s="705"/>
      <c r="MHI73" s="799"/>
      <c r="MHJ73" s="800"/>
      <c r="MHK73" s="800"/>
      <c r="MHL73" s="800"/>
      <c r="MHM73" s="800"/>
      <c r="MHN73" s="800"/>
      <c r="MHO73" s="705"/>
      <c r="MHP73" s="799"/>
      <c r="MHQ73" s="800"/>
      <c r="MHR73" s="800"/>
      <c r="MHS73" s="800"/>
      <c r="MHT73" s="800"/>
      <c r="MHU73" s="800"/>
      <c r="MHV73" s="705"/>
      <c r="MHW73" s="799"/>
      <c r="MHX73" s="800"/>
      <c r="MHY73" s="800"/>
      <c r="MHZ73" s="800"/>
      <c r="MIA73" s="800"/>
      <c r="MIB73" s="800"/>
      <c r="MIC73" s="705"/>
      <c r="MID73" s="799"/>
      <c r="MIE73" s="800"/>
      <c r="MIF73" s="800"/>
      <c r="MIG73" s="800"/>
      <c r="MIH73" s="800"/>
      <c r="MII73" s="800"/>
      <c r="MIJ73" s="705"/>
      <c r="MIK73" s="799"/>
      <c r="MIL73" s="800"/>
      <c r="MIM73" s="800"/>
      <c r="MIN73" s="800"/>
      <c r="MIO73" s="800"/>
      <c r="MIP73" s="800"/>
      <c r="MIQ73" s="705"/>
      <c r="MIR73" s="799"/>
      <c r="MIS73" s="800"/>
      <c r="MIT73" s="800"/>
      <c r="MIU73" s="800"/>
      <c r="MIV73" s="800"/>
      <c r="MIW73" s="800"/>
      <c r="MIX73" s="705"/>
      <c r="MIY73" s="799"/>
      <c r="MIZ73" s="800"/>
      <c r="MJA73" s="800"/>
      <c r="MJB73" s="800"/>
      <c r="MJC73" s="800"/>
      <c r="MJD73" s="800"/>
      <c r="MJE73" s="705"/>
      <c r="MJF73" s="799"/>
      <c r="MJG73" s="800"/>
      <c r="MJH73" s="800"/>
      <c r="MJI73" s="800"/>
      <c r="MJJ73" s="800"/>
      <c r="MJK73" s="800"/>
      <c r="MJL73" s="705"/>
      <c r="MJM73" s="799"/>
      <c r="MJN73" s="800"/>
      <c r="MJO73" s="800"/>
      <c r="MJP73" s="800"/>
      <c r="MJQ73" s="800"/>
      <c r="MJR73" s="800"/>
      <c r="MJS73" s="705"/>
      <c r="MJT73" s="799"/>
      <c r="MJU73" s="800"/>
      <c r="MJV73" s="800"/>
      <c r="MJW73" s="800"/>
      <c r="MJX73" s="800"/>
      <c r="MJY73" s="800"/>
      <c r="MJZ73" s="705"/>
      <c r="MKA73" s="799"/>
      <c r="MKB73" s="800"/>
      <c r="MKC73" s="800"/>
      <c r="MKD73" s="800"/>
      <c r="MKE73" s="800"/>
      <c r="MKF73" s="800"/>
      <c r="MKG73" s="705"/>
      <c r="MKH73" s="799"/>
      <c r="MKI73" s="800"/>
      <c r="MKJ73" s="800"/>
      <c r="MKK73" s="800"/>
      <c r="MKL73" s="800"/>
      <c r="MKM73" s="800"/>
      <c r="MKN73" s="705"/>
      <c r="MKO73" s="799"/>
      <c r="MKP73" s="800"/>
      <c r="MKQ73" s="800"/>
      <c r="MKR73" s="800"/>
      <c r="MKS73" s="800"/>
      <c r="MKT73" s="800"/>
      <c r="MKU73" s="705"/>
      <c r="MKV73" s="799"/>
      <c r="MKW73" s="800"/>
      <c r="MKX73" s="800"/>
      <c r="MKY73" s="800"/>
      <c r="MKZ73" s="800"/>
      <c r="MLA73" s="800"/>
      <c r="MLB73" s="705"/>
      <c r="MLC73" s="799"/>
      <c r="MLD73" s="800"/>
      <c r="MLE73" s="800"/>
      <c r="MLF73" s="800"/>
      <c r="MLG73" s="800"/>
      <c r="MLH73" s="800"/>
      <c r="MLI73" s="705"/>
      <c r="MLJ73" s="799"/>
      <c r="MLK73" s="800"/>
      <c r="MLL73" s="800"/>
      <c r="MLM73" s="800"/>
      <c r="MLN73" s="800"/>
      <c r="MLO73" s="800"/>
      <c r="MLP73" s="705"/>
      <c r="MLQ73" s="799"/>
      <c r="MLR73" s="800"/>
      <c r="MLS73" s="800"/>
      <c r="MLT73" s="800"/>
      <c r="MLU73" s="800"/>
      <c r="MLV73" s="800"/>
      <c r="MLW73" s="705"/>
      <c r="MLX73" s="799"/>
      <c r="MLY73" s="800"/>
      <c r="MLZ73" s="800"/>
      <c r="MMA73" s="800"/>
      <c r="MMB73" s="800"/>
      <c r="MMC73" s="800"/>
      <c r="MMD73" s="705"/>
      <c r="MME73" s="799"/>
      <c r="MMF73" s="800"/>
      <c r="MMG73" s="800"/>
      <c r="MMH73" s="800"/>
      <c r="MMI73" s="800"/>
      <c r="MMJ73" s="800"/>
      <c r="MMK73" s="705"/>
      <c r="MML73" s="799"/>
      <c r="MMM73" s="800"/>
      <c r="MMN73" s="800"/>
      <c r="MMO73" s="800"/>
      <c r="MMP73" s="800"/>
      <c r="MMQ73" s="800"/>
      <c r="MMR73" s="705"/>
      <c r="MMS73" s="799"/>
      <c r="MMT73" s="800"/>
      <c r="MMU73" s="800"/>
      <c r="MMV73" s="800"/>
      <c r="MMW73" s="800"/>
      <c r="MMX73" s="800"/>
      <c r="MMY73" s="705"/>
      <c r="MMZ73" s="799"/>
      <c r="MNA73" s="800"/>
      <c r="MNB73" s="800"/>
      <c r="MNC73" s="800"/>
      <c r="MND73" s="800"/>
      <c r="MNE73" s="800"/>
      <c r="MNF73" s="705"/>
      <c r="MNG73" s="799"/>
      <c r="MNH73" s="800"/>
      <c r="MNI73" s="800"/>
      <c r="MNJ73" s="800"/>
      <c r="MNK73" s="800"/>
      <c r="MNL73" s="800"/>
      <c r="MNM73" s="705"/>
      <c r="MNN73" s="799"/>
      <c r="MNO73" s="800"/>
      <c r="MNP73" s="800"/>
      <c r="MNQ73" s="800"/>
      <c r="MNR73" s="800"/>
      <c r="MNS73" s="800"/>
      <c r="MNT73" s="705"/>
      <c r="MNU73" s="799"/>
      <c r="MNV73" s="800"/>
      <c r="MNW73" s="800"/>
      <c r="MNX73" s="800"/>
      <c r="MNY73" s="800"/>
      <c r="MNZ73" s="800"/>
      <c r="MOA73" s="705"/>
      <c r="MOB73" s="799"/>
      <c r="MOC73" s="800"/>
      <c r="MOD73" s="800"/>
      <c r="MOE73" s="800"/>
      <c r="MOF73" s="800"/>
      <c r="MOG73" s="800"/>
      <c r="MOH73" s="705"/>
      <c r="MOI73" s="799"/>
      <c r="MOJ73" s="800"/>
      <c r="MOK73" s="800"/>
      <c r="MOL73" s="800"/>
      <c r="MOM73" s="800"/>
      <c r="MON73" s="800"/>
      <c r="MOO73" s="705"/>
      <c r="MOP73" s="799"/>
      <c r="MOQ73" s="800"/>
      <c r="MOR73" s="800"/>
      <c r="MOS73" s="800"/>
      <c r="MOT73" s="800"/>
      <c r="MOU73" s="800"/>
      <c r="MOV73" s="705"/>
      <c r="MOW73" s="799"/>
      <c r="MOX73" s="800"/>
      <c r="MOY73" s="800"/>
      <c r="MOZ73" s="800"/>
      <c r="MPA73" s="800"/>
      <c r="MPB73" s="800"/>
      <c r="MPC73" s="705"/>
      <c r="MPD73" s="799"/>
      <c r="MPE73" s="800"/>
      <c r="MPF73" s="800"/>
      <c r="MPG73" s="800"/>
      <c r="MPH73" s="800"/>
      <c r="MPI73" s="800"/>
      <c r="MPJ73" s="705"/>
      <c r="MPK73" s="799"/>
      <c r="MPL73" s="800"/>
      <c r="MPM73" s="800"/>
      <c r="MPN73" s="800"/>
      <c r="MPO73" s="800"/>
      <c r="MPP73" s="800"/>
      <c r="MPQ73" s="705"/>
      <c r="MPR73" s="799"/>
      <c r="MPS73" s="800"/>
      <c r="MPT73" s="800"/>
      <c r="MPU73" s="800"/>
      <c r="MPV73" s="800"/>
      <c r="MPW73" s="800"/>
      <c r="MPX73" s="705"/>
      <c r="MPY73" s="799"/>
      <c r="MPZ73" s="800"/>
      <c r="MQA73" s="800"/>
      <c r="MQB73" s="800"/>
      <c r="MQC73" s="800"/>
      <c r="MQD73" s="800"/>
      <c r="MQE73" s="705"/>
      <c r="MQF73" s="799"/>
      <c r="MQG73" s="800"/>
      <c r="MQH73" s="800"/>
      <c r="MQI73" s="800"/>
      <c r="MQJ73" s="800"/>
      <c r="MQK73" s="800"/>
      <c r="MQL73" s="705"/>
      <c r="MQM73" s="799"/>
      <c r="MQN73" s="800"/>
      <c r="MQO73" s="800"/>
      <c r="MQP73" s="800"/>
      <c r="MQQ73" s="800"/>
      <c r="MQR73" s="800"/>
      <c r="MQS73" s="705"/>
      <c r="MQT73" s="799"/>
      <c r="MQU73" s="800"/>
      <c r="MQV73" s="800"/>
      <c r="MQW73" s="800"/>
      <c r="MQX73" s="800"/>
      <c r="MQY73" s="800"/>
      <c r="MQZ73" s="705"/>
      <c r="MRA73" s="799"/>
      <c r="MRB73" s="800"/>
      <c r="MRC73" s="800"/>
      <c r="MRD73" s="800"/>
      <c r="MRE73" s="800"/>
      <c r="MRF73" s="800"/>
      <c r="MRG73" s="705"/>
      <c r="MRH73" s="799"/>
      <c r="MRI73" s="800"/>
      <c r="MRJ73" s="800"/>
      <c r="MRK73" s="800"/>
      <c r="MRL73" s="800"/>
      <c r="MRM73" s="800"/>
      <c r="MRN73" s="705"/>
      <c r="MRO73" s="799"/>
      <c r="MRP73" s="800"/>
      <c r="MRQ73" s="800"/>
      <c r="MRR73" s="800"/>
      <c r="MRS73" s="800"/>
      <c r="MRT73" s="800"/>
      <c r="MRU73" s="705"/>
      <c r="MRV73" s="799"/>
      <c r="MRW73" s="800"/>
      <c r="MRX73" s="800"/>
      <c r="MRY73" s="800"/>
      <c r="MRZ73" s="800"/>
      <c r="MSA73" s="800"/>
      <c r="MSB73" s="705"/>
      <c r="MSC73" s="799"/>
      <c r="MSD73" s="800"/>
      <c r="MSE73" s="800"/>
      <c r="MSF73" s="800"/>
      <c r="MSG73" s="800"/>
      <c r="MSH73" s="800"/>
      <c r="MSI73" s="705"/>
      <c r="MSJ73" s="799"/>
      <c r="MSK73" s="800"/>
      <c r="MSL73" s="800"/>
      <c r="MSM73" s="800"/>
      <c r="MSN73" s="800"/>
      <c r="MSO73" s="800"/>
      <c r="MSP73" s="705"/>
      <c r="MSQ73" s="799"/>
      <c r="MSR73" s="800"/>
      <c r="MSS73" s="800"/>
      <c r="MST73" s="800"/>
      <c r="MSU73" s="800"/>
      <c r="MSV73" s="800"/>
      <c r="MSW73" s="705"/>
      <c r="MSX73" s="799"/>
      <c r="MSY73" s="800"/>
      <c r="MSZ73" s="800"/>
      <c r="MTA73" s="800"/>
      <c r="MTB73" s="800"/>
      <c r="MTC73" s="800"/>
      <c r="MTD73" s="705"/>
      <c r="MTE73" s="799"/>
      <c r="MTF73" s="800"/>
      <c r="MTG73" s="800"/>
      <c r="MTH73" s="800"/>
      <c r="MTI73" s="800"/>
      <c r="MTJ73" s="800"/>
      <c r="MTK73" s="705"/>
      <c r="MTL73" s="799"/>
      <c r="MTM73" s="800"/>
      <c r="MTN73" s="800"/>
      <c r="MTO73" s="800"/>
      <c r="MTP73" s="800"/>
      <c r="MTQ73" s="800"/>
      <c r="MTR73" s="705"/>
      <c r="MTS73" s="799"/>
      <c r="MTT73" s="800"/>
      <c r="MTU73" s="800"/>
      <c r="MTV73" s="800"/>
      <c r="MTW73" s="800"/>
      <c r="MTX73" s="800"/>
      <c r="MTY73" s="705"/>
      <c r="MTZ73" s="799"/>
      <c r="MUA73" s="800"/>
      <c r="MUB73" s="800"/>
      <c r="MUC73" s="800"/>
      <c r="MUD73" s="800"/>
      <c r="MUE73" s="800"/>
      <c r="MUF73" s="705"/>
      <c r="MUG73" s="799"/>
      <c r="MUH73" s="800"/>
      <c r="MUI73" s="800"/>
      <c r="MUJ73" s="800"/>
      <c r="MUK73" s="800"/>
      <c r="MUL73" s="800"/>
      <c r="MUM73" s="705"/>
      <c r="MUN73" s="799"/>
      <c r="MUO73" s="800"/>
      <c r="MUP73" s="800"/>
      <c r="MUQ73" s="800"/>
      <c r="MUR73" s="800"/>
      <c r="MUS73" s="800"/>
      <c r="MUT73" s="705"/>
      <c r="MUU73" s="799"/>
      <c r="MUV73" s="800"/>
      <c r="MUW73" s="800"/>
      <c r="MUX73" s="800"/>
      <c r="MUY73" s="800"/>
      <c r="MUZ73" s="800"/>
      <c r="MVA73" s="705"/>
      <c r="MVB73" s="799"/>
      <c r="MVC73" s="800"/>
      <c r="MVD73" s="800"/>
      <c r="MVE73" s="800"/>
      <c r="MVF73" s="800"/>
      <c r="MVG73" s="800"/>
      <c r="MVH73" s="705"/>
      <c r="MVI73" s="799"/>
      <c r="MVJ73" s="800"/>
      <c r="MVK73" s="800"/>
      <c r="MVL73" s="800"/>
      <c r="MVM73" s="800"/>
      <c r="MVN73" s="800"/>
      <c r="MVO73" s="705"/>
      <c r="MVP73" s="799"/>
      <c r="MVQ73" s="800"/>
      <c r="MVR73" s="800"/>
      <c r="MVS73" s="800"/>
      <c r="MVT73" s="800"/>
      <c r="MVU73" s="800"/>
      <c r="MVV73" s="705"/>
      <c r="MVW73" s="799"/>
      <c r="MVX73" s="800"/>
      <c r="MVY73" s="800"/>
      <c r="MVZ73" s="800"/>
      <c r="MWA73" s="800"/>
      <c r="MWB73" s="800"/>
      <c r="MWC73" s="705"/>
      <c r="MWD73" s="799"/>
      <c r="MWE73" s="800"/>
      <c r="MWF73" s="800"/>
      <c r="MWG73" s="800"/>
      <c r="MWH73" s="800"/>
      <c r="MWI73" s="800"/>
      <c r="MWJ73" s="705"/>
      <c r="MWK73" s="799"/>
      <c r="MWL73" s="800"/>
      <c r="MWM73" s="800"/>
      <c r="MWN73" s="800"/>
      <c r="MWO73" s="800"/>
      <c r="MWP73" s="800"/>
      <c r="MWQ73" s="705"/>
      <c r="MWR73" s="799"/>
      <c r="MWS73" s="800"/>
      <c r="MWT73" s="800"/>
      <c r="MWU73" s="800"/>
      <c r="MWV73" s="800"/>
      <c r="MWW73" s="800"/>
      <c r="MWX73" s="705"/>
      <c r="MWY73" s="799"/>
      <c r="MWZ73" s="800"/>
      <c r="MXA73" s="800"/>
      <c r="MXB73" s="800"/>
      <c r="MXC73" s="800"/>
      <c r="MXD73" s="800"/>
      <c r="MXE73" s="705"/>
      <c r="MXF73" s="799"/>
      <c r="MXG73" s="800"/>
      <c r="MXH73" s="800"/>
      <c r="MXI73" s="800"/>
      <c r="MXJ73" s="800"/>
      <c r="MXK73" s="800"/>
      <c r="MXL73" s="705"/>
      <c r="MXM73" s="799"/>
      <c r="MXN73" s="800"/>
      <c r="MXO73" s="800"/>
      <c r="MXP73" s="800"/>
      <c r="MXQ73" s="800"/>
      <c r="MXR73" s="800"/>
      <c r="MXS73" s="705"/>
      <c r="MXT73" s="799"/>
      <c r="MXU73" s="800"/>
      <c r="MXV73" s="800"/>
      <c r="MXW73" s="800"/>
      <c r="MXX73" s="800"/>
      <c r="MXY73" s="800"/>
      <c r="MXZ73" s="705"/>
      <c r="MYA73" s="799"/>
      <c r="MYB73" s="800"/>
      <c r="MYC73" s="800"/>
      <c r="MYD73" s="800"/>
      <c r="MYE73" s="800"/>
      <c r="MYF73" s="800"/>
      <c r="MYG73" s="705"/>
      <c r="MYH73" s="799"/>
      <c r="MYI73" s="800"/>
      <c r="MYJ73" s="800"/>
      <c r="MYK73" s="800"/>
      <c r="MYL73" s="800"/>
      <c r="MYM73" s="800"/>
      <c r="MYN73" s="705"/>
      <c r="MYO73" s="799"/>
      <c r="MYP73" s="800"/>
      <c r="MYQ73" s="800"/>
      <c r="MYR73" s="800"/>
      <c r="MYS73" s="800"/>
      <c r="MYT73" s="800"/>
      <c r="MYU73" s="705"/>
      <c r="MYV73" s="799"/>
      <c r="MYW73" s="800"/>
      <c r="MYX73" s="800"/>
      <c r="MYY73" s="800"/>
      <c r="MYZ73" s="800"/>
      <c r="MZA73" s="800"/>
      <c r="MZB73" s="705"/>
      <c r="MZC73" s="799"/>
      <c r="MZD73" s="800"/>
      <c r="MZE73" s="800"/>
      <c r="MZF73" s="800"/>
      <c r="MZG73" s="800"/>
      <c r="MZH73" s="800"/>
      <c r="MZI73" s="705"/>
      <c r="MZJ73" s="799"/>
      <c r="MZK73" s="800"/>
      <c r="MZL73" s="800"/>
      <c r="MZM73" s="800"/>
      <c r="MZN73" s="800"/>
      <c r="MZO73" s="800"/>
      <c r="MZP73" s="705"/>
      <c r="MZQ73" s="799"/>
      <c r="MZR73" s="800"/>
      <c r="MZS73" s="800"/>
      <c r="MZT73" s="800"/>
      <c r="MZU73" s="800"/>
      <c r="MZV73" s="800"/>
      <c r="MZW73" s="705"/>
      <c r="MZX73" s="799"/>
      <c r="MZY73" s="800"/>
      <c r="MZZ73" s="800"/>
      <c r="NAA73" s="800"/>
      <c r="NAB73" s="800"/>
      <c r="NAC73" s="800"/>
      <c r="NAD73" s="705"/>
      <c r="NAE73" s="799"/>
      <c r="NAF73" s="800"/>
      <c r="NAG73" s="800"/>
      <c r="NAH73" s="800"/>
      <c r="NAI73" s="800"/>
      <c r="NAJ73" s="800"/>
      <c r="NAK73" s="705"/>
      <c r="NAL73" s="799"/>
      <c r="NAM73" s="800"/>
      <c r="NAN73" s="800"/>
      <c r="NAO73" s="800"/>
      <c r="NAP73" s="800"/>
      <c r="NAQ73" s="800"/>
      <c r="NAR73" s="705"/>
      <c r="NAS73" s="799"/>
      <c r="NAT73" s="800"/>
      <c r="NAU73" s="800"/>
      <c r="NAV73" s="800"/>
      <c r="NAW73" s="800"/>
      <c r="NAX73" s="800"/>
      <c r="NAY73" s="705"/>
      <c r="NAZ73" s="799"/>
      <c r="NBA73" s="800"/>
      <c r="NBB73" s="800"/>
      <c r="NBC73" s="800"/>
      <c r="NBD73" s="800"/>
      <c r="NBE73" s="800"/>
      <c r="NBF73" s="705"/>
      <c r="NBG73" s="799"/>
      <c r="NBH73" s="800"/>
      <c r="NBI73" s="800"/>
      <c r="NBJ73" s="800"/>
      <c r="NBK73" s="800"/>
      <c r="NBL73" s="800"/>
      <c r="NBM73" s="705"/>
      <c r="NBN73" s="799"/>
      <c r="NBO73" s="800"/>
      <c r="NBP73" s="800"/>
      <c r="NBQ73" s="800"/>
      <c r="NBR73" s="800"/>
      <c r="NBS73" s="800"/>
      <c r="NBT73" s="705"/>
      <c r="NBU73" s="799"/>
      <c r="NBV73" s="800"/>
      <c r="NBW73" s="800"/>
      <c r="NBX73" s="800"/>
      <c r="NBY73" s="800"/>
      <c r="NBZ73" s="800"/>
      <c r="NCA73" s="705"/>
      <c r="NCB73" s="799"/>
      <c r="NCC73" s="800"/>
      <c r="NCD73" s="800"/>
      <c r="NCE73" s="800"/>
      <c r="NCF73" s="800"/>
      <c r="NCG73" s="800"/>
      <c r="NCH73" s="705"/>
      <c r="NCI73" s="799"/>
      <c r="NCJ73" s="800"/>
      <c r="NCK73" s="800"/>
      <c r="NCL73" s="800"/>
      <c r="NCM73" s="800"/>
      <c r="NCN73" s="800"/>
      <c r="NCO73" s="705"/>
      <c r="NCP73" s="799"/>
      <c r="NCQ73" s="800"/>
      <c r="NCR73" s="800"/>
      <c r="NCS73" s="800"/>
      <c r="NCT73" s="800"/>
      <c r="NCU73" s="800"/>
      <c r="NCV73" s="705"/>
      <c r="NCW73" s="799"/>
      <c r="NCX73" s="800"/>
      <c r="NCY73" s="800"/>
      <c r="NCZ73" s="800"/>
      <c r="NDA73" s="800"/>
      <c r="NDB73" s="800"/>
      <c r="NDC73" s="705"/>
      <c r="NDD73" s="799"/>
      <c r="NDE73" s="800"/>
      <c r="NDF73" s="800"/>
      <c r="NDG73" s="800"/>
      <c r="NDH73" s="800"/>
      <c r="NDI73" s="800"/>
      <c r="NDJ73" s="705"/>
      <c r="NDK73" s="799"/>
      <c r="NDL73" s="800"/>
      <c r="NDM73" s="800"/>
      <c r="NDN73" s="800"/>
      <c r="NDO73" s="800"/>
      <c r="NDP73" s="800"/>
      <c r="NDQ73" s="705"/>
      <c r="NDR73" s="799"/>
      <c r="NDS73" s="800"/>
      <c r="NDT73" s="800"/>
      <c r="NDU73" s="800"/>
      <c r="NDV73" s="800"/>
      <c r="NDW73" s="800"/>
      <c r="NDX73" s="705"/>
      <c r="NDY73" s="799"/>
      <c r="NDZ73" s="800"/>
      <c r="NEA73" s="800"/>
      <c r="NEB73" s="800"/>
      <c r="NEC73" s="800"/>
      <c r="NED73" s="800"/>
      <c r="NEE73" s="705"/>
      <c r="NEF73" s="799"/>
      <c r="NEG73" s="800"/>
      <c r="NEH73" s="800"/>
      <c r="NEI73" s="800"/>
      <c r="NEJ73" s="800"/>
      <c r="NEK73" s="800"/>
      <c r="NEL73" s="705"/>
      <c r="NEM73" s="799"/>
      <c r="NEN73" s="800"/>
      <c r="NEO73" s="800"/>
      <c r="NEP73" s="800"/>
      <c r="NEQ73" s="800"/>
      <c r="NER73" s="800"/>
      <c r="NES73" s="705"/>
      <c r="NET73" s="799"/>
      <c r="NEU73" s="800"/>
      <c r="NEV73" s="800"/>
      <c r="NEW73" s="800"/>
      <c r="NEX73" s="800"/>
      <c r="NEY73" s="800"/>
      <c r="NEZ73" s="705"/>
      <c r="NFA73" s="799"/>
      <c r="NFB73" s="800"/>
      <c r="NFC73" s="800"/>
      <c r="NFD73" s="800"/>
      <c r="NFE73" s="800"/>
      <c r="NFF73" s="800"/>
      <c r="NFG73" s="705"/>
      <c r="NFH73" s="799"/>
      <c r="NFI73" s="800"/>
      <c r="NFJ73" s="800"/>
      <c r="NFK73" s="800"/>
      <c r="NFL73" s="800"/>
      <c r="NFM73" s="800"/>
      <c r="NFN73" s="705"/>
      <c r="NFO73" s="799"/>
      <c r="NFP73" s="800"/>
      <c r="NFQ73" s="800"/>
      <c r="NFR73" s="800"/>
      <c r="NFS73" s="800"/>
      <c r="NFT73" s="800"/>
      <c r="NFU73" s="705"/>
      <c r="NFV73" s="799"/>
      <c r="NFW73" s="800"/>
      <c r="NFX73" s="800"/>
      <c r="NFY73" s="800"/>
      <c r="NFZ73" s="800"/>
      <c r="NGA73" s="800"/>
      <c r="NGB73" s="705"/>
      <c r="NGC73" s="799"/>
      <c r="NGD73" s="800"/>
      <c r="NGE73" s="800"/>
      <c r="NGF73" s="800"/>
      <c r="NGG73" s="800"/>
      <c r="NGH73" s="800"/>
      <c r="NGI73" s="705"/>
      <c r="NGJ73" s="799"/>
      <c r="NGK73" s="800"/>
      <c r="NGL73" s="800"/>
      <c r="NGM73" s="800"/>
      <c r="NGN73" s="800"/>
      <c r="NGO73" s="800"/>
      <c r="NGP73" s="705"/>
      <c r="NGQ73" s="799"/>
      <c r="NGR73" s="800"/>
      <c r="NGS73" s="800"/>
      <c r="NGT73" s="800"/>
      <c r="NGU73" s="800"/>
      <c r="NGV73" s="800"/>
      <c r="NGW73" s="705"/>
      <c r="NGX73" s="799"/>
      <c r="NGY73" s="800"/>
      <c r="NGZ73" s="800"/>
      <c r="NHA73" s="800"/>
      <c r="NHB73" s="800"/>
      <c r="NHC73" s="800"/>
      <c r="NHD73" s="705"/>
      <c r="NHE73" s="799"/>
      <c r="NHF73" s="800"/>
      <c r="NHG73" s="800"/>
      <c r="NHH73" s="800"/>
      <c r="NHI73" s="800"/>
      <c r="NHJ73" s="800"/>
      <c r="NHK73" s="705"/>
      <c r="NHL73" s="799"/>
      <c r="NHM73" s="800"/>
      <c r="NHN73" s="800"/>
      <c r="NHO73" s="800"/>
      <c r="NHP73" s="800"/>
      <c r="NHQ73" s="800"/>
      <c r="NHR73" s="705"/>
      <c r="NHS73" s="799"/>
      <c r="NHT73" s="800"/>
      <c r="NHU73" s="800"/>
      <c r="NHV73" s="800"/>
      <c r="NHW73" s="800"/>
      <c r="NHX73" s="800"/>
      <c r="NHY73" s="705"/>
      <c r="NHZ73" s="799"/>
      <c r="NIA73" s="800"/>
      <c r="NIB73" s="800"/>
      <c r="NIC73" s="800"/>
      <c r="NID73" s="800"/>
      <c r="NIE73" s="800"/>
      <c r="NIF73" s="705"/>
      <c r="NIG73" s="799"/>
      <c r="NIH73" s="800"/>
      <c r="NII73" s="800"/>
      <c r="NIJ73" s="800"/>
      <c r="NIK73" s="800"/>
      <c r="NIL73" s="800"/>
      <c r="NIM73" s="705"/>
      <c r="NIN73" s="799"/>
      <c r="NIO73" s="800"/>
      <c r="NIP73" s="800"/>
      <c r="NIQ73" s="800"/>
      <c r="NIR73" s="800"/>
      <c r="NIS73" s="800"/>
      <c r="NIT73" s="705"/>
      <c r="NIU73" s="799"/>
      <c r="NIV73" s="800"/>
      <c r="NIW73" s="800"/>
      <c r="NIX73" s="800"/>
      <c r="NIY73" s="800"/>
      <c r="NIZ73" s="800"/>
      <c r="NJA73" s="705"/>
      <c r="NJB73" s="799"/>
      <c r="NJC73" s="800"/>
      <c r="NJD73" s="800"/>
      <c r="NJE73" s="800"/>
      <c r="NJF73" s="800"/>
      <c r="NJG73" s="800"/>
      <c r="NJH73" s="705"/>
      <c r="NJI73" s="799"/>
      <c r="NJJ73" s="800"/>
      <c r="NJK73" s="800"/>
      <c r="NJL73" s="800"/>
      <c r="NJM73" s="800"/>
      <c r="NJN73" s="800"/>
      <c r="NJO73" s="705"/>
      <c r="NJP73" s="799"/>
      <c r="NJQ73" s="800"/>
      <c r="NJR73" s="800"/>
      <c r="NJS73" s="800"/>
      <c r="NJT73" s="800"/>
      <c r="NJU73" s="800"/>
      <c r="NJV73" s="705"/>
      <c r="NJW73" s="799"/>
      <c r="NJX73" s="800"/>
      <c r="NJY73" s="800"/>
      <c r="NJZ73" s="800"/>
      <c r="NKA73" s="800"/>
      <c r="NKB73" s="800"/>
      <c r="NKC73" s="705"/>
      <c r="NKD73" s="799"/>
      <c r="NKE73" s="800"/>
      <c r="NKF73" s="800"/>
      <c r="NKG73" s="800"/>
      <c r="NKH73" s="800"/>
      <c r="NKI73" s="800"/>
      <c r="NKJ73" s="705"/>
      <c r="NKK73" s="799"/>
      <c r="NKL73" s="800"/>
      <c r="NKM73" s="800"/>
      <c r="NKN73" s="800"/>
      <c r="NKO73" s="800"/>
      <c r="NKP73" s="800"/>
      <c r="NKQ73" s="705"/>
      <c r="NKR73" s="799"/>
      <c r="NKS73" s="800"/>
      <c r="NKT73" s="800"/>
      <c r="NKU73" s="800"/>
      <c r="NKV73" s="800"/>
      <c r="NKW73" s="800"/>
      <c r="NKX73" s="705"/>
      <c r="NKY73" s="799"/>
      <c r="NKZ73" s="800"/>
      <c r="NLA73" s="800"/>
      <c r="NLB73" s="800"/>
      <c r="NLC73" s="800"/>
      <c r="NLD73" s="800"/>
      <c r="NLE73" s="705"/>
      <c r="NLF73" s="799"/>
      <c r="NLG73" s="800"/>
      <c r="NLH73" s="800"/>
      <c r="NLI73" s="800"/>
      <c r="NLJ73" s="800"/>
      <c r="NLK73" s="800"/>
      <c r="NLL73" s="705"/>
      <c r="NLM73" s="799"/>
      <c r="NLN73" s="800"/>
      <c r="NLO73" s="800"/>
      <c r="NLP73" s="800"/>
      <c r="NLQ73" s="800"/>
      <c r="NLR73" s="800"/>
      <c r="NLS73" s="705"/>
      <c r="NLT73" s="799"/>
      <c r="NLU73" s="800"/>
      <c r="NLV73" s="800"/>
      <c r="NLW73" s="800"/>
      <c r="NLX73" s="800"/>
      <c r="NLY73" s="800"/>
      <c r="NLZ73" s="705"/>
      <c r="NMA73" s="799"/>
      <c r="NMB73" s="800"/>
      <c r="NMC73" s="800"/>
      <c r="NMD73" s="800"/>
      <c r="NME73" s="800"/>
      <c r="NMF73" s="800"/>
      <c r="NMG73" s="705"/>
      <c r="NMH73" s="799"/>
      <c r="NMI73" s="800"/>
      <c r="NMJ73" s="800"/>
      <c r="NMK73" s="800"/>
      <c r="NML73" s="800"/>
      <c r="NMM73" s="800"/>
      <c r="NMN73" s="705"/>
      <c r="NMO73" s="799"/>
      <c r="NMP73" s="800"/>
      <c r="NMQ73" s="800"/>
      <c r="NMR73" s="800"/>
      <c r="NMS73" s="800"/>
      <c r="NMT73" s="800"/>
      <c r="NMU73" s="705"/>
      <c r="NMV73" s="799"/>
      <c r="NMW73" s="800"/>
      <c r="NMX73" s="800"/>
      <c r="NMY73" s="800"/>
      <c r="NMZ73" s="800"/>
      <c r="NNA73" s="800"/>
      <c r="NNB73" s="705"/>
      <c r="NNC73" s="799"/>
      <c r="NND73" s="800"/>
      <c r="NNE73" s="800"/>
      <c r="NNF73" s="800"/>
      <c r="NNG73" s="800"/>
      <c r="NNH73" s="800"/>
      <c r="NNI73" s="705"/>
      <c r="NNJ73" s="799"/>
      <c r="NNK73" s="800"/>
      <c r="NNL73" s="800"/>
      <c r="NNM73" s="800"/>
      <c r="NNN73" s="800"/>
      <c r="NNO73" s="800"/>
      <c r="NNP73" s="705"/>
      <c r="NNQ73" s="799"/>
      <c r="NNR73" s="800"/>
      <c r="NNS73" s="800"/>
      <c r="NNT73" s="800"/>
      <c r="NNU73" s="800"/>
      <c r="NNV73" s="800"/>
      <c r="NNW73" s="705"/>
      <c r="NNX73" s="799"/>
      <c r="NNY73" s="800"/>
      <c r="NNZ73" s="800"/>
      <c r="NOA73" s="800"/>
      <c r="NOB73" s="800"/>
      <c r="NOC73" s="800"/>
      <c r="NOD73" s="705"/>
      <c r="NOE73" s="799"/>
      <c r="NOF73" s="800"/>
      <c r="NOG73" s="800"/>
      <c r="NOH73" s="800"/>
      <c r="NOI73" s="800"/>
      <c r="NOJ73" s="800"/>
      <c r="NOK73" s="705"/>
      <c r="NOL73" s="799"/>
      <c r="NOM73" s="800"/>
      <c r="NON73" s="800"/>
      <c r="NOO73" s="800"/>
      <c r="NOP73" s="800"/>
      <c r="NOQ73" s="800"/>
      <c r="NOR73" s="705"/>
      <c r="NOS73" s="799"/>
      <c r="NOT73" s="800"/>
      <c r="NOU73" s="800"/>
      <c r="NOV73" s="800"/>
      <c r="NOW73" s="800"/>
      <c r="NOX73" s="800"/>
      <c r="NOY73" s="705"/>
      <c r="NOZ73" s="799"/>
      <c r="NPA73" s="800"/>
      <c r="NPB73" s="800"/>
      <c r="NPC73" s="800"/>
      <c r="NPD73" s="800"/>
      <c r="NPE73" s="800"/>
      <c r="NPF73" s="705"/>
      <c r="NPG73" s="799"/>
      <c r="NPH73" s="800"/>
      <c r="NPI73" s="800"/>
      <c r="NPJ73" s="800"/>
      <c r="NPK73" s="800"/>
      <c r="NPL73" s="800"/>
      <c r="NPM73" s="705"/>
      <c r="NPN73" s="799"/>
      <c r="NPO73" s="800"/>
      <c r="NPP73" s="800"/>
      <c r="NPQ73" s="800"/>
      <c r="NPR73" s="800"/>
      <c r="NPS73" s="800"/>
      <c r="NPT73" s="705"/>
      <c r="NPU73" s="799"/>
      <c r="NPV73" s="800"/>
      <c r="NPW73" s="800"/>
      <c r="NPX73" s="800"/>
      <c r="NPY73" s="800"/>
      <c r="NPZ73" s="800"/>
      <c r="NQA73" s="705"/>
      <c r="NQB73" s="799"/>
      <c r="NQC73" s="800"/>
      <c r="NQD73" s="800"/>
      <c r="NQE73" s="800"/>
      <c r="NQF73" s="800"/>
      <c r="NQG73" s="800"/>
      <c r="NQH73" s="705"/>
      <c r="NQI73" s="799"/>
      <c r="NQJ73" s="800"/>
      <c r="NQK73" s="800"/>
      <c r="NQL73" s="800"/>
      <c r="NQM73" s="800"/>
      <c r="NQN73" s="800"/>
      <c r="NQO73" s="705"/>
      <c r="NQP73" s="799"/>
      <c r="NQQ73" s="800"/>
      <c r="NQR73" s="800"/>
      <c r="NQS73" s="800"/>
      <c r="NQT73" s="800"/>
      <c r="NQU73" s="800"/>
      <c r="NQV73" s="705"/>
      <c r="NQW73" s="799"/>
      <c r="NQX73" s="800"/>
      <c r="NQY73" s="800"/>
      <c r="NQZ73" s="800"/>
      <c r="NRA73" s="800"/>
      <c r="NRB73" s="800"/>
      <c r="NRC73" s="705"/>
      <c r="NRD73" s="799"/>
      <c r="NRE73" s="800"/>
      <c r="NRF73" s="800"/>
      <c r="NRG73" s="800"/>
      <c r="NRH73" s="800"/>
      <c r="NRI73" s="800"/>
      <c r="NRJ73" s="705"/>
      <c r="NRK73" s="799"/>
      <c r="NRL73" s="800"/>
      <c r="NRM73" s="800"/>
      <c r="NRN73" s="800"/>
      <c r="NRO73" s="800"/>
      <c r="NRP73" s="800"/>
      <c r="NRQ73" s="705"/>
      <c r="NRR73" s="799"/>
      <c r="NRS73" s="800"/>
      <c r="NRT73" s="800"/>
      <c r="NRU73" s="800"/>
      <c r="NRV73" s="800"/>
      <c r="NRW73" s="800"/>
      <c r="NRX73" s="705"/>
      <c r="NRY73" s="799"/>
      <c r="NRZ73" s="800"/>
      <c r="NSA73" s="800"/>
      <c r="NSB73" s="800"/>
      <c r="NSC73" s="800"/>
      <c r="NSD73" s="800"/>
      <c r="NSE73" s="705"/>
      <c r="NSF73" s="799"/>
      <c r="NSG73" s="800"/>
      <c r="NSH73" s="800"/>
      <c r="NSI73" s="800"/>
      <c r="NSJ73" s="800"/>
      <c r="NSK73" s="800"/>
      <c r="NSL73" s="705"/>
      <c r="NSM73" s="799"/>
      <c r="NSN73" s="800"/>
      <c r="NSO73" s="800"/>
      <c r="NSP73" s="800"/>
      <c r="NSQ73" s="800"/>
      <c r="NSR73" s="800"/>
      <c r="NSS73" s="705"/>
      <c r="NST73" s="799"/>
      <c r="NSU73" s="800"/>
      <c r="NSV73" s="800"/>
      <c r="NSW73" s="800"/>
      <c r="NSX73" s="800"/>
      <c r="NSY73" s="800"/>
      <c r="NSZ73" s="705"/>
      <c r="NTA73" s="799"/>
      <c r="NTB73" s="800"/>
      <c r="NTC73" s="800"/>
      <c r="NTD73" s="800"/>
      <c r="NTE73" s="800"/>
      <c r="NTF73" s="800"/>
      <c r="NTG73" s="705"/>
      <c r="NTH73" s="799"/>
      <c r="NTI73" s="800"/>
      <c r="NTJ73" s="800"/>
      <c r="NTK73" s="800"/>
      <c r="NTL73" s="800"/>
      <c r="NTM73" s="800"/>
      <c r="NTN73" s="705"/>
      <c r="NTO73" s="799"/>
      <c r="NTP73" s="800"/>
      <c r="NTQ73" s="800"/>
      <c r="NTR73" s="800"/>
      <c r="NTS73" s="800"/>
      <c r="NTT73" s="800"/>
      <c r="NTU73" s="705"/>
      <c r="NTV73" s="799"/>
      <c r="NTW73" s="800"/>
      <c r="NTX73" s="800"/>
      <c r="NTY73" s="800"/>
      <c r="NTZ73" s="800"/>
      <c r="NUA73" s="800"/>
      <c r="NUB73" s="705"/>
      <c r="NUC73" s="799"/>
      <c r="NUD73" s="800"/>
      <c r="NUE73" s="800"/>
      <c r="NUF73" s="800"/>
      <c r="NUG73" s="800"/>
      <c r="NUH73" s="800"/>
      <c r="NUI73" s="705"/>
      <c r="NUJ73" s="799"/>
      <c r="NUK73" s="800"/>
      <c r="NUL73" s="800"/>
      <c r="NUM73" s="800"/>
      <c r="NUN73" s="800"/>
      <c r="NUO73" s="800"/>
      <c r="NUP73" s="705"/>
      <c r="NUQ73" s="799"/>
      <c r="NUR73" s="800"/>
      <c r="NUS73" s="800"/>
      <c r="NUT73" s="800"/>
      <c r="NUU73" s="800"/>
      <c r="NUV73" s="800"/>
      <c r="NUW73" s="705"/>
      <c r="NUX73" s="799"/>
      <c r="NUY73" s="800"/>
      <c r="NUZ73" s="800"/>
      <c r="NVA73" s="800"/>
      <c r="NVB73" s="800"/>
      <c r="NVC73" s="800"/>
      <c r="NVD73" s="705"/>
      <c r="NVE73" s="799"/>
      <c r="NVF73" s="800"/>
      <c r="NVG73" s="800"/>
      <c r="NVH73" s="800"/>
      <c r="NVI73" s="800"/>
      <c r="NVJ73" s="800"/>
      <c r="NVK73" s="705"/>
      <c r="NVL73" s="799"/>
      <c r="NVM73" s="800"/>
      <c r="NVN73" s="800"/>
      <c r="NVO73" s="800"/>
      <c r="NVP73" s="800"/>
      <c r="NVQ73" s="800"/>
      <c r="NVR73" s="705"/>
      <c r="NVS73" s="799"/>
      <c r="NVT73" s="800"/>
      <c r="NVU73" s="800"/>
      <c r="NVV73" s="800"/>
      <c r="NVW73" s="800"/>
      <c r="NVX73" s="800"/>
      <c r="NVY73" s="705"/>
      <c r="NVZ73" s="799"/>
      <c r="NWA73" s="800"/>
      <c r="NWB73" s="800"/>
      <c r="NWC73" s="800"/>
      <c r="NWD73" s="800"/>
      <c r="NWE73" s="800"/>
      <c r="NWF73" s="705"/>
      <c r="NWG73" s="799"/>
      <c r="NWH73" s="800"/>
      <c r="NWI73" s="800"/>
      <c r="NWJ73" s="800"/>
      <c r="NWK73" s="800"/>
      <c r="NWL73" s="800"/>
      <c r="NWM73" s="705"/>
      <c r="NWN73" s="799"/>
      <c r="NWO73" s="800"/>
      <c r="NWP73" s="800"/>
      <c r="NWQ73" s="800"/>
      <c r="NWR73" s="800"/>
      <c r="NWS73" s="800"/>
      <c r="NWT73" s="705"/>
      <c r="NWU73" s="799"/>
      <c r="NWV73" s="800"/>
      <c r="NWW73" s="800"/>
      <c r="NWX73" s="800"/>
      <c r="NWY73" s="800"/>
      <c r="NWZ73" s="800"/>
      <c r="NXA73" s="705"/>
      <c r="NXB73" s="799"/>
      <c r="NXC73" s="800"/>
      <c r="NXD73" s="800"/>
      <c r="NXE73" s="800"/>
      <c r="NXF73" s="800"/>
      <c r="NXG73" s="800"/>
      <c r="NXH73" s="705"/>
      <c r="NXI73" s="799"/>
      <c r="NXJ73" s="800"/>
      <c r="NXK73" s="800"/>
      <c r="NXL73" s="800"/>
      <c r="NXM73" s="800"/>
      <c r="NXN73" s="800"/>
      <c r="NXO73" s="705"/>
      <c r="NXP73" s="799"/>
      <c r="NXQ73" s="800"/>
      <c r="NXR73" s="800"/>
      <c r="NXS73" s="800"/>
      <c r="NXT73" s="800"/>
      <c r="NXU73" s="800"/>
      <c r="NXV73" s="705"/>
      <c r="NXW73" s="799"/>
      <c r="NXX73" s="800"/>
      <c r="NXY73" s="800"/>
      <c r="NXZ73" s="800"/>
      <c r="NYA73" s="800"/>
      <c r="NYB73" s="800"/>
      <c r="NYC73" s="705"/>
      <c r="NYD73" s="799"/>
      <c r="NYE73" s="800"/>
      <c r="NYF73" s="800"/>
      <c r="NYG73" s="800"/>
      <c r="NYH73" s="800"/>
      <c r="NYI73" s="800"/>
      <c r="NYJ73" s="705"/>
      <c r="NYK73" s="799"/>
      <c r="NYL73" s="800"/>
      <c r="NYM73" s="800"/>
      <c r="NYN73" s="800"/>
      <c r="NYO73" s="800"/>
      <c r="NYP73" s="800"/>
      <c r="NYQ73" s="705"/>
      <c r="NYR73" s="799"/>
      <c r="NYS73" s="800"/>
      <c r="NYT73" s="800"/>
      <c r="NYU73" s="800"/>
      <c r="NYV73" s="800"/>
      <c r="NYW73" s="800"/>
      <c r="NYX73" s="705"/>
      <c r="NYY73" s="799"/>
      <c r="NYZ73" s="800"/>
      <c r="NZA73" s="800"/>
      <c r="NZB73" s="800"/>
      <c r="NZC73" s="800"/>
      <c r="NZD73" s="800"/>
      <c r="NZE73" s="705"/>
      <c r="NZF73" s="799"/>
      <c r="NZG73" s="800"/>
      <c r="NZH73" s="800"/>
      <c r="NZI73" s="800"/>
      <c r="NZJ73" s="800"/>
      <c r="NZK73" s="800"/>
      <c r="NZL73" s="705"/>
      <c r="NZM73" s="799"/>
      <c r="NZN73" s="800"/>
      <c r="NZO73" s="800"/>
      <c r="NZP73" s="800"/>
      <c r="NZQ73" s="800"/>
      <c r="NZR73" s="800"/>
      <c r="NZS73" s="705"/>
      <c r="NZT73" s="799"/>
      <c r="NZU73" s="800"/>
      <c r="NZV73" s="800"/>
      <c r="NZW73" s="800"/>
      <c r="NZX73" s="800"/>
      <c r="NZY73" s="800"/>
      <c r="NZZ73" s="705"/>
      <c r="OAA73" s="799"/>
      <c r="OAB73" s="800"/>
      <c r="OAC73" s="800"/>
      <c r="OAD73" s="800"/>
      <c r="OAE73" s="800"/>
      <c r="OAF73" s="800"/>
      <c r="OAG73" s="705"/>
      <c r="OAH73" s="799"/>
      <c r="OAI73" s="800"/>
      <c r="OAJ73" s="800"/>
      <c r="OAK73" s="800"/>
      <c r="OAL73" s="800"/>
      <c r="OAM73" s="800"/>
      <c r="OAN73" s="705"/>
      <c r="OAO73" s="799"/>
      <c r="OAP73" s="800"/>
      <c r="OAQ73" s="800"/>
      <c r="OAR73" s="800"/>
      <c r="OAS73" s="800"/>
      <c r="OAT73" s="800"/>
      <c r="OAU73" s="705"/>
      <c r="OAV73" s="799"/>
      <c r="OAW73" s="800"/>
      <c r="OAX73" s="800"/>
      <c r="OAY73" s="800"/>
      <c r="OAZ73" s="800"/>
      <c r="OBA73" s="800"/>
      <c r="OBB73" s="705"/>
      <c r="OBC73" s="799"/>
      <c r="OBD73" s="800"/>
      <c r="OBE73" s="800"/>
      <c r="OBF73" s="800"/>
      <c r="OBG73" s="800"/>
      <c r="OBH73" s="800"/>
      <c r="OBI73" s="705"/>
      <c r="OBJ73" s="799"/>
      <c r="OBK73" s="800"/>
      <c r="OBL73" s="800"/>
      <c r="OBM73" s="800"/>
      <c r="OBN73" s="800"/>
      <c r="OBO73" s="800"/>
      <c r="OBP73" s="705"/>
      <c r="OBQ73" s="799"/>
      <c r="OBR73" s="800"/>
      <c r="OBS73" s="800"/>
      <c r="OBT73" s="800"/>
      <c r="OBU73" s="800"/>
      <c r="OBV73" s="800"/>
      <c r="OBW73" s="705"/>
      <c r="OBX73" s="799"/>
      <c r="OBY73" s="800"/>
      <c r="OBZ73" s="800"/>
      <c r="OCA73" s="800"/>
      <c r="OCB73" s="800"/>
      <c r="OCC73" s="800"/>
      <c r="OCD73" s="705"/>
      <c r="OCE73" s="799"/>
      <c r="OCF73" s="800"/>
      <c r="OCG73" s="800"/>
      <c r="OCH73" s="800"/>
      <c r="OCI73" s="800"/>
      <c r="OCJ73" s="800"/>
      <c r="OCK73" s="705"/>
      <c r="OCL73" s="799"/>
      <c r="OCM73" s="800"/>
      <c r="OCN73" s="800"/>
      <c r="OCO73" s="800"/>
      <c r="OCP73" s="800"/>
      <c r="OCQ73" s="800"/>
      <c r="OCR73" s="705"/>
      <c r="OCS73" s="799"/>
      <c r="OCT73" s="800"/>
      <c r="OCU73" s="800"/>
      <c r="OCV73" s="800"/>
      <c r="OCW73" s="800"/>
      <c r="OCX73" s="800"/>
      <c r="OCY73" s="705"/>
      <c r="OCZ73" s="799"/>
      <c r="ODA73" s="800"/>
      <c r="ODB73" s="800"/>
      <c r="ODC73" s="800"/>
      <c r="ODD73" s="800"/>
      <c r="ODE73" s="800"/>
      <c r="ODF73" s="705"/>
      <c r="ODG73" s="799"/>
      <c r="ODH73" s="800"/>
      <c r="ODI73" s="800"/>
      <c r="ODJ73" s="800"/>
      <c r="ODK73" s="800"/>
      <c r="ODL73" s="800"/>
      <c r="ODM73" s="705"/>
      <c r="ODN73" s="799"/>
      <c r="ODO73" s="800"/>
      <c r="ODP73" s="800"/>
      <c r="ODQ73" s="800"/>
      <c r="ODR73" s="800"/>
      <c r="ODS73" s="800"/>
      <c r="ODT73" s="705"/>
      <c r="ODU73" s="799"/>
      <c r="ODV73" s="800"/>
      <c r="ODW73" s="800"/>
      <c r="ODX73" s="800"/>
      <c r="ODY73" s="800"/>
      <c r="ODZ73" s="800"/>
      <c r="OEA73" s="705"/>
      <c r="OEB73" s="799"/>
      <c r="OEC73" s="800"/>
      <c r="OED73" s="800"/>
      <c r="OEE73" s="800"/>
      <c r="OEF73" s="800"/>
      <c r="OEG73" s="800"/>
      <c r="OEH73" s="705"/>
      <c r="OEI73" s="799"/>
      <c r="OEJ73" s="800"/>
      <c r="OEK73" s="800"/>
      <c r="OEL73" s="800"/>
      <c r="OEM73" s="800"/>
      <c r="OEN73" s="800"/>
      <c r="OEO73" s="705"/>
      <c r="OEP73" s="799"/>
      <c r="OEQ73" s="800"/>
      <c r="OER73" s="800"/>
      <c r="OES73" s="800"/>
      <c r="OET73" s="800"/>
      <c r="OEU73" s="800"/>
      <c r="OEV73" s="705"/>
      <c r="OEW73" s="799"/>
      <c r="OEX73" s="800"/>
      <c r="OEY73" s="800"/>
      <c r="OEZ73" s="800"/>
      <c r="OFA73" s="800"/>
      <c r="OFB73" s="800"/>
      <c r="OFC73" s="705"/>
      <c r="OFD73" s="799"/>
      <c r="OFE73" s="800"/>
      <c r="OFF73" s="800"/>
      <c r="OFG73" s="800"/>
      <c r="OFH73" s="800"/>
      <c r="OFI73" s="800"/>
      <c r="OFJ73" s="705"/>
      <c r="OFK73" s="799"/>
      <c r="OFL73" s="800"/>
      <c r="OFM73" s="800"/>
      <c r="OFN73" s="800"/>
      <c r="OFO73" s="800"/>
      <c r="OFP73" s="800"/>
      <c r="OFQ73" s="705"/>
      <c r="OFR73" s="799"/>
      <c r="OFS73" s="800"/>
      <c r="OFT73" s="800"/>
      <c r="OFU73" s="800"/>
      <c r="OFV73" s="800"/>
      <c r="OFW73" s="800"/>
      <c r="OFX73" s="705"/>
      <c r="OFY73" s="799"/>
      <c r="OFZ73" s="800"/>
      <c r="OGA73" s="800"/>
      <c r="OGB73" s="800"/>
      <c r="OGC73" s="800"/>
      <c r="OGD73" s="800"/>
      <c r="OGE73" s="705"/>
      <c r="OGF73" s="799"/>
      <c r="OGG73" s="800"/>
      <c r="OGH73" s="800"/>
      <c r="OGI73" s="800"/>
      <c r="OGJ73" s="800"/>
      <c r="OGK73" s="800"/>
      <c r="OGL73" s="705"/>
      <c r="OGM73" s="799"/>
      <c r="OGN73" s="800"/>
      <c r="OGO73" s="800"/>
      <c r="OGP73" s="800"/>
      <c r="OGQ73" s="800"/>
      <c r="OGR73" s="800"/>
      <c r="OGS73" s="705"/>
      <c r="OGT73" s="799"/>
      <c r="OGU73" s="800"/>
      <c r="OGV73" s="800"/>
      <c r="OGW73" s="800"/>
      <c r="OGX73" s="800"/>
      <c r="OGY73" s="800"/>
      <c r="OGZ73" s="705"/>
      <c r="OHA73" s="799"/>
      <c r="OHB73" s="800"/>
      <c r="OHC73" s="800"/>
      <c r="OHD73" s="800"/>
      <c r="OHE73" s="800"/>
      <c r="OHF73" s="800"/>
      <c r="OHG73" s="705"/>
      <c r="OHH73" s="799"/>
      <c r="OHI73" s="800"/>
      <c r="OHJ73" s="800"/>
      <c r="OHK73" s="800"/>
      <c r="OHL73" s="800"/>
      <c r="OHM73" s="800"/>
      <c r="OHN73" s="705"/>
      <c r="OHO73" s="799"/>
      <c r="OHP73" s="800"/>
      <c r="OHQ73" s="800"/>
      <c r="OHR73" s="800"/>
      <c r="OHS73" s="800"/>
      <c r="OHT73" s="800"/>
      <c r="OHU73" s="705"/>
      <c r="OHV73" s="799"/>
      <c r="OHW73" s="800"/>
      <c r="OHX73" s="800"/>
      <c r="OHY73" s="800"/>
      <c r="OHZ73" s="800"/>
      <c r="OIA73" s="800"/>
      <c r="OIB73" s="705"/>
      <c r="OIC73" s="799"/>
      <c r="OID73" s="800"/>
      <c r="OIE73" s="800"/>
      <c r="OIF73" s="800"/>
      <c r="OIG73" s="800"/>
      <c r="OIH73" s="800"/>
      <c r="OII73" s="705"/>
      <c r="OIJ73" s="799"/>
      <c r="OIK73" s="800"/>
      <c r="OIL73" s="800"/>
      <c r="OIM73" s="800"/>
      <c r="OIN73" s="800"/>
      <c r="OIO73" s="800"/>
      <c r="OIP73" s="705"/>
      <c r="OIQ73" s="799"/>
      <c r="OIR73" s="800"/>
      <c r="OIS73" s="800"/>
      <c r="OIT73" s="800"/>
      <c r="OIU73" s="800"/>
      <c r="OIV73" s="800"/>
      <c r="OIW73" s="705"/>
      <c r="OIX73" s="799"/>
      <c r="OIY73" s="800"/>
      <c r="OIZ73" s="800"/>
      <c r="OJA73" s="800"/>
      <c r="OJB73" s="800"/>
      <c r="OJC73" s="800"/>
      <c r="OJD73" s="705"/>
      <c r="OJE73" s="799"/>
      <c r="OJF73" s="800"/>
      <c r="OJG73" s="800"/>
      <c r="OJH73" s="800"/>
      <c r="OJI73" s="800"/>
      <c r="OJJ73" s="800"/>
      <c r="OJK73" s="705"/>
      <c r="OJL73" s="799"/>
      <c r="OJM73" s="800"/>
      <c r="OJN73" s="800"/>
      <c r="OJO73" s="800"/>
      <c r="OJP73" s="800"/>
      <c r="OJQ73" s="800"/>
      <c r="OJR73" s="705"/>
      <c r="OJS73" s="799"/>
      <c r="OJT73" s="800"/>
      <c r="OJU73" s="800"/>
      <c r="OJV73" s="800"/>
      <c r="OJW73" s="800"/>
      <c r="OJX73" s="800"/>
      <c r="OJY73" s="705"/>
      <c r="OJZ73" s="799"/>
      <c r="OKA73" s="800"/>
      <c r="OKB73" s="800"/>
      <c r="OKC73" s="800"/>
      <c r="OKD73" s="800"/>
      <c r="OKE73" s="800"/>
      <c r="OKF73" s="705"/>
      <c r="OKG73" s="799"/>
      <c r="OKH73" s="800"/>
      <c r="OKI73" s="800"/>
      <c r="OKJ73" s="800"/>
      <c r="OKK73" s="800"/>
      <c r="OKL73" s="800"/>
      <c r="OKM73" s="705"/>
      <c r="OKN73" s="799"/>
      <c r="OKO73" s="800"/>
      <c r="OKP73" s="800"/>
      <c r="OKQ73" s="800"/>
      <c r="OKR73" s="800"/>
      <c r="OKS73" s="800"/>
      <c r="OKT73" s="705"/>
      <c r="OKU73" s="799"/>
      <c r="OKV73" s="800"/>
      <c r="OKW73" s="800"/>
      <c r="OKX73" s="800"/>
      <c r="OKY73" s="800"/>
      <c r="OKZ73" s="800"/>
      <c r="OLA73" s="705"/>
      <c r="OLB73" s="799"/>
      <c r="OLC73" s="800"/>
      <c r="OLD73" s="800"/>
      <c r="OLE73" s="800"/>
      <c r="OLF73" s="800"/>
      <c r="OLG73" s="800"/>
      <c r="OLH73" s="705"/>
      <c r="OLI73" s="799"/>
      <c r="OLJ73" s="800"/>
      <c r="OLK73" s="800"/>
      <c r="OLL73" s="800"/>
      <c r="OLM73" s="800"/>
      <c r="OLN73" s="800"/>
      <c r="OLO73" s="705"/>
      <c r="OLP73" s="799"/>
      <c r="OLQ73" s="800"/>
      <c r="OLR73" s="800"/>
      <c r="OLS73" s="800"/>
      <c r="OLT73" s="800"/>
      <c r="OLU73" s="800"/>
      <c r="OLV73" s="705"/>
      <c r="OLW73" s="799"/>
      <c r="OLX73" s="800"/>
      <c r="OLY73" s="800"/>
      <c r="OLZ73" s="800"/>
      <c r="OMA73" s="800"/>
      <c r="OMB73" s="800"/>
      <c r="OMC73" s="705"/>
      <c r="OMD73" s="799"/>
      <c r="OME73" s="800"/>
      <c r="OMF73" s="800"/>
      <c r="OMG73" s="800"/>
      <c r="OMH73" s="800"/>
      <c r="OMI73" s="800"/>
      <c r="OMJ73" s="705"/>
      <c r="OMK73" s="799"/>
      <c r="OML73" s="800"/>
      <c r="OMM73" s="800"/>
      <c r="OMN73" s="800"/>
      <c r="OMO73" s="800"/>
      <c r="OMP73" s="800"/>
      <c r="OMQ73" s="705"/>
      <c r="OMR73" s="799"/>
      <c r="OMS73" s="800"/>
      <c r="OMT73" s="800"/>
      <c r="OMU73" s="800"/>
      <c r="OMV73" s="800"/>
      <c r="OMW73" s="800"/>
      <c r="OMX73" s="705"/>
      <c r="OMY73" s="799"/>
      <c r="OMZ73" s="800"/>
      <c r="ONA73" s="800"/>
      <c r="ONB73" s="800"/>
      <c r="ONC73" s="800"/>
      <c r="OND73" s="800"/>
      <c r="ONE73" s="705"/>
      <c r="ONF73" s="799"/>
      <c r="ONG73" s="800"/>
      <c r="ONH73" s="800"/>
      <c r="ONI73" s="800"/>
      <c r="ONJ73" s="800"/>
      <c r="ONK73" s="800"/>
      <c r="ONL73" s="705"/>
      <c r="ONM73" s="799"/>
      <c r="ONN73" s="800"/>
      <c r="ONO73" s="800"/>
      <c r="ONP73" s="800"/>
      <c r="ONQ73" s="800"/>
      <c r="ONR73" s="800"/>
      <c r="ONS73" s="705"/>
      <c r="ONT73" s="799"/>
      <c r="ONU73" s="800"/>
      <c r="ONV73" s="800"/>
      <c r="ONW73" s="800"/>
      <c r="ONX73" s="800"/>
      <c r="ONY73" s="800"/>
      <c r="ONZ73" s="705"/>
      <c r="OOA73" s="799"/>
      <c r="OOB73" s="800"/>
      <c r="OOC73" s="800"/>
      <c r="OOD73" s="800"/>
      <c r="OOE73" s="800"/>
      <c r="OOF73" s="800"/>
      <c r="OOG73" s="705"/>
      <c r="OOH73" s="799"/>
      <c r="OOI73" s="800"/>
      <c r="OOJ73" s="800"/>
      <c r="OOK73" s="800"/>
      <c r="OOL73" s="800"/>
      <c r="OOM73" s="800"/>
      <c r="OON73" s="705"/>
      <c r="OOO73" s="799"/>
      <c r="OOP73" s="800"/>
      <c r="OOQ73" s="800"/>
      <c r="OOR73" s="800"/>
      <c r="OOS73" s="800"/>
      <c r="OOT73" s="800"/>
      <c r="OOU73" s="705"/>
      <c r="OOV73" s="799"/>
      <c r="OOW73" s="800"/>
      <c r="OOX73" s="800"/>
      <c r="OOY73" s="800"/>
      <c r="OOZ73" s="800"/>
      <c r="OPA73" s="800"/>
      <c r="OPB73" s="705"/>
      <c r="OPC73" s="799"/>
      <c r="OPD73" s="800"/>
      <c r="OPE73" s="800"/>
      <c r="OPF73" s="800"/>
      <c r="OPG73" s="800"/>
      <c r="OPH73" s="800"/>
      <c r="OPI73" s="705"/>
      <c r="OPJ73" s="799"/>
      <c r="OPK73" s="800"/>
      <c r="OPL73" s="800"/>
      <c r="OPM73" s="800"/>
      <c r="OPN73" s="800"/>
      <c r="OPO73" s="800"/>
      <c r="OPP73" s="705"/>
      <c r="OPQ73" s="799"/>
      <c r="OPR73" s="800"/>
      <c r="OPS73" s="800"/>
      <c r="OPT73" s="800"/>
      <c r="OPU73" s="800"/>
      <c r="OPV73" s="800"/>
      <c r="OPW73" s="705"/>
      <c r="OPX73" s="799"/>
      <c r="OPY73" s="800"/>
      <c r="OPZ73" s="800"/>
      <c r="OQA73" s="800"/>
      <c r="OQB73" s="800"/>
      <c r="OQC73" s="800"/>
      <c r="OQD73" s="705"/>
      <c r="OQE73" s="799"/>
      <c r="OQF73" s="800"/>
      <c r="OQG73" s="800"/>
      <c r="OQH73" s="800"/>
      <c r="OQI73" s="800"/>
      <c r="OQJ73" s="800"/>
      <c r="OQK73" s="705"/>
      <c r="OQL73" s="799"/>
      <c r="OQM73" s="800"/>
      <c r="OQN73" s="800"/>
      <c r="OQO73" s="800"/>
      <c r="OQP73" s="800"/>
      <c r="OQQ73" s="800"/>
      <c r="OQR73" s="705"/>
      <c r="OQS73" s="799"/>
      <c r="OQT73" s="800"/>
      <c r="OQU73" s="800"/>
      <c r="OQV73" s="800"/>
      <c r="OQW73" s="800"/>
      <c r="OQX73" s="800"/>
      <c r="OQY73" s="705"/>
      <c r="OQZ73" s="799"/>
      <c r="ORA73" s="800"/>
      <c r="ORB73" s="800"/>
      <c r="ORC73" s="800"/>
      <c r="ORD73" s="800"/>
      <c r="ORE73" s="800"/>
      <c r="ORF73" s="705"/>
      <c r="ORG73" s="799"/>
      <c r="ORH73" s="800"/>
      <c r="ORI73" s="800"/>
      <c r="ORJ73" s="800"/>
      <c r="ORK73" s="800"/>
      <c r="ORL73" s="800"/>
      <c r="ORM73" s="705"/>
      <c r="ORN73" s="799"/>
      <c r="ORO73" s="800"/>
      <c r="ORP73" s="800"/>
      <c r="ORQ73" s="800"/>
      <c r="ORR73" s="800"/>
      <c r="ORS73" s="800"/>
      <c r="ORT73" s="705"/>
      <c r="ORU73" s="799"/>
      <c r="ORV73" s="800"/>
      <c r="ORW73" s="800"/>
      <c r="ORX73" s="800"/>
      <c r="ORY73" s="800"/>
      <c r="ORZ73" s="800"/>
      <c r="OSA73" s="705"/>
      <c r="OSB73" s="799"/>
      <c r="OSC73" s="800"/>
      <c r="OSD73" s="800"/>
      <c r="OSE73" s="800"/>
      <c r="OSF73" s="800"/>
      <c r="OSG73" s="800"/>
      <c r="OSH73" s="705"/>
      <c r="OSI73" s="799"/>
      <c r="OSJ73" s="800"/>
      <c r="OSK73" s="800"/>
      <c r="OSL73" s="800"/>
      <c r="OSM73" s="800"/>
      <c r="OSN73" s="800"/>
      <c r="OSO73" s="705"/>
      <c r="OSP73" s="799"/>
      <c r="OSQ73" s="800"/>
      <c r="OSR73" s="800"/>
      <c r="OSS73" s="800"/>
      <c r="OST73" s="800"/>
      <c r="OSU73" s="800"/>
      <c r="OSV73" s="705"/>
      <c r="OSW73" s="799"/>
      <c r="OSX73" s="800"/>
      <c r="OSY73" s="800"/>
      <c r="OSZ73" s="800"/>
      <c r="OTA73" s="800"/>
      <c r="OTB73" s="800"/>
      <c r="OTC73" s="705"/>
      <c r="OTD73" s="799"/>
      <c r="OTE73" s="800"/>
      <c r="OTF73" s="800"/>
      <c r="OTG73" s="800"/>
      <c r="OTH73" s="800"/>
      <c r="OTI73" s="800"/>
      <c r="OTJ73" s="705"/>
      <c r="OTK73" s="799"/>
      <c r="OTL73" s="800"/>
      <c r="OTM73" s="800"/>
      <c r="OTN73" s="800"/>
      <c r="OTO73" s="800"/>
      <c r="OTP73" s="800"/>
      <c r="OTQ73" s="705"/>
      <c r="OTR73" s="799"/>
      <c r="OTS73" s="800"/>
      <c r="OTT73" s="800"/>
      <c r="OTU73" s="800"/>
      <c r="OTV73" s="800"/>
      <c r="OTW73" s="800"/>
      <c r="OTX73" s="705"/>
      <c r="OTY73" s="799"/>
      <c r="OTZ73" s="800"/>
      <c r="OUA73" s="800"/>
      <c r="OUB73" s="800"/>
      <c r="OUC73" s="800"/>
      <c r="OUD73" s="800"/>
      <c r="OUE73" s="705"/>
      <c r="OUF73" s="799"/>
      <c r="OUG73" s="800"/>
      <c r="OUH73" s="800"/>
      <c r="OUI73" s="800"/>
      <c r="OUJ73" s="800"/>
      <c r="OUK73" s="800"/>
      <c r="OUL73" s="705"/>
      <c r="OUM73" s="799"/>
      <c r="OUN73" s="800"/>
      <c r="OUO73" s="800"/>
      <c r="OUP73" s="800"/>
      <c r="OUQ73" s="800"/>
      <c r="OUR73" s="800"/>
      <c r="OUS73" s="705"/>
      <c r="OUT73" s="799"/>
      <c r="OUU73" s="800"/>
      <c r="OUV73" s="800"/>
      <c r="OUW73" s="800"/>
      <c r="OUX73" s="800"/>
      <c r="OUY73" s="800"/>
      <c r="OUZ73" s="705"/>
      <c r="OVA73" s="799"/>
      <c r="OVB73" s="800"/>
      <c r="OVC73" s="800"/>
      <c r="OVD73" s="800"/>
      <c r="OVE73" s="800"/>
      <c r="OVF73" s="800"/>
      <c r="OVG73" s="705"/>
      <c r="OVH73" s="799"/>
      <c r="OVI73" s="800"/>
      <c r="OVJ73" s="800"/>
      <c r="OVK73" s="800"/>
      <c r="OVL73" s="800"/>
      <c r="OVM73" s="800"/>
      <c r="OVN73" s="705"/>
      <c r="OVO73" s="799"/>
      <c r="OVP73" s="800"/>
      <c r="OVQ73" s="800"/>
      <c r="OVR73" s="800"/>
      <c r="OVS73" s="800"/>
      <c r="OVT73" s="800"/>
      <c r="OVU73" s="705"/>
      <c r="OVV73" s="799"/>
      <c r="OVW73" s="800"/>
      <c r="OVX73" s="800"/>
      <c r="OVY73" s="800"/>
      <c r="OVZ73" s="800"/>
      <c r="OWA73" s="800"/>
      <c r="OWB73" s="705"/>
      <c r="OWC73" s="799"/>
      <c r="OWD73" s="800"/>
      <c r="OWE73" s="800"/>
      <c r="OWF73" s="800"/>
      <c r="OWG73" s="800"/>
      <c r="OWH73" s="800"/>
      <c r="OWI73" s="705"/>
      <c r="OWJ73" s="799"/>
      <c r="OWK73" s="800"/>
      <c r="OWL73" s="800"/>
      <c r="OWM73" s="800"/>
      <c r="OWN73" s="800"/>
      <c r="OWO73" s="800"/>
      <c r="OWP73" s="705"/>
      <c r="OWQ73" s="799"/>
      <c r="OWR73" s="800"/>
      <c r="OWS73" s="800"/>
      <c r="OWT73" s="800"/>
      <c r="OWU73" s="800"/>
      <c r="OWV73" s="800"/>
      <c r="OWW73" s="705"/>
      <c r="OWX73" s="799"/>
      <c r="OWY73" s="800"/>
      <c r="OWZ73" s="800"/>
      <c r="OXA73" s="800"/>
      <c r="OXB73" s="800"/>
      <c r="OXC73" s="800"/>
      <c r="OXD73" s="705"/>
      <c r="OXE73" s="799"/>
      <c r="OXF73" s="800"/>
      <c r="OXG73" s="800"/>
      <c r="OXH73" s="800"/>
      <c r="OXI73" s="800"/>
      <c r="OXJ73" s="800"/>
      <c r="OXK73" s="705"/>
      <c r="OXL73" s="799"/>
      <c r="OXM73" s="800"/>
      <c r="OXN73" s="800"/>
      <c r="OXO73" s="800"/>
      <c r="OXP73" s="800"/>
      <c r="OXQ73" s="800"/>
      <c r="OXR73" s="705"/>
      <c r="OXS73" s="799"/>
      <c r="OXT73" s="800"/>
      <c r="OXU73" s="800"/>
      <c r="OXV73" s="800"/>
      <c r="OXW73" s="800"/>
      <c r="OXX73" s="800"/>
      <c r="OXY73" s="705"/>
      <c r="OXZ73" s="799"/>
      <c r="OYA73" s="800"/>
      <c r="OYB73" s="800"/>
      <c r="OYC73" s="800"/>
      <c r="OYD73" s="800"/>
      <c r="OYE73" s="800"/>
      <c r="OYF73" s="705"/>
      <c r="OYG73" s="799"/>
      <c r="OYH73" s="800"/>
      <c r="OYI73" s="800"/>
      <c r="OYJ73" s="800"/>
      <c r="OYK73" s="800"/>
      <c r="OYL73" s="800"/>
      <c r="OYM73" s="705"/>
      <c r="OYN73" s="799"/>
      <c r="OYO73" s="800"/>
      <c r="OYP73" s="800"/>
      <c r="OYQ73" s="800"/>
      <c r="OYR73" s="800"/>
      <c r="OYS73" s="800"/>
      <c r="OYT73" s="705"/>
      <c r="OYU73" s="799"/>
      <c r="OYV73" s="800"/>
      <c r="OYW73" s="800"/>
      <c r="OYX73" s="800"/>
      <c r="OYY73" s="800"/>
      <c r="OYZ73" s="800"/>
      <c r="OZA73" s="705"/>
      <c r="OZB73" s="799"/>
      <c r="OZC73" s="800"/>
      <c r="OZD73" s="800"/>
      <c r="OZE73" s="800"/>
      <c r="OZF73" s="800"/>
      <c r="OZG73" s="800"/>
      <c r="OZH73" s="705"/>
      <c r="OZI73" s="799"/>
      <c r="OZJ73" s="800"/>
      <c r="OZK73" s="800"/>
      <c r="OZL73" s="800"/>
      <c r="OZM73" s="800"/>
      <c r="OZN73" s="800"/>
      <c r="OZO73" s="705"/>
      <c r="OZP73" s="799"/>
      <c r="OZQ73" s="800"/>
      <c r="OZR73" s="800"/>
      <c r="OZS73" s="800"/>
      <c r="OZT73" s="800"/>
      <c r="OZU73" s="800"/>
      <c r="OZV73" s="705"/>
      <c r="OZW73" s="799"/>
      <c r="OZX73" s="800"/>
      <c r="OZY73" s="800"/>
      <c r="OZZ73" s="800"/>
      <c r="PAA73" s="800"/>
      <c r="PAB73" s="800"/>
      <c r="PAC73" s="705"/>
      <c r="PAD73" s="799"/>
      <c r="PAE73" s="800"/>
      <c r="PAF73" s="800"/>
      <c r="PAG73" s="800"/>
      <c r="PAH73" s="800"/>
      <c r="PAI73" s="800"/>
      <c r="PAJ73" s="705"/>
      <c r="PAK73" s="799"/>
      <c r="PAL73" s="800"/>
      <c r="PAM73" s="800"/>
      <c r="PAN73" s="800"/>
      <c r="PAO73" s="800"/>
      <c r="PAP73" s="800"/>
      <c r="PAQ73" s="705"/>
      <c r="PAR73" s="799"/>
      <c r="PAS73" s="800"/>
      <c r="PAT73" s="800"/>
      <c r="PAU73" s="800"/>
      <c r="PAV73" s="800"/>
      <c r="PAW73" s="800"/>
      <c r="PAX73" s="705"/>
      <c r="PAY73" s="799"/>
      <c r="PAZ73" s="800"/>
      <c r="PBA73" s="800"/>
      <c r="PBB73" s="800"/>
      <c r="PBC73" s="800"/>
      <c r="PBD73" s="800"/>
      <c r="PBE73" s="705"/>
      <c r="PBF73" s="799"/>
      <c r="PBG73" s="800"/>
      <c r="PBH73" s="800"/>
      <c r="PBI73" s="800"/>
      <c r="PBJ73" s="800"/>
      <c r="PBK73" s="800"/>
      <c r="PBL73" s="705"/>
      <c r="PBM73" s="799"/>
      <c r="PBN73" s="800"/>
      <c r="PBO73" s="800"/>
      <c r="PBP73" s="800"/>
      <c r="PBQ73" s="800"/>
      <c r="PBR73" s="800"/>
      <c r="PBS73" s="705"/>
      <c r="PBT73" s="799"/>
      <c r="PBU73" s="800"/>
      <c r="PBV73" s="800"/>
      <c r="PBW73" s="800"/>
      <c r="PBX73" s="800"/>
      <c r="PBY73" s="800"/>
      <c r="PBZ73" s="705"/>
      <c r="PCA73" s="799"/>
      <c r="PCB73" s="800"/>
      <c r="PCC73" s="800"/>
      <c r="PCD73" s="800"/>
      <c r="PCE73" s="800"/>
      <c r="PCF73" s="800"/>
      <c r="PCG73" s="705"/>
      <c r="PCH73" s="799"/>
      <c r="PCI73" s="800"/>
      <c r="PCJ73" s="800"/>
      <c r="PCK73" s="800"/>
      <c r="PCL73" s="800"/>
      <c r="PCM73" s="800"/>
      <c r="PCN73" s="705"/>
      <c r="PCO73" s="799"/>
      <c r="PCP73" s="800"/>
      <c r="PCQ73" s="800"/>
      <c r="PCR73" s="800"/>
      <c r="PCS73" s="800"/>
      <c r="PCT73" s="800"/>
      <c r="PCU73" s="705"/>
      <c r="PCV73" s="799"/>
      <c r="PCW73" s="800"/>
      <c r="PCX73" s="800"/>
      <c r="PCY73" s="800"/>
      <c r="PCZ73" s="800"/>
      <c r="PDA73" s="800"/>
      <c r="PDB73" s="705"/>
      <c r="PDC73" s="799"/>
      <c r="PDD73" s="800"/>
      <c r="PDE73" s="800"/>
      <c r="PDF73" s="800"/>
      <c r="PDG73" s="800"/>
      <c r="PDH73" s="800"/>
      <c r="PDI73" s="705"/>
      <c r="PDJ73" s="799"/>
      <c r="PDK73" s="800"/>
      <c r="PDL73" s="800"/>
      <c r="PDM73" s="800"/>
      <c r="PDN73" s="800"/>
      <c r="PDO73" s="800"/>
      <c r="PDP73" s="705"/>
      <c r="PDQ73" s="799"/>
      <c r="PDR73" s="800"/>
      <c r="PDS73" s="800"/>
      <c r="PDT73" s="800"/>
      <c r="PDU73" s="800"/>
      <c r="PDV73" s="800"/>
      <c r="PDW73" s="705"/>
      <c r="PDX73" s="799"/>
      <c r="PDY73" s="800"/>
      <c r="PDZ73" s="800"/>
      <c r="PEA73" s="800"/>
      <c r="PEB73" s="800"/>
      <c r="PEC73" s="800"/>
      <c r="PED73" s="705"/>
      <c r="PEE73" s="799"/>
      <c r="PEF73" s="800"/>
      <c r="PEG73" s="800"/>
      <c r="PEH73" s="800"/>
      <c r="PEI73" s="800"/>
      <c r="PEJ73" s="800"/>
      <c r="PEK73" s="705"/>
      <c r="PEL73" s="799"/>
      <c r="PEM73" s="800"/>
      <c r="PEN73" s="800"/>
      <c r="PEO73" s="800"/>
      <c r="PEP73" s="800"/>
      <c r="PEQ73" s="800"/>
      <c r="PER73" s="705"/>
      <c r="PES73" s="799"/>
      <c r="PET73" s="800"/>
      <c r="PEU73" s="800"/>
      <c r="PEV73" s="800"/>
      <c r="PEW73" s="800"/>
      <c r="PEX73" s="800"/>
      <c r="PEY73" s="705"/>
      <c r="PEZ73" s="799"/>
      <c r="PFA73" s="800"/>
      <c r="PFB73" s="800"/>
      <c r="PFC73" s="800"/>
      <c r="PFD73" s="800"/>
      <c r="PFE73" s="800"/>
      <c r="PFF73" s="705"/>
      <c r="PFG73" s="799"/>
      <c r="PFH73" s="800"/>
      <c r="PFI73" s="800"/>
      <c r="PFJ73" s="800"/>
      <c r="PFK73" s="800"/>
      <c r="PFL73" s="800"/>
      <c r="PFM73" s="705"/>
      <c r="PFN73" s="799"/>
      <c r="PFO73" s="800"/>
      <c r="PFP73" s="800"/>
      <c r="PFQ73" s="800"/>
      <c r="PFR73" s="800"/>
      <c r="PFS73" s="800"/>
      <c r="PFT73" s="705"/>
      <c r="PFU73" s="799"/>
      <c r="PFV73" s="800"/>
      <c r="PFW73" s="800"/>
      <c r="PFX73" s="800"/>
      <c r="PFY73" s="800"/>
      <c r="PFZ73" s="800"/>
      <c r="PGA73" s="705"/>
      <c r="PGB73" s="799"/>
      <c r="PGC73" s="800"/>
      <c r="PGD73" s="800"/>
      <c r="PGE73" s="800"/>
      <c r="PGF73" s="800"/>
      <c r="PGG73" s="800"/>
      <c r="PGH73" s="705"/>
      <c r="PGI73" s="799"/>
      <c r="PGJ73" s="800"/>
      <c r="PGK73" s="800"/>
      <c r="PGL73" s="800"/>
      <c r="PGM73" s="800"/>
      <c r="PGN73" s="800"/>
      <c r="PGO73" s="705"/>
      <c r="PGP73" s="799"/>
      <c r="PGQ73" s="800"/>
      <c r="PGR73" s="800"/>
      <c r="PGS73" s="800"/>
      <c r="PGT73" s="800"/>
      <c r="PGU73" s="800"/>
      <c r="PGV73" s="705"/>
      <c r="PGW73" s="799"/>
      <c r="PGX73" s="800"/>
      <c r="PGY73" s="800"/>
      <c r="PGZ73" s="800"/>
      <c r="PHA73" s="800"/>
      <c r="PHB73" s="800"/>
      <c r="PHC73" s="705"/>
      <c r="PHD73" s="799"/>
      <c r="PHE73" s="800"/>
      <c r="PHF73" s="800"/>
      <c r="PHG73" s="800"/>
      <c r="PHH73" s="800"/>
      <c r="PHI73" s="800"/>
      <c r="PHJ73" s="705"/>
      <c r="PHK73" s="799"/>
      <c r="PHL73" s="800"/>
      <c r="PHM73" s="800"/>
      <c r="PHN73" s="800"/>
      <c r="PHO73" s="800"/>
      <c r="PHP73" s="800"/>
      <c r="PHQ73" s="705"/>
      <c r="PHR73" s="799"/>
      <c r="PHS73" s="800"/>
      <c r="PHT73" s="800"/>
      <c r="PHU73" s="800"/>
      <c r="PHV73" s="800"/>
      <c r="PHW73" s="800"/>
      <c r="PHX73" s="705"/>
      <c r="PHY73" s="799"/>
      <c r="PHZ73" s="800"/>
      <c r="PIA73" s="800"/>
      <c r="PIB73" s="800"/>
      <c r="PIC73" s="800"/>
      <c r="PID73" s="800"/>
      <c r="PIE73" s="705"/>
      <c r="PIF73" s="799"/>
      <c r="PIG73" s="800"/>
      <c r="PIH73" s="800"/>
      <c r="PII73" s="800"/>
      <c r="PIJ73" s="800"/>
      <c r="PIK73" s="800"/>
      <c r="PIL73" s="705"/>
      <c r="PIM73" s="799"/>
      <c r="PIN73" s="800"/>
      <c r="PIO73" s="800"/>
      <c r="PIP73" s="800"/>
      <c r="PIQ73" s="800"/>
      <c r="PIR73" s="800"/>
      <c r="PIS73" s="705"/>
      <c r="PIT73" s="799"/>
      <c r="PIU73" s="800"/>
      <c r="PIV73" s="800"/>
      <c r="PIW73" s="800"/>
      <c r="PIX73" s="800"/>
      <c r="PIY73" s="800"/>
      <c r="PIZ73" s="705"/>
      <c r="PJA73" s="799"/>
      <c r="PJB73" s="800"/>
      <c r="PJC73" s="800"/>
      <c r="PJD73" s="800"/>
      <c r="PJE73" s="800"/>
      <c r="PJF73" s="800"/>
      <c r="PJG73" s="705"/>
      <c r="PJH73" s="799"/>
      <c r="PJI73" s="800"/>
      <c r="PJJ73" s="800"/>
      <c r="PJK73" s="800"/>
      <c r="PJL73" s="800"/>
      <c r="PJM73" s="800"/>
      <c r="PJN73" s="705"/>
      <c r="PJO73" s="799"/>
      <c r="PJP73" s="800"/>
      <c r="PJQ73" s="800"/>
      <c r="PJR73" s="800"/>
      <c r="PJS73" s="800"/>
      <c r="PJT73" s="800"/>
      <c r="PJU73" s="705"/>
      <c r="PJV73" s="799"/>
      <c r="PJW73" s="800"/>
      <c r="PJX73" s="800"/>
      <c r="PJY73" s="800"/>
      <c r="PJZ73" s="800"/>
      <c r="PKA73" s="800"/>
      <c r="PKB73" s="705"/>
      <c r="PKC73" s="799"/>
      <c r="PKD73" s="800"/>
      <c r="PKE73" s="800"/>
      <c r="PKF73" s="800"/>
      <c r="PKG73" s="800"/>
      <c r="PKH73" s="800"/>
      <c r="PKI73" s="705"/>
      <c r="PKJ73" s="799"/>
      <c r="PKK73" s="800"/>
      <c r="PKL73" s="800"/>
      <c r="PKM73" s="800"/>
      <c r="PKN73" s="800"/>
      <c r="PKO73" s="800"/>
      <c r="PKP73" s="705"/>
      <c r="PKQ73" s="799"/>
      <c r="PKR73" s="800"/>
      <c r="PKS73" s="800"/>
      <c r="PKT73" s="800"/>
      <c r="PKU73" s="800"/>
      <c r="PKV73" s="800"/>
      <c r="PKW73" s="705"/>
      <c r="PKX73" s="799"/>
      <c r="PKY73" s="800"/>
      <c r="PKZ73" s="800"/>
      <c r="PLA73" s="800"/>
      <c r="PLB73" s="800"/>
      <c r="PLC73" s="800"/>
      <c r="PLD73" s="705"/>
      <c r="PLE73" s="799"/>
      <c r="PLF73" s="800"/>
      <c r="PLG73" s="800"/>
      <c r="PLH73" s="800"/>
      <c r="PLI73" s="800"/>
      <c r="PLJ73" s="800"/>
      <c r="PLK73" s="705"/>
      <c r="PLL73" s="799"/>
      <c r="PLM73" s="800"/>
      <c r="PLN73" s="800"/>
      <c r="PLO73" s="800"/>
      <c r="PLP73" s="800"/>
      <c r="PLQ73" s="800"/>
      <c r="PLR73" s="705"/>
      <c r="PLS73" s="799"/>
      <c r="PLT73" s="800"/>
      <c r="PLU73" s="800"/>
      <c r="PLV73" s="800"/>
      <c r="PLW73" s="800"/>
      <c r="PLX73" s="800"/>
      <c r="PLY73" s="705"/>
      <c r="PLZ73" s="799"/>
      <c r="PMA73" s="800"/>
      <c r="PMB73" s="800"/>
      <c r="PMC73" s="800"/>
      <c r="PMD73" s="800"/>
      <c r="PME73" s="800"/>
      <c r="PMF73" s="705"/>
      <c r="PMG73" s="799"/>
      <c r="PMH73" s="800"/>
      <c r="PMI73" s="800"/>
      <c r="PMJ73" s="800"/>
      <c r="PMK73" s="800"/>
      <c r="PML73" s="800"/>
      <c r="PMM73" s="705"/>
      <c r="PMN73" s="799"/>
      <c r="PMO73" s="800"/>
      <c r="PMP73" s="800"/>
      <c r="PMQ73" s="800"/>
      <c r="PMR73" s="800"/>
      <c r="PMS73" s="800"/>
      <c r="PMT73" s="705"/>
      <c r="PMU73" s="799"/>
      <c r="PMV73" s="800"/>
      <c r="PMW73" s="800"/>
      <c r="PMX73" s="800"/>
      <c r="PMY73" s="800"/>
      <c r="PMZ73" s="800"/>
      <c r="PNA73" s="705"/>
      <c r="PNB73" s="799"/>
      <c r="PNC73" s="800"/>
      <c r="PND73" s="800"/>
      <c r="PNE73" s="800"/>
      <c r="PNF73" s="800"/>
      <c r="PNG73" s="800"/>
      <c r="PNH73" s="705"/>
      <c r="PNI73" s="799"/>
      <c r="PNJ73" s="800"/>
      <c r="PNK73" s="800"/>
      <c r="PNL73" s="800"/>
      <c r="PNM73" s="800"/>
      <c r="PNN73" s="800"/>
      <c r="PNO73" s="705"/>
      <c r="PNP73" s="799"/>
      <c r="PNQ73" s="800"/>
      <c r="PNR73" s="800"/>
      <c r="PNS73" s="800"/>
      <c r="PNT73" s="800"/>
      <c r="PNU73" s="800"/>
      <c r="PNV73" s="705"/>
      <c r="PNW73" s="799"/>
      <c r="PNX73" s="800"/>
      <c r="PNY73" s="800"/>
      <c r="PNZ73" s="800"/>
      <c r="POA73" s="800"/>
      <c r="POB73" s="800"/>
      <c r="POC73" s="705"/>
      <c r="POD73" s="799"/>
      <c r="POE73" s="800"/>
      <c r="POF73" s="800"/>
      <c r="POG73" s="800"/>
      <c r="POH73" s="800"/>
      <c r="POI73" s="800"/>
      <c r="POJ73" s="705"/>
      <c r="POK73" s="799"/>
      <c r="POL73" s="800"/>
      <c r="POM73" s="800"/>
      <c r="PON73" s="800"/>
      <c r="POO73" s="800"/>
      <c r="POP73" s="800"/>
      <c r="POQ73" s="705"/>
      <c r="POR73" s="799"/>
      <c r="POS73" s="800"/>
      <c r="POT73" s="800"/>
      <c r="POU73" s="800"/>
      <c r="POV73" s="800"/>
      <c r="POW73" s="800"/>
      <c r="POX73" s="705"/>
      <c r="POY73" s="799"/>
      <c r="POZ73" s="800"/>
      <c r="PPA73" s="800"/>
      <c r="PPB73" s="800"/>
      <c r="PPC73" s="800"/>
      <c r="PPD73" s="800"/>
      <c r="PPE73" s="705"/>
      <c r="PPF73" s="799"/>
      <c r="PPG73" s="800"/>
      <c r="PPH73" s="800"/>
      <c r="PPI73" s="800"/>
      <c r="PPJ73" s="800"/>
      <c r="PPK73" s="800"/>
      <c r="PPL73" s="705"/>
      <c r="PPM73" s="799"/>
      <c r="PPN73" s="800"/>
      <c r="PPO73" s="800"/>
      <c r="PPP73" s="800"/>
      <c r="PPQ73" s="800"/>
      <c r="PPR73" s="800"/>
      <c r="PPS73" s="705"/>
      <c r="PPT73" s="799"/>
      <c r="PPU73" s="800"/>
      <c r="PPV73" s="800"/>
      <c r="PPW73" s="800"/>
      <c r="PPX73" s="800"/>
      <c r="PPY73" s="800"/>
      <c r="PPZ73" s="705"/>
      <c r="PQA73" s="799"/>
      <c r="PQB73" s="800"/>
      <c r="PQC73" s="800"/>
      <c r="PQD73" s="800"/>
      <c r="PQE73" s="800"/>
      <c r="PQF73" s="800"/>
      <c r="PQG73" s="705"/>
      <c r="PQH73" s="799"/>
      <c r="PQI73" s="800"/>
      <c r="PQJ73" s="800"/>
      <c r="PQK73" s="800"/>
      <c r="PQL73" s="800"/>
      <c r="PQM73" s="800"/>
      <c r="PQN73" s="705"/>
      <c r="PQO73" s="799"/>
      <c r="PQP73" s="800"/>
      <c r="PQQ73" s="800"/>
      <c r="PQR73" s="800"/>
      <c r="PQS73" s="800"/>
      <c r="PQT73" s="800"/>
      <c r="PQU73" s="705"/>
      <c r="PQV73" s="799"/>
      <c r="PQW73" s="800"/>
      <c r="PQX73" s="800"/>
      <c r="PQY73" s="800"/>
      <c r="PQZ73" s="800"/>
      <c r="PRA73" s="800"/>
      <c r="PRB73" s="705"/>
      <c r="PRC73" s="799"/>
      <c r="PRD73" s="800"/>
      <c r="PRE73" s="800"/>
      <c r="PRF73" s="800"/>
      <c r="PRG73" s="800"/>
      <c r="PRH73" s="800"/>
      <c r="PRI73" s="705"/>
      <c r="PRJ73" s="799"/>
      <c r="PRK73" s="800"/>
      <c r="PRL73" s="800"/>
      <c r="PRM73" s="800"/>
      <c r="PRN73" s="800"/>
      <c r="PRO73" s="800"/>
      <c r="PRP73" s="705"/>
      <c r="PRQ73" s="799"/>
      <c r="PRR73" s="800"/>
      <c r="PRS73" s="800"/>
      <c r="PRT73" s="800"/>
      <c r="PRU73" s="800"/>
      <c r="PRV73" s="800"/>
      <c r="PRW73" s="705"/>
      <c r="PRX73" s="799"/>
      <c r="PRY73" s="800"/>
      <c r="PRZ73" s="800"/>
      <c r="PSA73" s="800"/>
      <c r="PSB73" s="800"/>
      <c r="PSC73" s="800"/>
      <c r="PSD73" s="705"/>
      <c r="PSE73" s="799"/>
      <c r="PSF73" s="800"/>
      <c r="PSG73" s="800"/>
      <c r="PSH73" s="800"/>
      <c r="PSI73" s="800"/>
      <c r="PSJ73" s="800"/>
      <c r="PSK73" s="705"/>
      <c r="PSL73" s="799"/>
      <c r="PSM73" s="800"/>
      <c r="PSN73" s="800"/>
      <c r="PSO73" s="800"/>
      <c r="PSP73" s="800"/>
      <c r="PSQ73" s="800"/>
      <c r="PSR73" s="705"/>
      <c r="PSS73" s="799"/>
      <c r="PST73" s="800"/>
      <c r="PSU73" s="800"/>
      <c r="PSV73" s="800"/>
      <c r="PSW73" s="800"/>
      <c r="PSX73" s="800"/>
      <c r="PSY73" s="705"/>
      <c r="PSZ73" s="799"/>
      <c r="PTA73" s="800"/>
      <c r="PTB73" s="800"/>
      <c r="PTC73" s="800"/>
      <c r="PTD73" s="800"/>
      <c r="PTE73" s="800"/>
      <c r="PTF73" s="705"/>
      <c r="PTG73" s="799"/>
      <c r="PTH73" s="800"/>
      <c r="PTI73" s="800"/>
      <c r="PTJ73" s="800"/>
      <c r="PTK73" s="800"/>
      <c r="PTL73" s="800"/>
      <c r="PTM73" s="705"/>
      <c r="PTN73" s="799"/>
      <c r="PTO73" s="800"/>
      <c r="PTP73" s="800"/>
      <c r="PTQ73" s="800"/>
      <c r="PTR73" s="800"/>
      <c r="PTS73" s="800"/>
      <c r="PTT73" s="705"/>
      <c r="PTU73" s="799"/>
      <c r="PTV73" s="800"/>
      <c r="PTW73" s="800"/>
      <c r="PTX73" s="800"/>
      <c r="PTY73" s="800"/>
      <c r="PTZ73" s="800"/>
      <c r="PUA73" s="705"/>
      <c r="PUB73" s="799"/>
      <c r="PUC73" s="800"/>
      <c r="PUD73" s="800"/>
      <c r="PUE73" s="800"/>
      <c r="PUF73" s="800"/>
      <c r="PUG73" s="800"/>
      <c r="PUH73" s="705"/>
      <c r="PUI73" s="799"/>
      <c r="PUJ73" s="800"/>
      <c r="PUK73" s="800"/>
      <c r="PUL73" s="800"/>
      <c r="PUM73" s="800"/>
      <c r="PUN73" s="800"/>
      <c r="PUO73" s="705"/>
      <c r="PUP73" s="799"/>
      <c r="PUQ73" s="800"/>
      <c r="PUR73" s="800"/>
      <c r="PUS73" s="800"/>
      <c r="PUT73" s="800"/>
      <c r="PUU73" s="800"/>
      <c r="PUV73" s="705"/>
      <c r="PUW73" s="799"/>
      <c r="PUX73" s="800"/>
      <c r="PUY73" s="800"/>
      <c r="PUZ73" s="800"/>
      <c r="PVA73" s="800"/>
      <c r="PVB73" s="800"/>
      <c r="PVC73" s="705"/>
      <c r="PVD73" s="799"/>
      <c r="PVE73" s="800"/>
      <c r="PVF73" s="800"/>
      <c r="PVG73" s="800"/>
      <c r="PVH73" s="800"/>
      <c r="PVI73" s="800"/>
      <c r="PVJ73" s="705"/>
      <c r="PVK73" s="799"/>
      <c r="PVL73" s="800"/>
      <c r="PVM73" s="800"/>
      <c r="PVN73" s="800"/>
      <c r="PVO73" s="800"/>
      <c r="PVP73" s="800"/>
      <c r="PVQ73" s="705"/>
      <c r="PVR73" s="799"/>
      <c r="PVS73" s="800"/>
      <c r="PVT73" s="800"/>
      <c r="PVU73" s="800"/>
      <c r="PVV73" s="800"/>
      <c r="PVW73" s="800"/>
      <c r="PVX73" s="705"/>
      <c r="PVY73" s="799"/>
      <c r="PVZ73" s="800"/>
      <c r="PWA73" s="800"/>
      <c r="PWB73" s="800"/>
      <c r="PWC73" s="800"/>
      <c r="PWD73" s="800"/>
      <c r="PWE73" s="705"/>
      <c r="PWF73" s="799"/>
      <c r="PWG73" s="800"/>
      <c r="PWH73" s="800"/>
      <c r="PWI73" s="800"/>
      <c r="PWJ73" s="800"/>
      <c r="PWK73" s="800"/>
      <c r="PWL73" s="705"/>
      <c r="PWM73" s="799"/>
      <c r="PWN73" s="800"/>
      <c r="PWO73" s="800"/>
      <c r="PWP73" s="800"/>
      <c r="PWQ73" s="800"/>
      <c r="PWR73" s="800"/>
      <c r="PWS73" s="705"/>
      <c r="PWT73" s="799"/>
      <c r="PWU73" s="800"/>
      <c r="PWV73" s="800"/>
      <c r="PWW73" s="800"/>
      <c r="PWX73" s="800"/>
      <c r="PWY73" s="800"/>
      <c r="PWZ73" s="705"/>
      <c r="PXA73" s="799"/>
      <c r="PXB73" s="800"/>
      <c r="PXC73" s="800"/>
      <c r="PXD73" s="800"/>
      <c r="PXE73" s="800"/>
      <c r="PXF73" s="800"/>
      <c r="PXG73" s="705"/>
      <c r="PXH73" s="799"/>
      <c r="PXI73" s="800"/>
      <c r="PXJ73" s="800"/>
      <c r="PXK73" s="800"/>
      <c r="PXL73" s="800"/>
      <c r="PXM73" s="800"/>
      <c r="PXN73" s="705"/>
      <c r="PXO73" s="799"/>
      <c r="PXP73" s="800"/>
      <c r="PXQ73" s="800"/>
      <c r="PXR73" s="800"/>
      <c r="PXS73" s="800"/>
      <c r="PXT73" s="800"/>
      <c r="PXU73" s="705"/>
      <c r="PXV73" s="799"/>
      <c r="PXW73" s="800"/>
      <c r="PXX73" s="800"/>
      <c r="PXY73" s="800"/>
      <c r="PXZ73" s="800"/>
      <c r="PYA73" s="800"/>
      <c r="PYB73" s="705"/>
      <c r="PYC73" s="799"/>
      <c r="PYD73" s="800"/>
      <c r="PYE73" s="800"/>
      <c r="PYF73" s="800"/>
      <c r="PYG73" s="800"/>
      <c r="PYH73" s="800"/>
      <c r="PYI73" s="705"/>
      <c r="PYJ73" s="799"/>
      <c r="PYK73" s="800"/>
      <c r="PYL73" s="800"/>
      <c r="PYM73" s="800"/>
      <c r="PYN73" s="800"/>
      <c r="PYO73" s="800"/>
      <c r="PYP73" s="705"/>
      <c r="PYQ73" s="799"/>
      <c r="PYR73" s="800"/>
      <c r="PYS73" s="800"/>
      <c r="PYT73" s="800"/>
      <c r="PYU73" s="800"/>
      <c r="PYV73" s="800"/>
      <c r="PYW73" s="705"/>
      <c r="PYX73" s="799"/>
      <c r="PYY73" s="800"/>
      <c r="PYZ73" s="800"/>
      <c r="PZA73" s="800"/>
      <c r="PZB73" s="800"/>
      <c r="PZC73" s="800"/>
      <c r="PZD73" s="705"/>
      <c r="PZE73" s="799"/>
      <c r="PZF73" s="800"/>
      <c r="PZG73" s="800"/>
      <c r="PZH73" s="800"/>
      <c r="PZI73" s="800"/>
      <c r="PZJ73" s="800"/>
      <c r="PZK73" s="705"/>
      <c r="PZL73" s="799"/>
      <c r="PZM73" s="800"/>
      <c r="PZN73" s="800"/>
      <c r="PZO73" s="800"/>
      <c r="PZP73" s="800"/>
      <c r="PZQ73" s="800"/>
      <c r="PZR73" s="705"/>
      <c r="PZS73" s="799"/>
      <c r="PZT73" s="800"/>
      <c r="PZU73" s="800"/>
      <c r="PZV73" s="800"/>
      <c r="PZW73" s="800"/>
      <c r="PZX73" s="800"/>
      <c r="PZY73" s="705"/>
      <c r="PZZ73" s="799"/>
      <c r="QAA73" s="800"/>
      <c r="QAB73" s="800"/>
      <c r="QAC73" s="800"/>
      <c r="QAD73" s="800"/>
      <c r="QAE73" s="800"/>
      <c r="QAF73" s="705"/>
      <c r="QAG73" s="799"/>
      <c r="QAH73" s="800"/>
      <c r="QAI73" s="800"/>
      <c r="QAJ73" s="800"/>
      <c r="QAK73" s="800"/>
      <c r="QAL73" s="800"/>
      <c r="QAM73" s="705"/>
      <c r="QAN73" s="799"/>
      <c r="QAO73" s="800"/>
      <c r="QAP73" s="800"/>
      <c r="QAQ73" s="800"/>
      <c r="QAR73" s="800"/>
      <c r="QAS73" s="800"/>
      <c r="QAT73" s="705"/>
      <c r="QAU73" s="799"/>
      <c r="QAV73" s="800"/>
      <c r="QAW73" s="800"/>
      <c r="QAX73" s="800"/>
      <c r="QAY73" s="800"/>
      <c r="QAZ73" s="800"/>
      <c r="QBA73" s="705"/>
      <c r="QBB73" s="799"/>
      <c r="QBC73" s="800"/>
      <c r="QBD73" s="800"/>
      <c r="QBE73" s="800"/>
      <c r="QBF73" s="800"/>
      <c r="QBG73" s="800"/>
      <c r="QBH73" s="705"/>
      <c r="QBI73" s="799"/>
      <c r="QBJ73" s="800"/>
      <c r="QBK73" s="800"/>
      <c r="QBL73" s="800"/>
      <c r="QBM73" s="800"/>
      <c r="QBN73" s="800"/>
      <c r="QBO73" s="705"/>
      <c r="QBP73" s="799"/>
      <c r="QBQ73" s="800"/>
      <c r="QBR73" s="800"/>
      <c r="QBS73" s="800"/>
      <c r="QBT73" s="800"/>
      <c r="QBU73" s="800"/>
      <c r="QBV73" s="705"/>
      <c r="QBW73" s="799"/>
      <c r="QBX73" s="800"/>
      <c r="QBY73" s="800"/>
      <c r="QBZ73" s="800"/>
      <c r="QCA73" s="800"/>
      <c r="QCB73" s="800"/>
      <c r="QCC73" s="705"/>
      <c r="QCD73" s="799"/>
      <c r="QCE73" s="800"/>
      <c r="QCF73" s="800"/>
      <c r="QCG73" s="800"/>
      <c r="QCH73" s="800"/>
      <c r="QCI73" s="800"/>
      <c r="QCJ73" s="705"/>
      <c r="QCK73" s="799"/>
      <c r="QCL73" s="800"/>
      <c r="QCM73" s="800"/>
      <c r="QCN73" s="800"/>
      <c r="QCO73" s="800"/>
      <c r="QCP73" s="800"/>
      <c r="QCQ73" s="705"/>
      <c r="QCR73" s="799"/>
      <c r="QCS73" s="800"/>
      <c r="QCT73" s="800"/>
      <c r="QCU73" s="800"/>
      <c r="QCV73" s="800"/>
      <c r="QCW73" s="800"/>
      <c r="QCX73" s="705"/>
      <c r="QCY73" s="799"/>
      <c r="QCZ73" s="800"/>
      <c r="QDA73" s="800"/>
      <c r="QDB73" s="800"/>
      <c r="QDC73" s="800"/>
      <c r="QDD73" s="800"/>
      <c r="QDE73" s="705"/>
      <c r="QDF73" s="799"/>
      <c r="QDG73" s="800"/>
      <c r="QDH73" s="800"/>
      <c r="QDI73" s="800"/>
      <c r="QDJ73" s="800"/>
      <c r="QDK73" s="800"/>
      <c r="QDL73" s="705"/>
      <c r="QDM73" s="799"/>
      <c r="QDN73" s="800"/>
      <c r="QDO73" s="800"/>
      <c r="QDP73" s="800"/>
      <c r="QDQ73" s="800"/>
      <c r="QDR73" s="800"/>
      <c r="QDS73" s="705"/>
      <c r="QDT73" s="799"/>
      <c r="QDU73" s="800"/>
      <c r="QDV73" s="800"/>
      <c r="QDW73" s="800"/>
      <c r="QDX73" s="800"/>
      <c r="QDY73" s="800"/>
      <c r="QDZ73" s="705"/>
      <c r="QEA73" s="799"/>
      <c r="QEB73" s="800"/>
      <c r="QEC73" s="800"/>
      <c r="QED73" s="800"/>
      <c r="QEE73" s="800"/>
      <c r="QEF73" s="800"/>
      <c r="QEG73" s="705"/>
      <c r="QEH73" s="799"/>
      <c r="QEI73" s="800"/>
      <c r="QEJ73" s="800"/>
      <c r="QEK73" s="800"/>
      <c r="QEL73" s="800"/>
      <c r="QEM73" s="800"/>
      <c r="QEN73" s="705"/>
      <c r="QEO73" s="799"/>
      <c r="QEP73" s="800"/>
      <c r="QEQ73" s="800"/>
      <c r="QER73" s="800"/>
      <c r="QES73" s="800"/>
      <c r="QET73" s="800"/>
      <c r="QEU73" s="705"/>
      <c r="QEV73" s="799"/>
      <c r="QEW73" s="800"/>
      <c r="QEX73" s="800"/>
      <c r="QEY73" s="800"/>
      <c r="QEZ73" s="800"/>
      <c r="QFA73" s="800"/>
      <c r="QFB73" s="705"/>
      <c r="QFC73" s="799"/>
      <c r="QFD73" s="800"/>
      <c r="QFE73" s="800"/>
      <c r="QFF73" s="800"/>
      <c r="QFG73" s="800"/>
      <c r="QFH73" s="800"/>
      <c r="QFI73" s="705"/>
      <c r="QFJ73" s="799"/>
      <c r="QFK73" s="800"/>
      <c r="QFL73" s="800"/>
      <c r="QFM73" s="800"/>
      <c r="QFN73" s="800"/>
      <c r="QFO73" s="800"/>
      <c r="QFP73" s="705"/>
      <c r="QFQ73" s="799"/>
      <c r="QFR73" s="800"/>
      <c r="QFS73" s="800"/>
      <c r="QFT73" s="800"/>
      <c r="QFU73" s="800"/>
      <c r="QFV73" s="800"/>
      <c r="QFW73" s="705"/>
      <c r="QFX73" s="799"/>
      <c r="QFY73" s="800"/>
      <c r="QFZ73" s="800"/>
      <c r="QGA73" s="800"/>
      <c r="QGB73" s="800"/>
      <c r="QGC73" s="800"/>
      <c r="QGD73" s="705"/>
      <c r="QGE73" s="799"/>
      <c r="QGF73" s="800"/>
      <c r="QGG73" s="800"/>
      <c r="QGH73" s="800"/>
      <c r="QGI73" s="800"/>
      <c r="QGJ73" s="800"/>
      <c r="QGK73" s="705"/>
      <c r="QGL73" s="799"/>
      <c r="QGM73" s="800"/>
      <c r="QGN73" s="800"/>
      <c r="QGO73" s="800"/>
      <c r="QGP73" s="800"/>
      <c r="QGQ73" s="800"/>
      <c r="QGR73" s="705"/>
      <c r="QGS73" s="799"/>
      <c r="QGT73" s="800"/>
      <c r="QGU73" s="800"/>
      <c r="QGV73" s="800"/>
      <c r="QGW73" s="800"/>
      <c r="QGX73" s="800"/>
      <c r="QGY73" s="705"/>
      <c r="QGZ73" s="799"/>
      <c r="QHA73" s="800"/>
      <c r="QHB73" s="800"/>
      <c r="QHC73" s="800"/>
      <c r="QHD73" s="800"/>
      <c r="QHE73" s="800"/>
      <c r="QHF73" s="705"/>
      <c r="QHG73" s="799"/>
      <c r="QHH73" s="800"/>
      <c r="QHI73" s="800"/>
      <c r="QHJ73" s="800"/>
      <c r="QHK73" s="800"/>
      <c r="QHL73" s="800"/>
      <c r="QHM73" s="705"/>
      <c r="QHN73" s="799"/>
      <c r="QHO73" s="800"/>
      <c r="QHP73" s="800"/>
      <c r="QHQ73" s="800"/>
      <c r="QHR73" s="800"/>
      <c r="QHS73" s="800"/>
      <c r="QHT73" s="705"/>
      <c r="QHU73" s="799"/>
      <c r="QHV73" s="800"/>
      <c r="QHW73" s="800"/>
      <c r="QHX73" s="800"/>
      <c r="QHY73" s="800"/>
      <c r="QHZ73" s="800"/>
      <c r="QIA73" s="705"/>
      <c r="QIB73" s="799"/>
      <c r="QIC73" s="800"/>
      <c r="QID73" s="800"/>
      <c r="QIE73" s="800"/>
      <c r="QIF73" s="800"/>
      <c r="QIG73" s="800"/>
      <c r="QIH73" s="705"/>
      <c r="QII73" s="799"/>
      <c r="QIJ73" s="800"/>
      <c r="QIK73" s="800"/>
      <c r="QIL73" s="800"/>
      <c r="QIM73" s="800"/>
      <c r="QIN73" s="800"/>
      <c r="QIO73" s="705"/>
      <c r="QIP73" s="799"/>
      <c r="QIQ73" s="800"/>
      <c r="QIR73" s="800"/>
      <c r="QIS73" s="800"/>
      <c r="QIT73" s="800"/>
      <c r="QIU73" s="800"/>
      <c r="QIV73" s="705"/>
      <c r="QIW73" s="799"/>
      <c r="QIX73" s="800"/>
      <c r="QIY73" s="800"/>
      <c r="QIZ73" s="800"/>
      <c r="QJA73" s="800"/>
      <c r="QJB73" s="800"/>
      <c r="QJC73" s="705"/>
      <c r="QJD73" s="799"/>
      <c r="QJE73" s="800"/>
      <c r="QJF73" s="800"/>
      <c r="QJG73" s="800"/>
      <c r="QJH73" s="800"/>
      <c r="QJI73" s="800"/>
      <c r="QJJ73" s="705"/>
      <c r="QJK73" s="799"/>
      <c r="QJL73" s="800"/>
      <c r="QJM73" s="800"/>
      <c r="QJN73" s="800"/>
      <c r="QJO73" s="800"/>
      <c r="QJP73" s="800"/>
      <c r="QJQ73" s="705"/>
      <c r="QJR73" s="799"/>
      <c r="QJS73" s="800"/>
      <c r="QJT73" s="800"/>
      <c r="QJU73" s="800"/>
      <c r="QJV73" s="800"/>
      <c r="QJW73" s="800"/>
      <c r="QJX73" s="705"/>
      <c r="QJY73" s="799"/>
      <c r="QJZ73" s="800"/>
      <c r="QKA73" s="800"/>
      <c r="QKB73" s="800"/>
      <c r="QKC73" s="800"/>
      <c r="QKD73" s="800"/>
      <c r="QKE73" s="705"/>
      <c r="QKF73" s="799"/>
      <c r="QKG73" s="800"/>
      <c r="QKH73" s="800"/>
      <c r="QKI73" s="800"/>
      <c r="QKJ73" s="800"/>
      <c r="QKK73" s="800"/>
      <c r="QKL73" s="705"/>
      <c r="QKM73" s="799"/>
      <c r="QKN73" s="800"/>
      <c r="QKO73" s="800"/>
      <c r="QKP73" s="800"/>
      <c r="QKQ73" s="800"/>
      <c r="QKR73" s="800"/>
      <c r="QKS73" s="705"/>
      <c r="QKT73" s="799"/>
      <c r="QKU73" s="800"/>
      <c r="QKV73" s="800"/>
      <c r="QKW73" s="800"/>
      <c r="QKX73" s="800"/>
      <c r="QKY73" s="800"/>
      <c r="QKZ73" s="705"/>
      <c r="QLA73" s="799"/>
      <c r="QLB73" s="800"/>
      <c r="QLC73" s="800"/>
      <c r="QLD73" s="800"/>
      <c r="QLE73" s="800"/>
      <c r="QLF73" s="800"/>
      <c r="QLG73" s="705"/>
      <c r="QLH73" s="799"/>
      <c r="QLI73" s="800"/>
      <c r="QLJ73" s="800"/>
      <c r="QLK73" s="800"/>
      <c r="QLL73" s="800"/>
      <c r="QLM73" s="800"/>
      <c r="QLN73" s="705"/>
      <c r="QLO73" s="799"/>
      <c r="QLP73" s="800"/>
      <c r="QLQ73" s="800"/>
      <c r="QLR73" s="800"/>
      <c r="QLS73" s="800"/>
      <c r="QLT73" s="800"/>
      <c r="QLU73" s="705"/>
      <c r="QLV73" s="799"/>
      <c r="QLW73" s="800"/>
      <c r="QLX73" s="800"/>
      <c r="QLY73" s="800"/>
      <c r="QLZ73" s="800"/>
      <c r="QMA73" s="800"/>
      <c r="QMB73" s="705"/>
      <c r="QMC73" s="799"/>
      <c r="QMD73" s="800"/>
      <c r="QME73" s="800"/>
      <c r="QMF73" s="800"/>
      <c r="QMG73" s="800"/>
      <c r="QMH73" s="800"/>
      <c r="QMI73" s="705"/>
      <c r="QMJ73" s="799"/>
      <c r="QMK73" s="800"/>
      <c r="QML73" s="800"/>
      <c r="QMM73" s="800"/>
      <c r="QMN73" s="800"/>
      <c r="QMO73" s="800"/>
      <c r="QMP73" s="705"/>
      <c r="QMQ73" s="799"/>
      <c r="QMR73" s="800"/>
      <c r="QMS73" s="800"/>
      <c r="QMT73" s="800"/>
      <c r="QMU73" s="800"/>
      <c r="QMV73" s="800"/>
      <c r="QMW73" s="705"/>
      <c r="QMX73" s="799"/>
      <c r="QMY73" s="800"/>
      <c r="QMZ73" s="800"/>
      <c r="QNA73" s="800"/>
      <c r="QNB73" s="800"/>
      <c r="QNC73" s="800"/>
      <c r="QND73" s="705"/>
      <c r="QNE73" s="799"/>
      <c r="QNF73" s="800"/>
      <c r="QNG73" s="800"/>
      <c r="QNH73" s="800"/>
      <c r="QNI73" s="800"/>
      <c r="QNJ73" s="800"/>
      <c r="QNK73" s="705"/>
      <c r="QNL73" s="799"/>
      <c r="QNM73" s="800"/>
      <c r="QNN73" s="800"/>
      <c r="QNO73" s="800"/>
      <c r="QNP73" s="800"/>
      <c r="QNQ73" s="800"/>
      <c r="QNR73" s="705"/>
      <c r="QNS73" s="799"/>
      <c r="QNT73" s="800"/>
      <c r="QNU73" s="800"/>
      <c r="QNV73" s="800"/>
      <c r="QNW73" s="800"/>
      <c r="QNX73" s="800"/>
      <c r="QNY73" s="705"/>
      <c r="QNZ73" s="799"/>
      <c r="QOA73" s="800"/>
      <c r="QOB73" s="800"/>
      <c r="QOC73" s="800"/>
      <c r="QOD73" s="800"/>
      <c r="QOE73" s="800"/>
      <c r="QOF73" s="705"/>
      <c r="QOG73" s="799"/>
      <c r="QOH73" s="800"/>
      <c r="QOI73" s="800"/>
      <c r="QOJ73" s="800"/>
      <c r="QOK73" s="800"/>
      <c r="QOL73" s="800"/>
      <c r="QOM73" s="705"/>
      <c r="QON73" s="799"/>
      <c r="QOO73" s="800"/>
      <c r="QOP73" s="800"/>
      <c r="QOQ73" s="800"/>
      <c r="QOR73" s="800"/>
      <c r="QOS73" s="800"/>
      <c r="QOT73" s="705"/>
      <c r="QOU73" s="799"/>
      <c r="QOV73" s="800"/>
      <c r="QOW73" s="800"/>
      <c r="QOX73" s="800"/>
      <c r="QOY73" s="800"/>
      <c r="QOZ73" s="800"/>
      <c r="QPA73" s="705"/>
      <c r="QPB73" s="799"/>
      <c r="QPC73" s="800"/>
      <c r="QPD73" s="800"/>
      <c r="QPE73" s="800"/>
      <c r="QPF73" s="800"/>
      <c r="QPG73" s="800"/>
      <c r="QPH73" s="705"/>
      <c r="QPI73" s="799"/>
      <c r="QPJ73" s="800"/>
      <c r="QPK73" s="800"/>
      <c r="QPL73" s="800"/>
      <c r="QPM73" s="800"/>
      <c r="QPN73" s="800"/>
      <c r="QPO73" s="705"/>
      <c r="QPP73" s="799"/>
      <c r="QPQ73" s="800"/>
      <c r="QPR73" s="800"/>
      <c r="QPS73" s="800"/>
      <c r="QPT73" s="800"/>
      <c r="QPU73" s="800"/>
      <c r="QPV73" s="705"/>
      <c r="QPW73" s="799"/>
      <c r="QPX73" s="800"/>
      <c r="QPY73" s="800"/>
      <c r="QPZ73" s="800"/>
      <c r="QQA73" s="800"/>
      <c r="QQB73" s="800"/>
      <c r="QQC73" s="705"/>
      <c r="QQD73" s="799"/>
      <c r="QQE73" s="800"/>
      <c r="QQF73" s="800"/>
      <c r="QQG73" s="800"/>
      <c r="QQH73" s="800"/>
      <c r="QQI73" s="800"/>
      <c r="QQJ73" s="705"/>
      <c r="QQK73" s="799"/>
      <c r="QQL73" s="800"/>
      <c r="QQM73" s="800"/>
      <c r="QQN73" s="800"/>
      <c r="QQO73" s="800"/>
      <c r="QQP73" s="800"/>
      <c r="QQQ73" s="705"/>
      <c r="QQR73" s="799"/>
      <c r="QQS73" s="800"/>
      <c r="QQT73" s="800"/>
      <c r="QQU73" s="800"/>
      <c r="QQV73" s="800"/>
      <c r="QQW73" s="800"/>
      <c r="QQX73" s="705"/>
      <c r="QQY73" s="799"/>
      <c r="QQZ73" s="800"/>
      <c r="QRA73" s="800"/>
      <c r="QRB73" s="800"/>
      <c r="QRC73" s="800"/>
      <c r="QRD73" s="800"/>
      <c r="QRE73" s="705"/>
      <c r="QRF73" s="799"/>
      <c r="QRG73" s="800"/>
      <c r="QRH73" s="800"/>
      <c r="QRI73" s="800"/>
      <c r="QRJ73" s="800"/>
      <c r="QRK73" s="800"/>
      <c r="QRL73" s="705"/>
      <c r="QRM73" s="799"/>
      <c r="QRN73" s="800"/>
      <c r="QRO73" s="800"/>
      <c r="QRP73" s="800"/>
      <c r="QRQ73" s="800"/>
      <c r="QRR73" s="800"/>
      <c r="QRS73" s="705"/>
      <c r="QRT73" s="799"/>
      <c r="QRU73" s="800"/>
      <c r="QRV73" s="800"/>
      <c r="QRW73" s="800"/>
      <c r="QRX73" s="800"/>
      <c r="QRY73" s="800"/>
      <c r="QRZ73" s="705"/>
      <c r="QSA73" s="799"/>
      <c r="QSB73" s="800"/>
      <c r="QSC73" s="800"/>
      <c r="QSD73" s="800"/>
      <c r="QSE73" s="800"/>
      <c r="QSF73" s="800"/>
      <c r="QSG73" s="705"/>
      <c r="QSH73" s="799"/>
      <c r="QSI73" s="800"/>
      <c r="QSJ73" s="800"/>
      <c r="QSK73" s="800"/>
      <c r="QSL73" s="800"/>
      <c r="QSM73" s="800"/>
      <c r="QSN73" s="705"/>
      <c r="QSO73" s="799"/>
      <c r="QSP73" s="800"/>
      <c r="QSQ73" s="800"/>
      <c r="QSR73" s="800"/>
      <c r="QSS73" s="800"/>
      <c r="QST73" s="800"/>
      <c r="QSU73" s="705"/>
      <c r="QSV73" s="799"/>
      <c r="QSW73" s="800"/>
      <c r="QSX73" s="800"/>
      <c r="QSY73" s="800"/>
      <c r="QSZ73" s="800"/>
      <c r="QTA73" s="800"/>
      <c r="QTB73" s="705"/>
      <c r="QTC73" s="799"/>
      <c r="QTD73" s="800"/>
      <c r="QTE73" s="800"/>
      <c r="QTF73" s="800"/>
      <c r="QTG73" s="800"/>
      <c r="QTH73" s="800"/>
      <c r="QTI73" s="705"/>
      <c r="QTJ73" s="799"/>
      <c r="QTK73" s="800"/>
      <c r="QTL73" s="800"/>
      <c r="QTM73" s="800"/>
      <c r="QTN73" s="800"/>
      <c r="QTO73" s="800"/>
      <c r="QTP73" s="705"/>
      <c r="QTQ73" s="799"/>
      <c r="QTR73" s="800"/>
      <c r="QTS73" s="800"/>
      <c r="QTT73" s="800"/>
      <c r="QTU73" s="800"/>
      <c r="QTV73" s="800"/>
      <c r="QTW73" s="705"/>
      <c r="QTX73" s="799"/>
      <c r="QTY73" s="800"/>
      <c r="QTZ73" s="800"/>
      <c r="QUA73" s="800"/>
      <c r="QUB73" s="800"/>
      <c r="QUC73" s="800"/>
      <c r="QUD73" s="705"/>
      <c r="QUE73" s="799"/>
      <c r="QUF73" s="800"/>
      <c r="QUG73" s="800"/>
      <c r="QUH73" s="800"/>
      <c r="QUI73" s="800"/>
      <c r="QUJ73" s="800"/>
      <c r="QUK73" s="705"/>
      <c r="QUL73" s="799"/>
      <c r="QUM73" s="800"/>
      <c r="QUN73" s="800"/>
      <c r="QUO73" s="800"/>
      <c r="QUP73" s="800"/>
      <c r="QUQ73" s="800"/>
      <c r="QUR73" s="705"/>
      <c r="QUS73" s="799"/>
      <c r="QUT73" s="800"/>
      <c r="QUU73" s="800"/>
      <c r="QUV73" s="800"/>
      <c r="QUW73" s="800"/>
      <c r="QUX73" s="800"/>
      <c r="QUY73" s="705"/>
      <c r="QUZ73" s="799"/>
      <c r="QVA73" s="800"/>
      <c r="QVB73" s="800"/>
      <c r="QVC73" s="800"/>
      <c r="QVD73" s="800"/>
      <c r="QVE73" s="800"/>
      <c r="QVF73" s="705"/>
      <c r="QVG73" s="799"/>
      <c r="QVH73" s="800"/>
      <c r="QVI73" s="800"/>
      <c r="QVJ73" s="800"/>
      <c r="QVK73" s="800"/>
      <c r="QVL73" s="800"/>
      <c r="QVM73" s="705"/>
      <c r="QVN73" s="799"/>
      <c r="QVO73" s="800"/>
      <c r="QVP73" s="800"/>
      <c r="QVQ73" s="800"/>
      <c r="QVR73" s="800"/>
      <c r="QVS73" s="800"/>
      <c r="QVT73" s="705"/>
      <c r="QVU73" s="799"/>
      <c r="QVV73" s="800"/>
      <c r="QVW73" s="800"/>
      <c r="QVX73" s="800"/>
      <c r="QVY73" s="800"/>
      <c r="QVZ73" s="800"/>
      <c r="QWA73" s="705"/>
      <c r="QWB73" s="799"/>
      <c r="QWC73" s="800"/>
      <c r="QWD73" s="800"/>
      <c r="QWE73" s="800"/>
      <c r="QWF73" s="800"/>
      <c r="QWG73" s="800"/>
      <c r="QWH73" s="705"/>
      <c r="QWI73" s="799"/>
      <c r="QWJ73" s="800"/>
      <c r="QWK73" s="800"/>
      <c r="QWL73" s="800"/>
      <c r="QWM73" s="800"/>
      <c r="QWN73" s="800"/>
      <c r="QWO73" s="705"/>
      <c r="QWP73" s="799"/>
      <c r="QWQ73" s="800"/>
      <c r="QWR73" s="800"/>
      <c r="QWS73" s="800"/>
      <c r="QWT73" s="800"/>
      <c r="QWU73" s="800"/>
      <c r="QWV73" s="705"/>
      <c r="QWW73" s="799"/>
      <c r="QWX73" s="800"/>
      <c r="QWY73" s="800"/>
      <c r="QWZ73" s="800"/>
      <c r="QXA73" s="800"/>
      <c r="QXB73" s="800"/>
      <c r="QXC73" s="705"/>
      <c r="QXD73" s="799"/>
      <c r="QXE73" s="800"/>
      <c r="QXF73" s="800"/>
      <c r="QXG73" s="800"/>
      <c r="QXH73" s="800"/>
      <c r="QXI73" s="800"/>
      <c r="QXJ73" s="705"/>
      <c r="QXK73" s="799"/>
      <c r="QXL73" s="800"/>
      <c r="QXM73" s="800"/>
      <c r="QXN73" s="800"/>
      <c r="QXO73" s="800"/>
      <c r="QXP73" s="800"/>
      <c r="QXQ73" s="705"/>
      <c r="QXR73" s="799"/>
      <c r="QXS73" s="800"/>
      <c r="QXT73" s="800"/>
      <c r="QXU73" s="800"/>
      <c r="QXV73" s="800"/>
      <c r="QXW73" s="800"/>
      <c r="QXX73" s="705"/>
      <c r="QXY73" s="799"/>
      <c r="QXZ73" s="800"/>
      <c r="QYA73" s="800"/>
      <c r="QYB73" s="800"/>
      <c r="QYC73" s="800"/>
      <c r="QYD73" s="800"/>
      <c r="QYE73" s="705"/>
      <c r="QYF73" s="799"/>
      <c r="QYG73" s="800"/>
      <c r="QYH73" s="800"/>
      <c r="QYI73" s="800"/>
      <c r="QYJ73" s="800"/>
      <c r="QYK73" s="800"/>
      <c r="QYL73" s="705"/>
      <c r="QYM73" s="799"/>
      <c r="QYN73" s="800"/>
      <c r="QYO73" s="800"/>
      <c r="QYP73" s="800"/>
      <c r="QYQ73" s="800"/>
      <c r="QYR73" s="800"/>
      <c r="QYS73" s="705"/>
      <c r="QYT73" s="799"/>
      <c r="QYU73" s="800"/>
      <c r="QYV73" s="800"/>
      <c r="QYW73" s="800"/>
      <c r="QYX73" s="800"/>
      <c r="QYY73" s="800"/>
      <c r="QYZ73" s="705"/>
      <c r="QZA73" s="799"/>
      <c r="QZB73" s="800"/>
      <c r="QZC73" s="800"/>
      <c r="QZD73" s="800"/>
      <c r="QZE73" s="800"/>
      <c r="QZF73" s="800"/>
      <c r="QZG73" s="705"/>
      <c r="QZH73" s="799"/>
      <c r="QZI73" s="800"/>
      <c r="QZJ73" s="800"/>
      <c r="QZK73" s="800"/>
      <c r="QZL73" s="800"/>
      <c r="QZM73" s="800"/>
      <c r="QZN73" s="705"/>
      <c r="QZO73" s="799"/>
      <c r="QZP73" s="800"/>
      <c r="QZQ73" s="800"/>
      <c r="QZR73" s="800"/>
      <c r="QZS73" s="800"/>
      <c r="QZT73" s="800"/>
      <c r="QZU73" s="705"/>
      <c r="QZV73" s="799"/>
      <c r="QZW73" s="800"/>
      <c r="QZX73" s="800"/>
      <c r="QZY73" s="800"/>
      <c r="QZZ73" s="800"/>
      <c r="RAA73" s="800"/>
      <c r="RAB73" s="705"/>
      <c r="RAC73" s="799"/>
      <c r="RAD73" s="800"/>
      <c r="RAE73" s="800"/>
      <c r="RAF73" s="800"/>
      <c r="RAG73" s="800"/>
      <c r="RAH73" s="800"/>
      <c r="RAI73" s="705"/>
      <c r="RAJ73" s="799"/>
      <c r="RAK73" s="800"/>
      <c r="RAL73" s="800"/>
      <c r="RAM73" s="800"/>
      <c r="RAN73" s="800"/>
      <c r="RAO73" s="800"/>
      <c r="RAP73" s="705"/>
      <c r="RAQ73" s="799"/>
      <c r="RAR73" s="800"/>
      <c r="RAS73" s="800"/>
      <c r="RAT73" s="800"/>
      <c r="RAU73" s="800"/>
      <c r="RAV73" s="800"/>
      <c r="RAW73" s="705"/>
      <c r="RAX73" s="799"/>
      <c r="RAY73" s="800"/>
      <c r="RAZ73" s="800"/>
      <c r="RBA73" s="800"/>
      <c r="RBB73" s="800"/>
      <c r="RBC73" s="800"/>
      <c r="RBD73" s="705"/>
      <c r="RBE73" s="799"/>
      <c r="RBF73" s="800"/>
      <c r="RBG73" s="800"/>
      <c r="RBH73" s="800"/>
      <c r="RBI73" s="800"/>
      <c r="RBJ73" s="800"/>
      <c r="RBK73" s="705"/>
      <c r="RBL73" s="799"/>
      <c r="RBM73" s="800"/>
      <c r="RBN73" s="800"/>
      <c r="RBO73" s="800"/>
      <c r="RBP73" s="800"/>
      <c r="RBQ73" s="800"/>
      <c r="RBR73" s="705"/>
      <c r="RBS73" s="799"/>
      <c r="RBT73" s="800"/>
      <c r="RBU73" s="800"/>
      <c r="RBV73" s="800"/>
      <c r="RBW73" s="800"/>
      <c r="RBX73" s="800"/>
      <c r="RBY73" s="705"/>
      <c r="RBZ73" s="799"/>
      <c r="RCA73" s="800"/>
      <c r="RCB73" s="800"/>
      <c r="RCC73" s="800"/>
      <c r="RCD73" s="800"/>
      <c r="RCE73" s="800"/>
      <c r="RCF73" s="705"/>
      <c r="RCG73" s="799"/>
      <c r="RCH73" s="800"/>
      <c r="RCI73" s="800"/>
      <c r="RCJ73" s="800"/>
      <c r="RCK73" s="800"/>
      <c r="RCL73" s="800"/>
      <c r="RCM73" s="705"/>
      <c r="RCN73" s="799"/>
      <c r="RCO73" s="800"/>
      <c r="RCP73" s="800"/>
      <c r="RCQ73" s="800"/>
      <c r="RCR73" s="800"/>
      <c r="RCS73" s="800"/>
      <c r="RCT73" s="705"/>
      <c r="RCU73" s="799"/>
      <c r="RCV73" s="800"/>
      <c r="RCW73" s="800"/>
      <c r="RCX73" s="800"/>
      <c r="RCY73" s="800"/>
      <c r="RCZ73" s="800"/>
      <c r="RDA73" s="705"/>
      <c r="RDB73" s="799"/>
      <c r="RDC73" s="800"/>
      <c r="RDD73" s="800"/>
      <c r="RDE73" s="800"/>
      <c r="RDF73" s="800"/>
      <c r="RDG73" s="800"/>
      <c r="RDH73" s="705"/>
      <c r="RDI73" s="799"/>
      <c r="RDJ73" s="800"/>
      <c r="RDK73" s="800"/>
      <c r="RDL73" s="800"/>
      <c r="RDM73" s="800"/>
      <c r="RDN73" s="800"/>
      <c r="RDO73" s="705"/>
      <c r="RDP73" s="799"/>
      <c r="RDQ73" s="800"/>
      <c r="RDR73" s="800"/>
      <c r="RDS73" s="800"/>
      <c r="RDT73" s="800"/>
      <c r="RDU73" s="800"/>
      <c r="RDV73" s="705"/>
      <c r="RDW73" s="799"/>
      <c r="RDX73" s="800"/>
      <c r="RDY73" s="800"/>
      <c r="RDZ73" s="800"/>
      <c r="REA73" s="800"/>
      <c r="REB73" s="800"/>
      <c r="REC73" s="705"/>
      <c r="RED73" s="799"/>
      <c r="REE73" s="800"/>
      <c r="REF73" s="800"/>
      <c r="REG73" s="800"/>
      <c r="REH73" s="800"/>
      <c r="REI73" s="800"/>
      <c r="REJ73" s="705"/>
      <c r="REK73" s="799"/>
      <c r="REL73" s="800"/>
      <c r="REM73" s="800"/>
      <c r="REN73" s="800"/>
      <c r="REO73" s="800"/>
      <c r="REP73" s="800"/>
      <c r="REQ73" s="705"/>
      <c r="RER73" s="799"/>
      <c r="RES73" s="800"/>
      <c r="RET73" s="800"/>
      <c r="REU73" s="800"/>
      <c r="REV73" s="800"/>
      <c r="REW73" s="800"/>
      <c r="REX73" s="705"/>
      <c r="REY73" s="799"/>
      <c r="REZ73" s="800"/>
      <c r="RFA73" s="800"/>
      <c r="RFB73" s="800"/>
      <c r="RFC73" s="800"/>
      <c r="RFD73" s="800"/>
      <c r="RFE73" s="705"/>
      <c r="RFF73" s="799"/>
      <c r="RFG73" s="800"/>
      <c r="RFH73" s="800"/>
      <c r="RFI73" s="800"/>
      <c r="RFJ73" s="800"/>
      <c r="RFK73" s="800"/>
      <c r="RFL73" s="705"/>
      <c r="RFM73" s="799"/>
      <c r="RFN73" s="800"/>
      <c r="RFO73" s="800"/>
      <c r="RFP73" s="800"/>
      <c r="RFQ73" s="800"/>
      <c r="RFR73" s="800"/>
      <c r="RFS73" s="705"/>
      <c r="RFT73" s="799"/>
      <c r="RFU73" s="800"/>
      <c r="RFV73" s="800"/>
      <c r="RFW73" s="800"/>
      <c r="RFX73" s="800"/>
      <c r="RFY73" s="800"/>
      <c r="RFZ73" s="705"/>
      <c r="RGA73" s="799"/>
      <c r="RGB73" s="800"/>
      <c r="RGC73" s="800"/>
      <c r="RGD73" s="800"/>
      <c r="RGE73" s="800"/>
      <c r="RGF73" s="800"/>
      <c r="RGG73" s="705"/>
      <c r="RGH73" s="799"/>
      <c r="RGI73" s="800"/>
      <c r="RGJ73" s="800"/>
      <c r="RGK73" s="800"/>
      <c r="RGL73" s="800"/>
      <c r="RGM73" s="800"/>
      <c r="RGN73" s="705"/>
      <c r="RGO73" s="799"/>
      <c r="RGP73" s="800"/>
      <c r="RGQ73" s="800"/>
      <c r="RGR73" s="800"/>
      <c r="RGS73" s="800"/>
      <c r="RGT73" s="800"/>
      <c r="RGU73" s="705"/>
      <c r="RGV73" s="799"/>
      <c r="RGW73" s="800"/>
      <c r="RGX73" s="800"/>
      <c r="RGY73" s="800"/>
      <c r="RGZ73" s="800"/>
      <c r="RHA73" s="800"/>
      <c r="RHB73" s="705"/>
      <c r="RHC73" s="799"/>
      <c r="RHD73" s="800"/>
      <c r="RHE73" s="800"/>
      <c r="RHF73" s="800"/>
      <c r="RHG73" s="800"/>
      <c r="RHH73" s="800"/>
      <c r="RHI73" s="705"/>
      <c r="RHJ73" s="799"/>
      <c r="RHK73" s="800"/>
      <c r="RHL73" s="800"/>
      <c r="RHM73" s="800"/>
      <c r="RHN73" s="800"/>
      <c r="RHO73" s="800"/>
      <c r="RHP73" s="705"/>
      <c r="RHQ73" s="799"/>
      <c r="RHR73" s="800"/>
      <c r="RHS73" s="800"/>
      <c r="RHT73" s="800"/>
      <c r="RHU73" s="800"/>
      <c r="RHV73" s="800"/>
      <c r="RHW73" s="705"/>
      <c r="RHX73" s="799"/>
      <c r="RHY73" s="800"/>
      <c r="RHZ73" s="800"/>
      <c r="RIA73" s="800"/>
      <c r="RIB73" s="800"/>
      <c r="RIC73" s="800"/>
      <c r="RID73" s="705"/>
      <c r="RIE73" s="799"/>
      <c r="RIF73" s="800"/>
      <c r="RIG73" s="800"/>
      <c r="RIH73" s="800"/>
      <c r="RII73" s="800"/>
      <c r="RIJ73" s="800"/>
      <c r="RIK73" s="705"/>
      <c r="RIL73" s="799"/>
      <c r="RIM73" s="800"/>
      <c r="RIN73" s="800"/>
      <c r="RIO73" s="800"/>
      <c r="RIP73" s="800"/>
      <c r="RIQ73" s="800"/>
      <c r="RIR73" s="705"/>
      <c r="RIS73" s="799"/>
      <c r="RIT73" s="800"/>
      <c r="RIU73" s="800"/>
      <c r="RIV73" s="800"/>
      <c r="RIW73" s="800"/>
      <c r="RIX73" s="800"/>
      <c r="RIY73" s="705"/>
      <c r="RIZ73" s="799"/>
      <c r="RJA73" s="800"/>
      <c r="RJB73" s="800"/>
      <c r="RJC73" s="800"/>
      <c r="RJD73" s="800"/>
      <c r="RJE73" s="800"/>
      <c r="RJF73" s="705"/>
      <c r="RJG73" s="799"/>
      <c r="RJH73" s="800"/>
      <c r="RJI73" s="800"/>
      <c r="RJJ73" s="800"/>
      <c r="RJK73" s="800"/>
      <c r="RJL73" s="800"/>
      <c r="RJM73" s="705"/>
      <c r="RJN73" s="799"/>
      <c r="RJO73" s="800"/>
      <c r="RJP73" s="800"/>
      <c r="RJQ73" s="800"/>
      <c r="RJR73" s="800"/>
      <c r="RJS73" s="800"/>
      <c r="RJT73" s="705"/>
      <c r="RJU73" s="799"/>
      <c r="RJV73" s="800"/>
      <c r="RJW73" s="800"/>
      <c r="RJX73" s="800"/>
      <c r="RJY73" s="800"/>
      <c r="RJZ73" s="800"/>
      <c r="RKA73" s="705"/>
      <c r="RKB73" s="799"/>
      <c r="RKC73" s="800"/>
      <c r="RKD73" s="800"/>
      <c r="RKE73" s="800"/>
      <c r="RKF73" s="800"/>
      <c r="RKG73" s="800"/>
      <c r="RKH73" s="705"/>
      <c r="RKI73" s="799"/>
      <c r="RKJ73" s="800"/>
      <c r="RKK73" s="800"/>
      <c r="RKL73" s="800"/>
      <c r="RKM73" s="800"/>
      <c r="RKN73" s="800"/>
      <c r="RKO73" s="705"/>
      <c r="RKP73" s="799"/>
      <c r="RKQ73" s="800"/>
      <c r="RKR73" s="800"/>
      <c r="RKS73" s="800"/>
      <c r="RKT73" s="800"/>
      <c r="RKU73" s="800"/>
      <c r="RKV73" s="705"/>
      <c r="RKW73" s="799"/>
      <c r="RKX73" s="800"/>
      <c r="RKY73" s="800"/>
      <c r="RKZ73" s="800"/>
      <c r="RLA73" s="800"/>
      <c r="RLB73" s="800"/>
      <c r="RLC73" s="705"/>
      <c r="RLD73" s="799"/>
      <c r="RLE73" s="800"/>
      <c r="RLF73" s="800"/>
      <c r="RLG73" s="800"/>
      <c r="RLH73" s="800"/>
      <c r="RLI73" s="800"/>
      <c r="RLJ73" s="705"/>
      <c r="RLK73" s="799"/>
      <c r="RLL73" s="800"/>
      <c r="RLM73" s="800"/>
      <c r="RLN73" s="800"/>
      <c r="RLO73" s="800"/>
      <c r="RLP73" s="800"/>
      <c r="RLQ73" s="705"/>
      <c r="RLR73" s="799"/>
      <c r="RLS73" s="800"/>
      <c r="RLT73" s="800"/>
      <c r="RLU73" s="800"/>
      <c r="RLV73" s="800"/>
      <c r="RLW73" s="800"/>
      <c r="RLX73" s="705"/>
      <c r="RLY73" s="799"/>
      <c r="RLZ73" s="800"/>
      <c r="RMA73" s="800"/>
      <c r="RMB73" s="800"/>
      <c r="RMC73" s="800"/>
      <c r="RMD73" s="800"/>
      <c r="RME73" s="705"/>
      <c r="RMF73" s="799"/>
      <c r="RMG73" s="800"/>
      <c r="RMH73" s="800"/>
      <c r="RMI73" s="800"/>
      <c r="RMJ73" s="800"/>
      <c r="RMK73" s="800"/>
      <c r="RML73" s="705"/>
      <c r="RMM73" s="799"/>
      <c r="RMN73" s="800"/>
      <c r="RMO73" s="800"/>
      <c r="RMP73" s="800"/>
      <c r="RMQ73" s="800"/>
      <c r="RMR73" s="800"/>
      <c r="RMS73" s="705"/>
      <c r="RMT73" s="799"/>
      <c r="RMU73" s="800"/>
      <c r="RMV73" s="800"/>
      <c r="RMW73" s="800"/>
      <c r="RMX73" s="800"/>
      <c r="RMY73" s="800"/>
      <c r="RMZ73" s="705"/>
      <c r="RNA73" s="799"/>
      <c r="RNB73" s="800"/>
      <c r="RNC73" s="800"/>
      <c r="RND73" s="800"/>
      <c r="RNE73" s="800"/>
      <c r="RNF73" s="800"/>
      <c r="RNG73" s="705"/>
      <c r="RNH73" s="799"/>
      <c r="RNI73" s="800"/>
      <c r="RNJ73" s="800"/>
      <c r="RNK73" s="800"/>
      <c r="RNL73" s="800"/>
      <c r="RNM73" s="800"/>
      <c r="RNN73" s="705"/>
      <c r="RNO73" s="799"/>
      <c r="RNP73" s="800"/>
      <c r="RNQ73" s="800"/>
      <c r="RNR73" s="800"/>
      <c r="RNS73" s="800"/>
      <c r="RNT73" s="800"/>
      <c r="RNU73" s="705"/>
      <c r="RNV73" s="799"/>
      <c r="RNW73" s="800"/>
      <c r="RNX73" s="800"/>
      <c r="RNY73" s="800"/>
      <c r="RNZ73" s="800"/>
      <c r="ROA73" s="800"/>
      <c r="ROB73" s="705"/>
      <c r="ROC73" s="799"/>
      <c r="ROD73" s="800"/>
      <c r="ROE73" s="800"/>
      <c r="ROF73" s="800"/>
      <c r="ROG73" s="800"/>
      <c r="ROH73" s="800"/>
      <c r="ROI73" s="705"/>
      <c r="ROJ73" s="799"/>
      <c r="ROK73" s="800"/>
      <c r="ROL73" s="800"/>
      <c r="ROM73" s="800"/>
      <c r="RON73" s="800"/>
      <c r="ROO73" s="800"/>
      <c r="ROP73" s="705"/>
      <c r="ROQ73" s="799"/>
      <c r="ROR73" s="800"/>
      <c r="ROS73" s="800"/>
      <c r="ROT73" s="800"/>
      <c r="ROU73" s="800"/>
      <c r="ROV73" s="800"/>
      <c r="ROW73" s="705"/>
      <c r="ROX73" s="799"/>
      <c r="ROY73" s="800"/>
      <c r="ROZ73" s="800"/>
      <c r="RPA73" s="800"/>
      <c r="RPB73" s="800"/>
      <c r="RPC73" s="800"/>
      <c r="RPD73" s="705"/>
      <c r="RPE73" s="799"/>
      <c r="RPF73" s="800"/>
      <c r="RPG73" s="800"/>
      <c r="RPH73" s="800"/>
      <c r="RPI73" s="800"/>
      <c r="RPJ73" s="800"/>
      <c r="RPK73" s="705"/>
      <c r="RPL73" s="799"/>
      <c r="RPM73" s="800"/>
      <c r="RPN73" s="800"/>
      <c r="RPO73" s="800"/>
      <c r="RPP73" s="800"/>
      <c r="RPQ73" s="800"/>
      <c r="RPR73" s="705"/>
      <c r="RPS73" s="799"/>
      <c r="RPT73" s="800"/>
      <c r="RPU73" s="800"/>
      <c r="RPV73" s="800"/>
      <c r="RPW73" s="800"/>
      <c r="RPX73" s="800"/>
      <c r="RPY73" s="705"/>
      <c r="RPZ73" s="799"/>
      <c r="RQA73" s="800"/>
      <c r="RQB73" s="800"/>
      <c r="RQC73" s="800"/>
      <c r="RQD73" s="800"/>
      <c r="RQE73" s="800"/>
      <c r="RQF73" s="705"/>
      <c r="RQG73" s="799"/>
      <c r="RQH73" s="800"/>
      <c r="RQI73" s="800"/>
      <c r="RQJ73" s="800"/>
      <c r="RQK73" s="800"/>
      <c r="RQL73" s="800"/>
      <c r="RQM73" s="705"/>
      <c r="RQN73" s="799"/>
      <c r="RQO73" s="800"/>
      <c r="RQP73" s="800"/>
      <c r="RQQ73" s="800"/>
      <c r="RQR73" s="800"/>
      <c r="RQS73" s="800"/>
      <c r="RQT73" s="705"/>
      <c r="RQU73" s="799"/>
      <c r="RQV73" s="800"/>
      <c r="RQW73" s="800"/>
      <c r="RQX73" s="800"/>
      <c r="RQY73" s="800"/>
      <c r="RQZ73" s="800"/>
      <c r="RRA73" s="705"/>
      <c r="RRB73" s="799"/>
      <c r="RRC73" s="800"/>
      <c r="RRD73" s="800"/>
      <c r="RRE73" s="800"/>
      <c r="RRF73" s="800"/>
      <c r="RRG73" s="800"/>
      <c r="RRH73" s="705"/>
      <c r="RRI73" s="799"/>
      <c r="RRJ73" s="800"/>
      <c r="RRK73" s="800"/>
      <c r="RRL73" s="800"/>
      <c r="RRM73" s="800"/>
      <c r="RRN73" s="800"/>
      <c r="RRO73" s="705"/>
      <c r="RRP73" s="799"/>
      <c r="RRQ73" s="800"/>
      <c r="RRR73" s="800"/>
      <c r="RRS73" s="800"/>
      <c r="RRT73" s="800"/>
      <c r="RRU73" s="800"/>
      <c r="RRV73" s="705"/>
      <c r="RRW73" s="799"/>
      <c r="RRX73" s="800"/>
      <c r="RRY73" s="800"/>
      <c r="RRZ73" s="800"/>
      <c r="RSA73" s="800"/>
      <c r="RSB73" s="800"/>
      <c r="RSC73" s="705"/>
      <c r="RSD73" s="799"/>
      <c r="RSE73" s="800"/>
      <c r="RSF73" s="800"/>
      <c r="RSG73" s="800"/>
      <c r="RSH73" s="800"/>
      <c r="RSI73" s="800"/>
      <c r="RSJ73" s="705"/>
      <c r="RSK73" s="799"/>
      <c r="RSL73" s="800"/>
      <c r="RSM73" s="800"/>
      <c r="RSN73" s="800"/>
      <c r="RSO73" s="800"/>
      <c r="RSP73" s="800"/>
      <c r="RSQ73" s="705"/>
      <c r="RSR73" s="799"/>
      <c r="RSS73" s="800"/>
      <c r="RST73" s="800"/>
      <c r="RSU73" s="800"/>
      <c r="RSV73" s="800"/>
      <c r="RSW73" s="800"/>
      <c r="RSX73" s="705"/>
      <c r="RSY73" s="799"/>
      <c r="RSZ73" s="800"/>
      <c r="RTA73" s="800"/>
      <c r="RTB73" s="800"/>
      <c r="RTC73" s="800"/>
      <c r="RTD73" s="800"/>
      <c r="RTE73" s="705"/>
      <c r="RTF73" s="799"/>
      <c r="RTG73" s="800"/>
      <c r="RTH73" s="800"/>
      <c r="RTI73" s="800"/>
      <c r="RTJ73" s="800"/>
      <c r="RTK73" s="800"/>
      <c r="RTL73" s="705"/>
      <c r="RTM73" s="799"/>
      <c r="RTN73" s="800"/>
      <c r="RTO73" s="800"/>
      <c r="RTP73" s="800"/>
      <c r="RTQ73" s="800"/>
      <c r="RTR73" s="800"/>
      <c r="RTS73" s="705"/>
      <c r="RTT73" s="799"/>
      <c r="RTU73" s="800"/>
      <c r="RTV73" s="800"/>
      <c r="RTW73" s="800"/>
      <c r="RTX73" s="800"/>
      <c r="RTY73" s="800"/>
      <c r="RTZ73" s="705"/>
      <c r="RUA73" s="799"/>
      <c r="RUB73" s="800"/>
      <c r="RUC73" s="800"/>
      <c r="RUD73" s="800"/>
      <c r="RUE73" s="800"/>
      <c r="RUF73" s="800"/>
      <c r="RUG73" s="705"/>
      <c r="RUH73" s="799"/>
      <c r="RUI73" s="800"/>
      <c r="RUJ73" s="800"/>
      <c r="RUK73" s="800"/>
      <c r="RUL73" s="800"/>
      <c r="RUM73" s="800"/>
      <c r="RUN73" s="705"/>
      <c r="RUO73" s="799"/>
      <c r="RUP73" s="800"/>
      <c r="RUQ73" s="800"/>
      <c r="RUR73" s="800"/>
      <c r="RUS73" s="800"/>
      <c r="RUT73" s="800"/>
      <c r="RUU73" s="705"/>
      <c r="RUV73" s="799"/>
      <c r="RUW73" s="800"/>
      <c r="RUX73" s="800"/>
      <c r="RUY73" s="800"/>
      <c r="RUZ73" s="800"/>
      <c r="RVA73" s="800"/>
      <c r="RVB73" s="705"/>
      <c r="RVC73" s="799"/>
      <c r="RVD73" s="800"/>
      <c r="RVE73" s="800"/>
      <c r="RVF73" s="800"/>
      <c r="RVG73" s="800"/>
      <c r="RVH73" s="800"/>
      <c r="RVI73" s="705"/>
      <c r="RVJ73" s="799"/>
      <c r="RVK73" s="800"/>
      <c r="RVL73" s="800"/>
      <c r="RVM73" s="800"/>
      <c r="RVN73" s="800"/>
      <c r="RVO73" s="800"/>
      <c r="RVP73" s="705"/>
      <c r="RVQ73" s="799"/>
      <c r="RVR73" s="800"/>
      <c r="RVS73" s="800"/>
      <c r="RVT73" s="800"/>
      <c r="RVU73" s="800"/>
      <c r="RVV73" s="800"/>
      <c r="RVW73" s="705"/>
      <c r="RVX73" s="799"/>
      <c r="RVY73" s="800"/>
      <c r="RVZ73" s="800"/>
      <c r="RWA73" s="800"/>
      <c r="RWB73" s="800"/>
      <c r="RWC73" s="800"/>
      <c r="RWD73" s="705"/>
      <c r="RWE73" s="799"/>
      <c r="RWF73" s="800"/>
      <c r="RWG73" s="800"/>
      <c r="RWH73" s="800"/>
      <c r="RWI73" s="800"/>
      <c r="RWJ73" s="800"/>
      <c r="RWK73" s="705"/>
      <c r="RWL73" s="799"/>
      <c r="RWM73" s="800"/>
      <c r="RWN73" s="800"/>
      <c r="RWO73" s="800"/>
      <c r="RWP73" s="800"/>
      <c r="RWQ73" s="800"/>
      <c r="RWR73" s="705"/>
      <c r="RWS73" s="799"/>
      <c r="RWT73" s="800"/>
      <c r="RWU73" s="800"/>
      <c r="RWV73" s="800"/>
      <c r="RWW73" s="800"/>
      <c r="RWX73" s="800"/>
      <c r="RWY73" s="705"/>
      <c r="RWZ73" s="799"/>
      <c r="RXA73" s="800"/>
      <c r="RXB73" s="800"/>
      <c r="RXC73" s="800"/>
      <c r="RXD73" s="800"/>
      <c r="RXE73" s="800"/>
      <c r="RXF73" s="705"/>
      <c r="RXG73" s="799"/>
      <c r="RXH73" s="800"/>
      <c r="RXI73" s="800"/>
      <c r="RXJ73" s="800"/>
      <c r="RXK73" s="800"/>
      <c r="RXL73" s="800"/>
      <c r="RXM73" s="705"/>
      <c r="RXN73" s="799"/>
      <c r="RXO73" s="800"/>
      <c r="RXP73" s="800"/>
      <c r="RXQ73" s="800"/>
      <c r="RXR73" s="800"/>
      <c r="RXS73" s="800"/>
      <c r="RXT73" s="705"/>
      <c r="RXU73" s="799"/>
      <c r="RXV73" s="800"/>
      <c r="RXW73" s="800"/>
      <c r="RXX73" s="800"/>
      <c r="RXY73" s="800"/>
      <c r="RXZ73" s="800"/>
      <c r="RYA73" s="705"/>
      <c r="RYB73" s="799"/>
      <c r="RYC73" s="800"/>
      <c r="RYD73" s="800"/>
      <c r="RYE73" s="800"/>
      <c r="RYF73" s="800"/>
      <c r="RYG73" s="800"/>
      <c r="RYH73" s="705"/>
      <c r="RYI73" s="799"/>
      <c r="RYJ73" s="800"/>
      <c r="RYK73" s="800"/>
      <c r="RYL73" s="800"/>
      <c r="RYM73" s="800"/>
      <c r="RYN73" s="800"/>
      <c r="RYO73" s="705"/>
      <c r="RYP73" s="799"/>
      <c r="RYQ73" s="800"/>
      <c r="RYR73" s="800"/>
      <c r="RYS73" s="800"/>
      <c r="RYT73" s="800"/>
      <c r="RYU73" s="800"/>
      <c r="RYV73" s="705"/>
      <c r="RYW73" s="799"/>
      <c r="RYX73" s="800"/>
      <c r="RYY73" s="800"/>
      <c r="RYZ73" s="800"/>
      <c r="RZA73" s="800"/>
      <c r="RZB73" s="800"/>
      <c r="RZC73" s="705"/>
      <c r="RZD73" s="799"/>
      <c r="RZE73" s="800"/>
      <c r="RZF73" s="800"/>
      <c r="RZG73" s="800"/>
      <c r="RZH73" s="800"/>
      <c r="RZI73" s="800"/>
      <c r="RZJ73" s="705"/>
      <c r="RZK73" s="799"/>
      <c r="RZL73" s="800"/>
      <c r="RZM73" s="800"/>
      <c r="RZN73" s="800"/>
      <c r="RZO73" s="800"/>
      <c r="RZP73" s="800"/>
      <c r="RZQ73" s="705"/>
      <c r="RZR73" s="799"/>
      <c r="RZS73" s="800"/>
      <c r="RZT73" s="800"/>
      <c r="RZU73" s="800"/>
      <c r="RZV73" s="800"/>
      <c r="RZW73" s="800"/>
      <c r="RZX73" s="705"/>
      <c r="RZY73" s="799"/>
      <c r="RZZ73" s="800"/>
      <c r="SAA73" s="800"/>
      <c r="SAB73" s="800"/>
      <c r="SAC73" s="800"/>
      <c r="SAD73" s="800"/>
      <c r="SAE73" s="705"/>
      <c r="SAF73" s="799"/>
      <c r="SAG73" s="800"/>
      <c r="SAH73" s="800"/>
      <c r="SAI73" s="800"/>
      <c r="SAJ73" s="800"/>
      <c r="SAK73" s="800"/>
      <c r="SAL73" s="705"/>
      <c r="SAM73" s="799"/>
      <c r="SAN73" s="800"/>
      <c r="SAO73" s="800"/>
      <c r="SAP73" s="800"/>
      <c r="SAQ73" s="800"/>
      <c r="SAR73" s="800"/>
      <c r="SAS73" s="705"/>
      <c r="SAT73" s="799"/>
      <c r="SAU73" s="800"/>
      <c r="SAV73" s="800"/>
      <c r="SAW73" s="800"/>
      <c r="SAX73" s="800"/>
      <c r="SAY73" s="800"/>
      <c r="SAZ73" s="705"/>
      <c r="SBA73" s="799"/>
      <c r="SBB73" s="800"/>
      <c r="SBC73" s="800"/>
      <c r="SBD73" s="800"/>
      <c r="SBE73" s="800"/>
      <c r="SBF73" s="800"/>
      <c r="SBG73" s="705"/>
      <c r="SBH73" s="799"/>
      <c r="SBI73" s="800"/>
      <c r="SBJ73" s="800"/>
      <c r="SBK73" s="800"/>
      <c r="SBL73" s="800"/>
      <c r="SBM73" s="800"/>
      <c r="SBN73" s="705"/>
      <c r="SBO73" s="799"/>
      <c r="SBP73" s="800"/>
      <c r="SBQ73" s="800"/>
      <c r="SBR73" s="800"/>
      <c r="SBS73" s="800"/>
      <c r="SBT73" s="800"/>
      <c r="SBU73" s="705"/>
      <c r="SBV73" s="799"/>
      <c r="SBW73" s="800"/>
      <c r="SBX73" s="800"/>
      <c r="SBY73" s="800"/>
      <c r="SBZ73" s="800"/>
      <c r="SCA73" s="800"/>
      <c r="SCB73" s="705"/>
      <c r="SCC73" s="799"/>
      <c r="SCD73" s="800"/>
      <c r="SCE73" s="800"/>
      <c r="SCF73" s="800"/>
      <c r="SCG73" s="800"/>
      <c r="SCH73" s="800"/>
      <c r="SCI73" s="705"/>
      <c r="SCJ73" s="799"/>
      <c r="SCK73" s="800"/>
      <c r="SCL73" s="800"/>
      <c r="SCM73" s="800"/>
      <c r="SCN73" s="800"/>
      <c r="SCO73" s="800"/>
      <c r="SCP73" s="705"/>
      <c r="SCQ73" s="799"/>
      <c r="SCR73" s="800"/>
      <c r="SCS73" s="800"/>
      <c r="SCT73" s="800"/>
      <c r="SCU73" s="800"/>
      <c r="SCV73" s="800"/>
      <c r="SCW73" s="705"/>
      <c r="SCX73" s="799"/>
      <c r="SCY73" s="800"/>
      <c r="SCZ73" s="800"/>
      <c r="SDA73" s="800"/>
      <c r="SDB73" s="800"/>
      <c r="SDC73" s="800"/>
      <c r="SDD73" s="705"/>
      <c r="SDE73" s="799"/>
      <c r="SDF73" s="800"/>
      <c r="SDG73" s="800"/>
      <c r="SDH73" s="800"/>
      <c r="SDI73" s="800"/>
      <c r="SDJ73" s="800"/>
      <c r="SDK73" s="705"/>
      <c r="SDL73" s="799"/>
      <c r="SDM73" s="800"/>
      <c r="SDN73" s="800"/>
      <c r="SDO73" s="800"/>
      <c r="SDP73" s="800"/>
      <c r="SDQ73" s="800"/>
      <c r="SDR73" s="705"/>
      <c r="SDS73" s="799"/>
      <c r="SDT73" s="800"/>
      <c r="SDU73" s="800"/>
      <c r="SDV73" s="800"/>
      <c r="SDW73" s="800"/>
      <c r="SDX73" s="800"/>
      <c r="SDY73" s="705"/>
      <c r="SDZ73" s="799"/>
      <c r="SEA73" s="800"/>
      <c r="SEB73" s="800"/>
      <c r="SEC73" s="800"/>
      <c r="SED73" s="800"/>
      <c r="SEE73" s="800"/>
      <c r="SEF73" s="705"/>
      <c r="SEG73" s="799"/>
      <c r="SEH73" s="800"/>
      <c r="SEI73" s="800"/>
      <c r="SEJ73" s="800"/>
      <c r="SEK73" s="800"/>
      <c r="SEL73" s="800"/>
      <c r="SEM73" s="705"/>
      <c r="SEN73" s="799"/>
      <c r="SEO73" s="800"/>
      <c r="SEP73" s="800"/>
      <c r="SEQ73" s="800"/>
      <c r="SER73" s="800"/>
      <c r="SES73" s="800"/>
      <c r="SET73" s="705"/>
      <c r="SEU73" s="799"/>
      <c r="SEV73" s="800"/>
      <c r="SEW73" s="800"/>
      <c r="SEX73" s="800"/>
      <c r="SEY73" s="800"/>
      <c r="SEZ73" s="800"/>
      <c r="SFA73" s="705"/>
      <c r="SFB73" s="799"/>
      <c r="SFC73" s="800"/>
      <c r="SFD73" s="800"/>
      <c r="SFE73" s="800"/>
      <c r="SFF73" s="800"/>
      <c r="SFG73" s="800"/>
      <c r="SFH73" s="705"/>
      <c r="SFI73" s="799"/>
      <c r="SFJ73" s="800"/>
      <c r="SFK73" s="800"/>
      <c r="SFL73" s="800"/>
      <c r="SFM73" s="800"/>
      <c r="SFN73" s="800"/>
      <c r="SFO73" s="705"/>
      <c r="SFP73" s="799"/>
      <c r="SFQ73" s="800"/>
      <c r="SFR73" s="800"/>
      <c r="SFS73" s="800"/>
      <c r="SFT73" s="800"/>
      <c r="SFU73" s="800"/>
      <c r="SFV73" s="705"/>
      <c r="SFW73" s="799"/>
      <c r="SFX73" s="800"/>
      <c r="SFY73" s="800"/>
      <c r="SFZ73" s="800"/>
      <c r="SGA73" s="800"/>
      <c r="SGB73" s="800"/>
      <c r="SGC73" s="705"/>
      <c r="SGD73" s="799"/>
      <c r="SGE73" s="800"/>
      <c r="SGF73" s="800"/>
      <c r="SGG73" s="800"/>
      <c r="SGH73" s="800"/>
      <c r="SGI73" s="800"/>
      <c r="SGJ73" s="705"/>
      <c r="SGK73" s="799"/>
      <c r="SGL73" s="800"/>
      <c r="SGM73" s="800"/>
      <c r="SGN73" s="800"/>
      <c r="SGO73" s="800"/>
      <c r="SGP73" s="800"/>
      <c r="SGQ73" s="705"/>
      <c r="SGR73" s="799"/>
      <c r="SGS73" s="800"/>
      <c r="SGT73" s="800"/>
      <c r="SGU73" s="800"/>
      <c r="SGV73" s="800"/>
      <c r="SGW73" s="800"/>
      <c r="SGX73" s="705"/>
      <c r="SGY73" s="799"/>
      <c r="SGZ73" s="800"/>
      <c r="SHA73" s="800"/>
      <c r="SHB73" s="800"/>
      <c r="SHC73" s="800"/>
      <c r="SHD73" s="800"/>
      <c r="SHE73" s="705"/>
      <c r="SHF73" s="799"/>
      <c r="SHG73" s="800"/>
      <c r="SHH73" s="800"/>
      <c r="SHI73" s="800"/>
      <c r="SHJ73" s="800"/>
      <c r="SHK73" s="800"/>
      <c r="SHL73" s="705"/>
      <c r="SHM73" s="799"/>
      <c r="SHN73" s="800"/>
      <c r="SHO73" s="800"/>
      <c r="SHP73" s="800"/>
      <c r="SHQ73" s="800"/>
      <c r="SHR73" s="800"/>
      <c r="SHS73" s="705"/>
      <c r="SHT73" s="799"/>
      <c r="SHU73" s="800"/>
      <c r="SHV73" s="800"/>
      <c r="SHW73" s="800"/>
      <c r="SHX73" s="800"/>
      <c r="SHY73" s="800"/>
      <c r="SHZ73" s="705"/>
      <c r="SIA73" s="799"/>
      <c r="SIB73" s="800"/>
      <c r="SIC73" s="800"/>
      <c r="SID73" s="800"/>
      <c r="SIE73" s="800"/>
      <c r="SIF73" s="800"/>
      <c r="SIG73" s="705"/>
      <c r="SIH73" s="799"/>
      <c r="SII73" s="800"/>
      <c r="SIJ73" s="800"/>
      <c r="SIK73" s="800"/>
      <c r="SIL73" s="800"/>
      <c r="SIM73" s="800"/>
      <c r="SIN73" s="705"/>
      <c r="SIO73" s="799"/>
      <c r="SIP73" s="800"/>
      <c r="SIQ73" s="800"/>
      <c r="SIR73" s="800"/>
      <c r="SIS73" s="800"/>
      <c r="SIT73" s="800"/>
      <c r="SIU73" s="705"/>
      <c r="SIV73" s="799"/>
      <c r="SIW73" s="800"/>
      <c r="SIX73" s="800"/>
      <c r="SIY73" s="800"/>
      <c r="SIZ73" s="800"/>
      <c r="SJA73" s="800"/>
      <c r="SJB73" s="705"/>
      <c r="SJC73" s="799"/>
      <c r="SJD73" s="800"/>
      <c r="SJE73" s="800"/>
      <c r="SJF73" s="800"/>
      <c r="SJG73" s="800"/>
      <c r="SJH73" s="800"/>
      <c r="SJI73" s="705"/>
      <c r="SJJ73" s="799"/>
      <c r="SJK73" s="800"/>
      <c r="SJL73" s="800"/>
      <c r="SJM73" s="800"/>
      <c r="SJN73" s="800"/>
      <c r="SJO73" s="800"/>
      <c r="SJP73" s="705"/>
      <c r="SJQ73" s="799"/>
      <c r="SJR73" s="800"/>
      <c r="SJS73" s="800"/>
      <c r="SJT73" s="800"/>
      <c r="SJU73" s="800"/>
      <c r="SJV73" s="800"/>
      <c r="SJW73" s="705"/>
      <c r="SJX73" s="799"/>
      <c r="SJY73" s="800"/>
      <c r="SJZ73" s="800"/>
      <c r="SKA73" s="800"/>
      <c r="SKB73" s="800"/>
      <c r="SKC73" s="800"/>
      <c r="SKD73" s="705"/>
      <c r="SKE73" s="799"/>
      <c r="SKF73" s="800"/>
      <c r="SKG73" s="800"/>
      <c r="SKH73" s="800"/>
      <c r="SKI73" s="800"/>
      <c r="SKJ73" s="800"/>
      <c r="SKK73" s="705"/>
      <c r="SKL73" s="799"/>
      <c r="SKM73" s="800"/>
      <c r="SKN73" s="800"/>
      <c r="SKO73" s="800"/>
      <c r="SKP73" s="800"/>
      <c r="SKQ73" s="800"/>
      <c r="SKR73" s="705"/>
      <c r="SKS73" s="799"/>
      <c r="SKT73" s="800"/>
      <c r="SKU73" s="800"/>
      <c r="SKV73" s="800"/>
      <c r="SKW73" s="800"/>
      <c r="SKX73" s="800"/>
      <c r="SKY73" s="705"/>
      <c r="SKZ73" s="799"/>
      <c r="SLA73" s="800"/>
      <c r="SLB73" s="800"/>
      <c r="SLC73" s="800"/>
      <c r="SLD73" s="800"/>
      <c r="SLE73" s="800"/>
      <c r="SLF73" s="705"/>
      <c r="SLG73" s="799"/>
      <c r="SLH73" s="800"/>
      <c r="SLI73" s="800"/>
      <c r="SLJ73" s="800"/>
      <c r="SLK73" s="800"/>
      <c r="SLL73" s="800"/>
      <c r="SLM73" s="705"/>
      <c r="SLN73" s="799"/>
      <c r="SLO73" s="800"/>
      <c r="SLP73" s="800"/>
      <c r="SLQ73" s="800"/>
      <c r="SLR73" s="800"/>
      <c r="SLS73" s="800"/>
      <c r="SLT73" s="705"/>
      <c r="SLU73" s="799"/>
      <c r="SLV73" s="800"/>
      <c r="SLW73" s="800"/>
      <c r="SLX73" s="800"/>
      <c r="SLY73" s="800"/>
      <c r="SLZ73" s="800"/>
      <c r="SMA73" s="705"/>
      <c r="SMB73" s="799"/>
      <c r="SMC73" s="800"/>
      <c r="SMD73" s="800"/>
      <c r="SME73" s="800"/>
      <c r="SMF73" s="800"/>
      <c r="SMG73" s="800"/>
      <c r="SMH73" s="705"/>
      <c r="SMI73" s="799"/>
      <c r="SMJ73" s="800"/>
      <c r="SMK73" s="800"/>
      <c r="SML73" s="800"/>
      <c r="SMM73" s="800"/>
      <c r="SMN73" s="800"/>
      <c r="SMO73" s="705"/>
      <c r="SMP73" s="799"/>
      <c r="SMQ73" s="800"/>
      <c r="SMR73" s="800"/>
      <c r="SMS73" s="800"/>
      <c r="SMT73" s="800"/>
      <c r="SMU73" s="800"/>
      <c r="SMV73" s="705"/>
      <c r="SMW73" s="799"/>
      <c r="SMX73" s="800"/>
      <c r="SMY73" s="800"/>
      <c r="SMZ73" s="800"/>
      <c r="SNA73" s="800"/>
      <c r="SNB73" s="800"/>
      <c r="SNC73" s="705"/>
      <c r="SND73" s="799"/>
      <c r="SNE73" s="800"/>
      <c r="SNF73" s="800"/>
      <c r="SNG73" s="800"/>
      <c r="SNH73" s="800"/>
      <c r="SNI73" s="800"/>
      <c r="SNJ73" s="705"/>
      <c r="SNK73" s="799"/>
      <c r="SNL73" s="800"/>
      <c r="SNM73" s="800"/>
      <c r="SNN73" s="800"/>
      <c r="SNO73" s="800"/>
      <c r="SNP73" s="800"/>
      <c r="SNQ73" s="705"/>
      <c r="SNR73" s="799"/>
      <c r="SNS73" s="800"/>
      <c r="SNT73" s="800"/>
      <c r="SNU73" s="800"/>
      <c r="SNV73" s="800"/>
      <c r="SNW73" s="800"/>
      <c r="SNX73" s="705"/>
      <c r="SNY73" s="799"/>
      <c r="SNZ73" s="800"/>
      <c r="SOA73" s="800"/>
      <c r="SOB73" s="800"/>
      <c r="SOC73" s="800"/>
      <c r="SOD73" s="800"/>
      <c r="SOE73" s="705"/>
      <c r="SOF73" s="799"/>
      <c r="SOG73" s="800"/>
      <c r="SOH73" s="800"/>
      <c r="SOI73" s="800"/>
      <c r="SOJ73" s="800"/>
      <c r="SOK73" s="800"/>
      <c r="SOL73" s="705"/>
      <c r="SOM73" s="799"/>
      <c r="SON73" s="800"/>
      <c r="SOO73" s="800"/>
      <c r="SOP73" s="800"/>
      <c r="SOQ73" s="800"/>
      <c r="SOR73" s="800"/>
      <c r="SOS73" s="705"/>
      <c r="SOT73" s="799"/>
      <c r="SOU73" s="800"/>
      <c r="SOV73" s="800"/>
      <c r="SOW73" s="800"/>
      <c r="SOX73" s="800"/>
      <c r="SOY73" s="800"/>
      <c r="SOZ73" s="705"/>
      <c r="SPA73" s="799"/>
      <c r="SPB73" s="800"/>
      <c r="SPC73" s="800"/>
      <c r="SPD73" s="800"/>
      <c r="SPE73" s="800"/>
      <c r="SPF73" s="800"/>
      <c r="SPG73" s="705"/>
      <c r="SPH73" s="799"/>
      <c r="SPI73" s="800"/>
      <c r="SPJ73" s="800"/>
      <c r="SPK73" s="800"/>
      <c r="SPL73" s="800"/>
      <c r="SPM73" s="800"/>
      <c r="SPN73" s="705"/>
      <c r="SPO73" s="799"/>
      <c r="SPP73" s="800"/>
      <c r="SPQ73" s="800"/>
      <c r="SPR73" s="800"/>
      <c r="SPS73" s="800"/>
      <c r="SPT73" s="800"/>
      <c r="SPU73" s="705"/>
      <c r="SPV73" s="799"/>
      <c r="SPW73" s="800"/>
      <c r="SPX73" s="800"/>
      <c r="SPY73" s="800"/>
      <c r="SPZ73" s="800"/>
      <c r="SQA73" s="800"/>
      <c r="SQB73" s="705"/>
      <c r="SQC73" s="799"/>
      <c r="SQD73" s="800"/>
      <c r="SQE73" s="800"/>
      <c r="SQF73" s="800"/>
      <c r="SQG73" s="800"/>
      <c r="SQH73" s="800"/>
      <c r="SQI73" s="705"/>
      <c r="SQJ73" s="799"/>
      <c r="SQK73" s="800"/>
      <c r="SQL73" s="800"/>
      <c r="SQM73" s="800"/>
      <c r="SQN73" s="800"/>
      <c r="SQO73" s="800"/>
      <c r="SQP73" s="705"/>
      <c r="SQQ73" s="799"/>
      <c r="SQR73" s="800"/>
      <c r="SQS73" s="800"/>
      <c r="SQT73" s="800"/>
      <c r="SQU73" s="800"/>
      <c r="SQV73" s="800"/>
      <c r="SQW73" s="705"/>
      <c r="SQX73" s="799"/>
      <c r="SQY73" s="800"/>
      <c r="SQZ73" s="800"/>
      <c r="SRA73" s="800"/>
      <c r="SRB73" s="800"/>
      <c r="SRC73" s="800"/>
      <c r="SRD73" s="705"/>
      <c r="SRE73" s="799"/>
      <c r="SRF73" s="800"/>
      <c r="SRG73" s="800"/>
      <c r="SRH73" s="800"/>
      <c r="SRI73" s="800"/>
      <c r="SRJ73" s="800"/>
      <c r="SRK73" s="705"/>
      <c r="SRL73" s="799"/>
      <c r="SRM73" s="800"/>
      <c r="SRN73" s="800"/>
      <c r="SRO73" s="800"/>
      <c r="SRP73" s="800"/>
      <c r="SRQ73" s="800"/>
      <c r="SRR73" s="705"/>
      <c r="SRS73" s="799"/>
      <c r="SRT73" s="800"/>
      <c r="SRU73" s="800"/>
      <c r="SRV73" s="800"/>
      <c r="SRW73" s="800"/>
      <c r="SRX73" s="800"/>
      <c r="SRY73" s="705"/>
      <c r="SRZ73" s="799"/>
      <c r="SSA73" s="800"/>
      <c r="SSB73" s="800"/>
      <c r="SSC73" s="800"/>
      <c r="SSD73" s="800"/>
      <c r="SSE73" s="800"/>
      <c r="SSF73" s="705"/>
      <c r="SSG73" s="799"/>
      <c r="SSH73" s="800"/>
      <c r="SSI73" s="800"/>
      <c r="SSJ73" s="800"/>
      <c r="SSK73" s="800"/>
      <c r="SSL73" s="800"/>
      <c r="SSM73" s="705"/>
      <c r="SSN73" s="799"/>
      <c r="SSO73" s="800"/>
      <c r="SSP73" s="800"/>
      <c r="SSQ73" s="800"/>
      <c r="SSR73" s="800"/>
      <c r="SSS73" s="800"/>
      <c r="SST73" s="705"/>
      <c r="SSU73" s="799"/>
      <c r="SSV73" s="800"/>
      <c r="SSW73" s="800"/>
      <c r="SSX73" s="800"/>
      <c r="SSY73" s="800"/>
      <c r="SSZ73" s="800"/>
      <c r="STA73" s="705"/>
      <c r="STB73" s="799"/>
      <c r="STC73" s="800"/>
      <c r="STD73" s="800"/>
      <c r="STE73" s="800"/>
      <c r="STF73" s="800"/>
      <c r="STG73" s="800"/>
      <c r="STH73" s="705"/>
      <c r="STI73" s="799"/>
      <c r="STJ73" s="800"/>
      <c r="STK73" s="800"/>
      <c r="STL73" s="800"/>
      <c r="STM73" s="800"/>
      <c r="STN73" s="800"/>
      <c r="STO73" s="705"/>
      <c r="STP73" s="799"/>
      <c r="STQ73" s="800"/>
      <c r="STR73" s="800"/>
      <c r="STS73" s="800"/>
      <c r="STT73" s="800"/>
      <c r="STU73" s="800"/>
      <c r="STV73" s="705"/>
      <c r="STW73" s="799"/>
      <c r="STX73" s="800"/>
      <c r="STY73" s="800"/>
      <c r="STZ73" s="800"/>
      <c r="SUA73" s="800"/>
      <c r="SUB73" s="800"/>
      <c r="SUC73" s="705"/>
      <c r="SUD73" s="799"/>
      <c r="SUE73" s="800"/>
      <c r="SUF73" s="800"/>
      <c r="SUG73" s="800"/>
      <c r="SUH73" s="800"/>
      <c r="SUI73" s="800"/>
      <c r="SUJ73" s="705"/>
      <c r="SUK73" s="799"/>
      <c r="SUL73" s="800"/>
      <c r="SUM73" s="800"/>
      <c r="SUN73" s="800"/>
      <c r="SUO73" s="800"/>
      <c r="SUP73" s="800"/>
      <c r="SUQ73" s="705"/>
      <c r="SUR73" s="799"/>
      <c r="SUS73" s="800"/>
      <c r="SUT73" s="800"/>
      <c r="SUU73" s="800"/>
      <c r="SUV73" s="800"/>
      <c r="SUW73" s="800"/>
      <c r="SUX73" s="705"/>
      <c r="SUY73" s="799"/>
      <c r="SUZ73" s="800"/>
      <c r="SVA73" s="800"/>
      <c r="SVB73" s="800"/>
      <c r="SVC73" s="800"/>
      <c r="SVD73" s="800"/>
      <c r="SVE73" s="705"/>
      <c r="SVF73" s="799"/>
      <c r="SVG73" s="800"/>
      <c r="SVH73" s="800"/>
      <c r="SVI73" s="800"/>
      <c r="SVJ73" s="800"/>
      <c r="SVK73" s="800"/>
      <c r="SVL73" s="705"/>
      <c r="SVM73" s="799"/>
      <c r="SVN73" s="800"/>
      <c r="SVO73" s="800"/>
      <c r="SVP73" s="800"/>
      <c r="SVQ73" s="800"/>
      <c r="SVR73" s="800"/>
      <c r="SVS73" s="705"/>
      <c r="SVT73" s="799"/>
      <c r="SVU73" s="800"/>
      <c r="SVV73" s="800"/>
      <c r="SVW73" s="800"/>
      <c r="SVX73" s="800"/>
      <c r="SVY73" s="800"/>
      <c r="SVZ73" s="705"/>
      <c r="SWA73" s="799"/>
      <c r="SWB73" s="800"/>
      <c r="SWC73" s="800"/>
      <c r="SWD73" s="800"/>
      <c r="SWE73" s="800"/>
      <c r="SWF73" s="800"/>
      <c r="SWG73" s="705"/>
      <c r="SWH73" s="799"/>
      <c r="SWI73" s="800"/>
      <c r="SWJ73" s="800"/>
      <c r="SWK73" s="800"/>
      <c r="SWL73" s="800"/>
      <c r="SWM73" s="800"/>
      <c r="SWN73" s="705"/>
      <c r="SWO73" s="799"/>
      <c r="SWP73" s="800"/>
      <c r="SWQ73" s="800"/>
      <c r="SWR73" s="800"/>
      <c r="SWS73" s="800"/>
      <c r="SWT73" s="800"/>
      <c r="SWU73" s="705"/>
      <c r="SWV73" s="799"/>
      <c r="SWW73" s="800"/>
      <c r="SWX73" s="800"/>
      <c r="SWY73" s="800"/>
      <c r="SWZ73" s="800"/>
      <c r="SXA73" s="800"/>
      <c r="SXB73" s="705"/>
      <c r="SXC73" s="799"/>
      <c r="SXD73" s="800"/>
      <c r="SXE73" s="800"/>
      <c r="SXF73" s="800"/>
      <c r="SXG73" s="800"/>
      <c r="SXH73" s="800"/>
      <c r="SXI73" s="705"/>
      <c r="SXJ73" s="799"/>
      <c r="SXK73" s="800"/>
      <c r="SXL73" s="800"/>
      <c r="SXM73" s="800"/>
      <c r="SXN73" s="800"/>
      <c r="SXO73" s="800"/>
      <c r="SXP73" s="705"/>
      <c r="SXQ73" s="799"/>
      <c r="SXR73" s="800"/>
      <c r="SXS73" s="800"/>
      <c r="SXT73" s="800"/>
      <c r="SXU73" s="800"/>
      <c r="SXV73" s="800"/>
      <c r="SXW73" s="705"/>
      <c r="SXX73" s="799"/>
      <c r="SXY73" s="800"/>
      <c r="SXZ73" s="800"/>
      <c r="SYA73" s="800"/>
      <c r="SYB73" s="800"/>
      <c r="SYC73" s="800"/>
      <c r="SYD73" s="705"/>
      <c r="SYE73" s="799"/>
      <c r="SYF73" s="800"/>
      <c r="SYG73" s="800"/>
      <c r="SYH73" s="800"/>
      <c r="SYI73" s="800"/>
      <c r="SYJ73" s="800"/>
      <c r="SYK73" s="705"/>
      <c r="SYL73" s="799"/>
      <c r="SYM73" s="800"/>
      <c r="SYN73" s="800"/>
      <c r="SYO73" s="800"/>
      <c r="SYP73" s="800"/>
      <c r="SYQ73" s="800"/>
      <c r="SYR73" s="705"/>
      <c r="SYS73" s="799"/>
      <c r="SYT73" s="800"/>
      <c r="SYU73" s="800"/>
      <c r="SYV73" s="800"/>
      <c r="SYW73" s="800"/>
      <c r="SYX73" s="800"/>
      <c r="SYY73" s="705"/>
      <c r="SYZ73" s="799"/>
      <c r="SZA73" s="800"/>
      <c r="SZB73" s="800"/>
      <c r="SZC73" s="800"/>
      <c r="SZD73" s="800"/>
      <c r="SZE73" s="800"/>
      <c r="SZF73" s="705"/>
      <c r="SZG73" s="799"/>
      <c r="SZH73" s="800"/>
      <c r="SZI73" s="800"/>
      <c r="SZJ73" s="800"/>
      <c r="SZK73" s="800"/>
      <c r="SZL73" s="800"/>
      <c r="SZM73" s="705"/>
      <c r="SZN73" s="799"/>
      <c r="SZO73" s="800"/>
      <c r="SZP73" s="800"/>
      <c r="SZQ73" s="800"/>
      <c r="SZR73" s="800"/>
      <c r="SZS73" s="800"/>
      <c r="SZT73" s="705"/>
      <c r="SZU73" s="799"/>
      <c r="SZV73" s="800"/>
      <c r="SZW73" s="800"/>
      <c r="SZX73" s="800"/>
      <c r="SZY73" s="800"/>
      <c r="SZZ73" s="800"/>
      <c r="TAA73" s="705"/>
      <c r="TAB73" s="799"/>
      <c r="TAC73" s="800"/>
      <c r="TAD73" s="800"/>
      <c r="TAE73" s="800"/>
      <c r="TAF73" s="800"/>
      <c r="TAG73" s="800"/>
      <c r="TAH73" s="705"/>
      <c r="TAI73" s="799"/>
      <c r="TAJ73" s="800"/>
      <c r="TAK73" s="800"/>
      <c r="TAL73" s="800"/>
      <c r="TAM73" s="800"/>
      <c r="TAN73" s="800"/>
      <c r="TAO73" s="705"/>
      <c r="TAP73" s="799"/>
      <c r="TAQ73" s="800"/>
      <c r="TAR73" s="800"/>
      <c r="TAS73" s="800"/>
      <c r="TAT73" s="800"/>
      <c r="TAU73" s="800"/>
      <c r="TAV73" s="705"/>
      <c r="TAW73" s="799"/>
      <c r="TAX73" s="800"/>
      <c r="TAY73" s="800"/>
      <c r="TAZ73" s="800"/>
      <c r="TBA73" s="800"/>
      <c r="TBB73" s="800"/>
      <c r="TBC73" s="705"/>
      <c r="TBD73" s="799"/>
      <c r="TBE73" s="800"/>
      <c r="TBF73" s="800"/>
      <c r="TBG73" s="800"/>
      <c r="TBH73" s="800"/>
      <c r="TBI73" s="800"/>
      <c r="TBJ73" s="705"/>
      <c r="TBK73" s="799"/>
      <c r="TBL73" s="800"/>
      <c r="TBM73" s="800"/>
      <c r="TBN73" s="800"/>
      <c r="TBO73" s="800"/>
      <c r="TBP73" s="800"/>
      <c r="TBQ73" s="705"/>
      <c r="TBR73" s="799"/>
      <c r="TBS73" s="800"/>
      <c r="TBT73" s="800"/>
      <c r="TBU73" s="800"/>
      <c r="TBV73" s="800"/>
      <c r="TBW73" s="800"/>
      <c r="TBX73" s="705"/>
      <c r="TBY73" s="799"/>
      <c r="TBZ73" s="800"/>
      <c r="TCA73" s="800"/>
      <c r="TCB73" s="800"/>
      <c r="TCC73" s="800"/>
      <c r="TCD73" s="800"/>
      <c r="TCE73" s="705"/>
      <c r="TCF73" s="799"/>
      <c r="TCG73" s="800"/>
      <c r="TCH73" s="800"/>
      <c r="TCI73" s="800"/>
      <c r="TCJ73" s="800"/>
      <c r="TCK73" s="800"/>
      <c r="TCL73" s="705"/>
      <c r="TCM73" s="799"/>
      <c r="TCN73" s="800"/>
      <c r="TCO73" s="800"/>
      <c r="TCP73" s="800"/>
      <c r="TCQ73" s="800"/>
      <c r="TCR73" s="800"/>
      <c r="TCS73" s="705"/>
      <c r="TCT73" s="799"/>
      <c r="TCU73" s="800"/>
      <c r="TCV73" s="800"/>
      <c r="TCW73" s="800"/>
      <c r="TCX73" s="800"/>
      <c r="TCY73" s="800"/>
      <c r="TCZ73" s="705"/>
      <c r="TDA73" s="799"/>
      <c r="TDB73" s="800"/>
      <c r="TDC73" s="800"/>
      <c r="TDD73" s="800"/>
      <c r="TDE73" s="800"/>
      <c r="TDF73" s="800"/>
      <c r="TDG73" s="705"/>
      <c r="TDH73" s="799"/>
      <c r="TDI73" s="800"/>
      <c r="TDJ73" s="800"/>
      <c r="TDK73" s="800"/>
      <c r="TDL73" s="800"/>
      <c r="TDM73" s="800"/>
      <c r="TDN73" s="705"/>
      <c r="TDO73" s="799"/>
      <c r="TDP73" s="800"/>
      <c r="TDQ73" s="800"/>
      <c r="TDR73" s="800"/>
      <c r="TDS73" s="800"/>
      <c r="TDT73" s="800"/>
      <c r="TDU73" s="705"/>
      <c r="TDV73" s="799"/>
      <c r="TDW73" s="800"/>
      <c r="TDX73" s="800"/>
      <c r="TDY73" s="800"/>
      <c r="TDZ73" s="800"/>
      <c r="TEA73" s="800"/>
      <c r="TEB73" s="705"/>
      <c r="TEC73" s="799"/>
      <c r="TED73" s="800"/>
      <c r="TEE73" s="800"/>
      <c r="TEF73" s="800"/>
      <c r="TEG73" s="800"/>
      <c r="TEH73" s="800"/>
      <c r="TEI73" s="705"/>
      <c r="TEJ73" s="799"/>
      <c r="TEK73" s="800"/>
      <c r="TEL73" s="800"/>
      <c r="TEM73" s="800"/>
      <c r="TEN73" s="800"/>
      <c r="TEO73" s="800"/>
      <c r="TEP73" s="705"/>
      <c r="TEQ73" s="799"/>
      <c r="TER73" s="800"/>
      <c r="TES73" s="800"/>
      <c r="TET73" s="800"/>
      <c r="TEU73" s="800"/>
      <c r="TEV73" s="800"/>
      <c r="TEW73" s="705"/>
      <c r="TEX73" s="799"/>
      <c r="TEY73" s="800"/>
      <c r="TEZ73" s="800"/>
      <c r="TFA73" s="800"/>
      <c r="TFB73" s="800"/>
      <c r="TFC73" s="800"/>
      <c r="TFD73" s="705"/>
      <c r="TFE73" s="799"/>
      <c r="TFF73" s="800"/>
      <c r="TFG73" s="800"/>
      <c r="TFH73" s="800"/>
      <c r="TFI73" s="800"/>
      <c r="TFJ73" s="800"/>
      <c r="TFK73" s="705"/>
      <c r="TFL73" s="799"/>
      <c r="TFM73" s="800"/>
      <c r="TFN73" s="800"/>
      <c r="TFO73" s="800"/>
      <c r="TFP73" s="800"/>
      <c r="TFQ73" s="800"/>
      <c r="TFR73" s="705"/>
      <c r="TFS73" s="799"/>
      <c r="TFT73" s="800"/>
      <c r="TFU73" s="800"/>
      <c r="TFV73" s="800"/>
      <c r="TFW73" s="800"/>
      <c r="TFX73" s="800"/>
      <c r="TFY73" s="705"/>
      <c r="TFZ73" s="799"/>
      <c r="TGA73" s="800"/>
      <c r="TGB73" s="800"/>
      <c r="TGC73" s="800"/>
      <c r="TGD73" s="800"/>
      <c r="TGE73" s="800"/>
      <c r="TGF73" s="705"/>
      <c r="TGG73" s="799"/>
      <c r="TGH73" s="800"/>
      <c r="TGI73" s="800"/>
      <c r="TGJ73" s="800"/>
      <c r="TGK73" s="800"/>
      <c r="TGL73" s="800"/>
      <c r="TGM73" s="705"/>
      <c r="TGN73" s="799"/>
      <c r="TGO73" s="800"/>
      <c r="TGP73" s="800"/>
      <c r="TGQ73" s="800"/>
      <c r="TGR73" s="800"/>
      <c r="TGS73" s="800"/>
      <c r="TGT73" s="705"/>
      <c r="TGU73" s="799"/>
      <c r="TGV73" s="800"/>
      <c r="TGW73" s="800"/>
      <c r="TGX73" s="800"/>
      <c r="TGY73" s="800"/>
      <c r="TGZ73" s="800"/>
      <c r="THA73" s="705"/>
      <c r="THB73" s="799"/>
      <c r="THC73" s="800"/>
      <c r="THD73" s="800"/>
      <c r="THE73" s="800"/>
      <c r="THF73" s="800"/>
      <c r="THG73" s="800"/>
      <c r="THH73" s="705"/>
      <c r="THI73" s="799"/>
      <c r="THJ73" s="800"/>
      <c r="THK73" s="800"/>
      <c r="THL73" s="800"/>
      <c r="THM73" s="800"/>
      <c r="THN73" s="800"/>
      <c r="THO73" s="705"/>
      <c r="THP73" s="799"/>
      <c r="THQ73" s="800"/>
      <c r="THR73" s="800"/>
      <c r="THS73" s="800"/>
      <c r="THT73" s="800"/>
      <c r="THU73" s="800"/>
      <c r="THV73" s="705"/>
      <c r="THW73" s="799"/>
      <c r="THX73" s="800"/>
      <c r="THY73" s="800"/>
      <c r="THZ73" s="800"/>
      <c r="TIA73" s="800"/>
      <c r="TIB73" s="800"/>
      <c r="TIC73" s="705"/>
      <c r="TID73" s="799"/>
      <c r="TIE73" s="800"/>
      <c r="TIF73" s="800"/>
      <c r="TIG73" s="800"/>
      <c r="TIH73" s="800"/>
      <c r="TII73" s="800"/>
      <c r="TIJ73" s="705"/>
      <c r="TIK73" s="799"/>
      <c r="TIL73" s="800"/>
      <c r="TIM73" s="800"/>
      <c r="TIN73" s="800"/>
      <c r="TIO73" s="800"/>
      <c r="TIP73" s="800"/>
      <c r="TIQ73" s="705"/>
      <c r="TIR73" s="799"/>
      <c r="TIS73" s="800"/>
      <c r="TIT73" s="800"/>
      <c r="TIU73" s="800"/>
      <c r="TIV73" s="800"/>
      <c r="TIW73" s="800"/>
      <c r="TIX73" s="705"/>
      <c r="TIY73" s="799"/>
      <c r="TIZ73" s="800"/>
      <c r="TJA73" s="800"/>
      <c r="TJB73" s="800"/>
      <c r="TJC73" s="800"/>
      <c r="TJD73" s="800"/>
      <c r="TJE73" s="705"/>
      <c r="TJF73" s="799"/>
      <c r="TJG73" s="800"/>
      <c r="TJH73" s="800"/>
      <c r="TJI73" s="800"/>
      <c r="TJJ73" s="800"/>
      <c r="TJK73" s="800"/>
      <c r="TJL73" s="705"/>
      <c r="TJM73" s="799"/>
      <c r="TJN73" s="800"/>
      <c r="TJO73" s="800"/>
      <c r="TJP73" s="800"/>
      <c r="TJQ73" s="800"/>
      <c r="TJR73" s="800"/>
      <c r="TJS73" s="705"/>
      <c r="TJT73" s="799"/>
      <c r="TJU73" s="800"/>
      <c r="TJV73" s="800"/>
      <c r="TJW73" s="800"/>
      <c r="TJX73" s="800"/>
      <c r="TJY73" s="800"/>
      <c r="TJZ73" s="705"/>
      <c r="TKA73" s="799"/>
      <c r="TKB73" s="800"/>
      <c r="TKC73" s="800"/>
      <c r="TKD73" s="800"/>
      <c r="TKE73" s="800"/>
      <c r="TKF73" s="800"/>
      <c r="TKG73" s="705"/>
      <c r="TKH73" s="799"/>
      <c r="TKI73" s="800"/>
      <c r="TKJ73" s="800"/>
      <c r="TKK73" s="800"/>
      <c r="TKL73" s="800"/>
      <c r="TKM73" s="800"/>
      <c r="TKN73" s="705"/>
      <c r="TKO73" s="799"/>
      <c r="TKP73" s="800"/>
      <c r="TKQ73" s="800"/>
      <c r="TKR73" s="800"/>
      <c r="TKS73" s="800"/>
      <c r="TKT73" s="800"/>
      <c r="TKU73" s="705"/>
      <c r="TKV73" s="799"/>
      <c r="TKW73" s="800"/>
      <c r="TKX73" s="800"/>
      <c r="TKY73" s="800"/>
      <c r="TKZ73" s="800"/>
      <c r="TLA73" s="800"/>
      <c r="TLB73" s="705"/>
      <c r="TLC73" s="799"/>
      <c r="TLD73" s="800"/>
      <c r="TLE73" s="800"/>
      <c r="TLF73" s="800"/>
      <c r="TLG73" s="800"/>
      <c r="TLH73" s="800"/>
      <c r="TLI73" s="705"/>
      <c r="TLJ73" s="799"/>
      <c r="TLK73" s="800"/>
      <c r="TLL73" s="800"/>
      <c r="TLM73" s="800"/>
      <c r="TLN73" s="800"/>
      <c r="TLO73" s="800"/>
      <c r="TLP73" s="705"/>
      <c r="TLQ73" s="799"/>
      <c r="TLR73" s="800"/>
      <c r="TLS73" s="800"/>
      <c r="TLT73" s="800"/>
      <c r="TLU73" s="800"/>
      <c r="TLV73" s="800"/>
      <c r="TLW73" s="705"/>
      <c r="TLX73" s="799"/>
      <c r="TLY73" s="800"/>
      <c r="TLZ73" s="800"/>
      <c r="TMA73" s="800"/>
      <c r="TMB73" s="800"/>
      <c r="TMC73" s="800"/>
      <c r="TMD73" s="705"/>
      <c r="TME73" s="799"/>
      <c r="TMF73" s="800"/>
      <c r="TMG73" s="800"/>
      <c r="TMH73" s="800"/>
      <c r="TMI73" s="800"/>
      <c r="TMJ73" s="800"/>
      <c r="TMK73" s="705"/>
      <c r="TML73" s="799"/>
      <c r="TMM73" s="800"/>
      <c r="TMN73" s="800"/>
      <c r="TMO73" s="800"/>
      <c r="TMP73" s="800"/>
      <c r="TMQ73" s="800"/>
      <c r="TMR73" s="705"/>
      <c r="TMS73" s="799"/>
      <c r="TMT73" s="800"/>
      <c r="TMU73" s="800"/>
      <c r="TMV73" s="800"/>
      <c r="TMW73" s="800"/>
      <c r="TMX73" s="800"/>
      <c r="TMY73" s="705"/>
      <c r="TMZ73" s="799"/>
      <c r="TNA73" s="800"/>
      <c r="TNB73" s="800"/>
      <c r="TNC73" s="800"/>
      <c r="TND73" s="800"/>
      <c r="TNE73" s="800"/>
      <c r="TNF73" s="705"/>
      <c r="TNG73" s="799"/>
      <c r="TNH73" s="800"/>
      <c r="TNI73" s="800"/>
      <c r="TNJ73" s="800"/>
      <c r="TNK73" s="800"/>
      <c r="TNL73" s="800"/>
      <c r="TNM73" s="705"/>
      <c r="TNN73" s="799"/>
      <c r="TNO73" s="800"/>
      <c r="TNP73" s="800"/>
      <c r="TNQ73" s="800"/>
      <c r="TNR73" s="800"/>
      <c r="TNS73" s="800"/>
      <c r="TNT73" s="705"/>
      <c r="TNU73" s="799"/>
      <c r="TNV73" s="800"/>
      <c r="TNW73" s="800"/>
      <c r="TNX73" s="800"/>
      <c r="TNY73" s="800"/>
      <c r="TNZ73" s="800"/>
      <c r="TOA73" s="705"/>
      <c r="TOB73" s="799"/>
      <c r="TOC73" s="800"/>
      <c r="TOD73" s="800"/>
      <c r="TOE73" s="800"/>
      <c r="TOF73" s="800"/>
      <c r="TOG73" s="800"/>
      <c r="TOH73" s="705"/>
      <c r="TOI73" s="799"/>
      <c r="TOJ73" s="800"/>
      <c r="TOK73" s="800"/>
      <c r="TOL73" s="800"/>
      <c r="TOM73" s="800"/>
      <c r="TON73" s="800"/>
      <c r="TOO73" s="705"/>
      <c r="TOP73" s="799"/>
      <c r="TOQ73" s="800"/>
      <c r="TOR73" s="800"/>
      <c r="TOS73" s="800"/>
      <c r="TOT73" s="800"/>
      <c r="TOU73" s="800"/>
      <c r="TOV73" s="705"/>
      <c r="TOW73" s="799"/>
      <c r="TOX73" s="800"/>
      <c r="TOY73" s="800"/>
      <c r="TOZ73" s="800"/>
      <c r="TPA73" s="800"/>
      <c r="TPB73" s="800"/>
      <c r="TPC73" s="705"/>
      <c r="TPD73" s="799"/>
      <c r="TPE73" s="800"/>
      <c r="TPF73" s="800"/>
      <c r="TPG73" s="800"/>
      <c r="TPH73" s="800"/>
      <c r="TPI73" s="800"/>
      <c r="TPJ73" s="705"/>
      <c r="TPK73" s="799"/>
      <c r="TPL73" s="800"/>
      <c r="TPM73" s="800"/>
      <c r="TPN73" s="800"/>
      <c r="TPO73" s="800"/>
      <c r="TPP73" s="800"/>
      <c r="TPQ73" s="705"/>
      <c r="TPR73" s="799"/>
      <c r="TPS73" s="800"/>
      <c r="TPT73" s="800"/>
      <c r="TPU73" s="800"/>
      <c r="TPV73" s="800"/>
      <c r="TPW73" s="800"/>
      <c r="TPX73" s="705"/>
      <c r="TPY73" s="799"/>
      <c r="TPZ73" s="800"/>
      <c r="TQA73" s="800"/>
      <c r="TQB73" s="800"/>
      <c r="TQC73" s="800"/>
      <c r="TQD73" s="800"/>
      <c r="TQE73" s="705"/>
      <c r="TQF73" s="799"/>
      <c r="TQG73" s="800"/>
      <c r="TQH73" s="800"/>
      <c r="TQI73" s="800"/>
      <c r="TQJ73" s="800"/>
      <c r="TQK73" s="800"/>
      <c r="TQL73" s="705"/>
      <c r="TQM73" s="799"/>
      <c r="TQN73" s="800"/>
      <c r="TQO73" s="800"/>
      <c r="TQP73" s="800"/>
      <c r="TQQ73" s="800"/>
      <c r="TQR73" s="800"/>
      <c r="TQS73" s="705"/>
      <c r="TQT73" s="799"/>
      <c r="TQU73" s="800"/>
      <c r="TQV73" s="800"/>
      <c r="TQW73" s="800"/>
      <c r="TQX73" s="800"/>
      <c r="TQY73" s="800"/>
      <c r="TQZ73" s="705"/>
      <c r="TRA73" s="799"/>
      <c r="TRB73" s="800"/>
      <c r="TRC73" s="800"/>
      <c r="TRD73" s="800"/>
      <c r="TRE73" s="800"/>
      <c r="TRF73" s="800"/>
      <c r="TRG73" s="705"/>
      <c r="TRH73" s="799"/>
      <c r="TRI73" s="800"/>
      <c r="TRJ73" s="800"/>
      <c r="TRK73" s="800"/>
      <c r="TRL73" s="800"/>
      <c r="TRM73" s="800"/>
      <c r="TRN73" s="705"/>
      <c r="TRO73" s="799"/>
      <c r="TRP73" s="800"/>
      <c r="TRQ73" s="800"/>
      <c r="TRR73" s="800"/>
      <c r="TRS73" s="800"/>
      <c r="TRT73" s="800"/>
      <c r="TRU73" s="705"/>
      <c r="TRV73" s="799"/>
      <c r="TRW73" s="800"/>
      <c r="TRX73" s="800"/>
      <c r="TRY73" s="800"/>
      <c r="TRZ73" s="800"/>
      <c r="TSA73" s="800"/>
      <c r="TSB73" s="705"/>
      <c r="TSC73" s="799"/>
      <c r="TSD73" s="800"/>
      <c r="TSE73" s="800"/>
      <c r="TSF73" s="800"/>
      <c r="TSG73" s="800"/>
      <c r="TSH73" s="800"/>
      <c r="TSI73" s="705"/>
      <c r="TSJ73" s="799"/>
      <c r="TSK73" s="800"/>
      <c r="TSL73" s="800"/>
      <c r="TSM73" s="800"/>
      <c r="TSN73" s="800"/>
      <c r="TSO73" s="800"/>
      <c r="TSP73" s="705"/>
      <c r="TSQ73" s="799"/>
      <c r="TSR73" s="800"/>
      <c r="TSS73" s="800"/>
      <c r="TST73" s="800"/>
      <c r="TSU73" s="800"/>
      <c r="TSV73" s="800"/>
      <c r="TSW73" s="705"/>
      <c r="TSX73" s="799"/>
      <c r="TSY73" s="800"/>
      <c r="TSZ73" s="800"/>
      <c r="TTA73" s="800"/>
      <c r="TTB73" s="800"/>
      <c r="TTC73" s="800"/>
      <c r="TTD73" s="705"/>
      <c r="TTE73" s="799"/>
      <c r="TTF73" s="800"/>
      <c r="TTG73" s="800"/>
      <c r="TTH73" s="800"/>
      <c r="TTI73" s="800"/>
      <c r="TTJ73" s="800"/>
      <c r="TTK73" s="705"/>
      <c r="TTL73" s="799"/>
      <c r="TTM73" s="800"/>
      <c r="TTN73" s="800"/>
      <c r="TTO73" s="800"/>
      <c r="TTP73" s="800"/>
      <c r="TTQ73" s="800"/>
      <c r="TTR73" s="705"/>
      <c r="TTS73" s="799"/>
      <c r="TTT73" s="800"/>
      <c r="TTU73" s="800"/>
      <c r="TTV73" s="800"/>
      <c r="TTW73" s="800"/>
      <c r="TTX73" s="800"/>
      <c r="TTY73" s="705"/>
      <c r="TTZ73" s="799"/>
      <c r="TUA73" s="800"/>
      <c r="TUB73" s="800"/>
      <c r="TUC73" s="800"/>
      <c r="TUD73" s="800"/>
      <c r="TUE73" s="800"/>
      <c r="TUF73" s="705"/>
      <c r="TUG73" s="799"/>
      <c r="TUH73" s="800"/>
      <c r="TUI73" s="800"/>
      <c r="TUJ73" s="800"/>
      <c r="TUK73" s="800"/>
      <c r="TUL73" s="800"/>
      <c r="TUM73" s="705"/>
      <c r="TUN73" s="799"/>
      <c r="TUO73" s="800"/>
      <c r="TUP73" s="800"/>
      <c r="TUQ73" s="800"/>
      <c r="TUR73" s="800"/>
      <c r="TUS73" s="800"/>
      <c r="TUT73" s="705"/>
      <c r="TUU73" s="799"/>
      <c r="TUV73" s="800"/>
      <c r="TUW73" s="800"/>
      <c r="TUX73" s="800"/>
      <c r="TUY73" s="800"/>
      <c r="TUZ73" s="800"/>
      <c r="TVA73" s="705"/>
      <c r="TVB73" s="799"/>
      <c r="TVC73" s="800"/>
      <c r="TVD73" s="800"/>
      <c r="TVE73" s="800"/>
      <c r="TVF73" s="800"/>
      <c r="TVG73" s="800"/>
      <c r="TVH73" s="705"/>
      <c r="TVI73" s="799"/>
      <c r="TVJ73" s="800"/>
      <c r="TVK73" s="800"/>
      <c r="TVL73" s="800"/>
      <c r="TVM73" s="800"/>
      <c r="TVN73" s="800"/>
      <c r="TVO73" s="705"/>
      <c r="TVP73" s="799"/>
      <c r="TVQ73" s="800"/>
      <c r="TVR73" s="800"/>
      <c r="TVS73" s="800"/>
      <c r="TVT73" s="800"/>
      <c r="TVU73" s="800"/>
      <c r="TVV73" s="705"/>
      <c r="TVW73" s="799"/>
      <c r="TVX73" s="800"/>
      <c r="TVY73" s="800"/>
      <c r="TVZ73" s="800"/>
      <c r="TWA73" s="800"/>
      <c r="TWB73" s="800"/>
      <c r="TWC73" s="705"/>
      <c r="TWD73" s="799"/>
      <c r="TWE73" s="800"/>
      <c r="TWF73" s="800"/>
      <c r="TWG73" s="800"/>
      <c r="TWH73" s="800"/>
      <c r="TWI73" s="800"/>
      <c r="TWJ73" s="705"/>
      <c r="TWK73" s="799"/>
      <c r="TWL73" s="800"/>
      <c r="TWM73" s="800"/>
      <c r="TWN73" s="800"/>
      <c r="TWO73" s="800"/>
      <c r="TWP73" s="800"/>
      <c r="TWQ73" s="705"/>
      <c r="TWR73" s="799"/>
      <c r="TWS73" s="800"/>
      <c r="TWT73" s="800"/>
      <c r="TWU73" s="800"/>
      <c r="TWV73" s="800"/>
      <c r="TWW73" s="800"/>
      <c r="TWX73" s="705"/>
      <c r="TWY73" s="799"/>
      <c r="TWZ73" s="800"/>
      <c r="TXA73" s="800"/>
      <c r="TXB73" s="800"/>
      <c r="TXC73" s="800"/>
      <c r="TXD73" s="800"/>
      <c r="TXE73" s="705"/>
      <c r="TXF73" s="799"/>
      <c r="TXG73" s="800"/>
      <c r="TXH73" s="800"/>
      <c r="TXI73" s="800"/>
      <c r="TXJ73" s="800"/>
      <c r="TXK73" s="800"/>
      <c r="TXL73" s="705"/>
      <c r="TXM73" s="799"/>
      <c r="TXN73" s="800"/>
      <c r="TXO73" s="800"/>
      <c r="TXP73" s="800"/>
      <c r="TXQ73" s="800"/>
      <c r="TXR73" s="800"/>
      <c r="TXS73" s="705"/>
      <c r="TXT73" s="799"/>
      <c r="TXU73" s="800"/>
      <c r="TXV73" s="800"/>
      <c r="TXW73" s="800"/>
      <c r="TXX73" s="800"/>
      <c r="TXY73" s="800"/>
      <c r="TXZ73" s="705"/>
      <c r="TYA73" s="799"/>
      <c r="TYB73" s="800"/>
      <c r="TYC73" s="800"/>
      <c r="TYD73" s="800"/>
      <c r="TYE73" s="800"/>
      <c r="TYF73" s="800"/>
      <c r="TYG73" s="705"/>
      <c r="TYH73" s="799"/>
      <c r="TYI73" s="800"/>
      <c r="TYJ73" s="800"/>
      <c r="TYK73" s="800"/>
      <c r="TYL73" s="800"/>
      <c r="TYM73" s="800"/>
      <c r="TYN73" s="705"/>
      <c r="TYO73" s="799"/>
      <c r="TYP73" s="800"/>
      <c r="TYQ73" s="800"/>
      <c r="TYR73" s="800"/>
      <c r="TYS73" s="800"/>
      <c r="TYT73" s="800"/>
      <c r="TYU73" s="705"/>
      <c r="TYV73" s="799"/>
      <c r="TYW73" s="800"/>
      <c r="TYX73" s="800"/>
      <c r="TYY73" s="800"/>
      <c r="TYZ73" s="800"/>
      <c r="TZA73" s="800"/>
      <c r="TZB73" s="705"/>
      <c r="TZC73" s="799"/>
      <c r="TZD73" s="800"/>
      <c r="TZE73" s="800"/>
      <c r="TZF73" s="800"/>
      <c r="TZG73" s="800"/>
      <c r="TZH73" s="800"/>
      <c r="TZI73" s="705"/>
      <c r="TZJ73" s="799"/>
      <c r="TZK73" s="800"/>
      <c r="TZL73" s="800"/>
      <c r="TZM73" s="800"/>
      <c r="TZN73" s="800"/>
      <c r="TZO73" s="800"/>
      <c r="TZP73" s="705"/>
      <c r="TZQ73" s="799"/>
      <c r="TZR73" s="800"/>
      <c r="TZS73" s="800"/>
      <c r="TZT73" s="800"/>
      <c r="TZU73" s="800"/>
      <c r="TZV73" s="800"/>
      <c r="TZW73" s="705"/>
      <c r="TZX73" s="799"/>
      <c r="TZY73" s="800"/>
      <c r="TZZ73" s="800"/>
      <c r="UAA73" s="800"/>
      <c r="UAB73" s="800"/>
      <c r="UAC73" s="800"/>
      <c r="UAD73" s="705"/>
      <c r="UAE73" s="799"/>
      <c r="UAF73" s="800"/>
      <c r="UAG73" s="800"/>
      <c r="UAH73" s="800"/>
      <c r="UAI73" s="800"/>
      <c r="UAJ73" s="800"/>
      <c r="UAK73" s="705"/>
      <c r="UAL73" s="799"/>
      <c r="UAM73" s="800"/>
      <c r="UAN73" s="800"/>
      <c r="UAO73" s="800"/>
      <c r="UAP73" s="800"/>
      <c r="UAQ73" s="800"/>
      <c r="UAR73" s="705"/>
      <c r="UAS73" s="799"/>
      <c r="UAT73" s="800"/>
      <c r="UAU73" s="800"/>
      <c r="UAV73" s="800"/>
      <c r="UAW73" s="800"/>
      <c r="UAX73" s="800"/>
      <c r="UAY73" s="705"/>
      <c r="UAZ73" s="799"/>
      <c r="UBA73" s="800"/>
      <c r="UBB73" s="800"/>
      <c r="UBC73" s="800"/>
      <c r="UBD73" s="800"/>
      <c r="UBE73" s="800"/>
      <c r="UBF73" s="705"/>
      <c r="UBG73" s="799"/>
      <c r="UBH73" s="800"/>
      <c r="UBI73" s="800"/>
      <c r="UBJ73" s="800"/>
      <c r="UBK73" s="800"/>
      <c r="UBL73" s="800"/>
      <c r="UBM73" s="705"/>
      <c r="UBN73" s="799"/>
      <c r="UBO73" s="800"/>
      <c r="UBP73" s="800"/>
      <c r="UBQ73" s="800"/>
      <c r="UBR73" s="800"/>
      <c r="UBS73" s="800"/>
      <c r="UBT73" s="705"/>
      <c r="UBU73" s="799"/>
      <c r="UBV73" s="800"/>
      <c r="UBW73" s="800"/>
      <c r="UBX73" s="800"/>
      <c r="UBY73" s="800"/>
      <c r="UBZ73" s="800"/>
      <c r="UCA73" s="705"/>
      <c r="UCB73" s="799"/>
      <c r="UCC73" s="800"/>
      <c r="UCD73" s="800"/>
      <c r="UCE73" s="800"/>
      <c r="UCF73" s="800"/>
      <c r="UCG73" s="800"/>
      <c r="UCH73" s="705"/>
      <c r="UCI73" s="799"/>
      <c r="UCJ73" s="800"/>
      <c r="UCK73" s="800"/>
      <c r="UCL73" s="800"/>
      <c r="UCM73" s="800"/>
      <c r="UCN73" s="800"/>
      <c r="UCO73" s="705"/>
      <c r="UCP73" s="799"/>
      <c r="UCQ73" s="800"/>
      <c r="UCR73" s="800"/>
      <c r="UCS73" s="800"/>
      <c r="UCT73" s="800"/>
      <c r="UCU73" s="800"/>
      <c r="UCV73" s="705"/>
      <c r="UCW73" s="799"/>
      <c r="UCX73" s="800"/>
      <c r="UCY73" s="800"/>
      <c r="UCZ73" s="800"/>
      <c r="UDA73" s="800"/>
      <c r="UDB73" s="800"/>
      <c r="UDC73" s="705"/>
      <c r="UDD73" s="799"/>
      <c r="UDE73" s="800"/>
      <c r="UDF73" s="800"/>
      <c r="UDG73" s="800"/>
      <c r="UDH73" s="800"/>
      <c r="UDI73" s="800"/>
      <c r="UDJ73" s="705"/>
      <c r="UDK73" s="799"/>
      <c r="UDL73" s="800"/>
      <c r="UDM73" s="800"/>
      <c r="UDN73" s="800"/>
      <c r="UDO73" s="800"/>
      <c r="UDP73" s="800"/>
      <c r="UDQ73" s="705"/>
      <c r="UDR73" s="799"/>
      <c r="UDS73" s="800"/>
      <c r="UDT73" s="800"/>
      <c r="UDU73" s="800"/>
      <c r="UDV73" s="800"/>
      <c r="UDW73" s="800"/>
      <c r="UDX73" s="705"/>
      <c r="UDY73" s="799"/>
      <c r="UDZ73" s="800"/>
      <c r="UEA73" s="800"/>
      <c r="UEB73" s="800"/>
      <c r="UEC73" s="800"/>
      <c r="UED73" s="800"/>
      <c r="UEE73" s="705"/>
      <c r="UEF73" s="799"/>
      <c r="UEG73" s="800"/>
      <c r="UEH73" s="800"/>
      <c r="UEI73" s="800"/>
      <c r="UEJ73" s="800"/>
      <c r="UEK73" s="800"/>
      <c r="UEL73" s="705"/>
      <c r="UEM73" s="799"/>
      <c r="UEN73" s="800"/>
      <c r="UEO73" s="800"/>
      <c r="UEP73" s="800"/>
      <c r="UEQ73" s="800"/>
      <c r="UER73" s="800"/>
      <c r="UES73" s="705"/>
      <c r="UET73" s="799"/>
      <c r="UEU73" s="800"/>
      <c r="UEV73" s="800"/>
      <c r="UEW73" s="800"/>
      <c r="UEX73" s="800"/>
      <c r="UEY73" s="800"/>
      <c r="UEZ73" s="705"/>
      <c r="UFA73" s="799"/>
      <c r="UFB73" s="800"/>
      <c r="UFC73" s="800"/>
      <c r="UFD73" s="800"/>
      <c r="UFE73" s="800"/>
      <c r="UFF73" s="800"/>
      <c r="UFG73" s="705"/>
      <c r="UFH73" s="799"/>
      <c r="UFI73" s="800"/>
      <c r="UFJ73" s="800"/>
      <c r="UFK73" s="800"/>
      <c r="UFL73" s="800"/>
      <c r="UFM73" s="800"/>
      <c r="UFN73" s="705"/>
      <c r="UFO73" s="799"/>
      <c r="UFP73" s="800"/>
      <c r="UFQ73" s="800"/>
      <c r="UFR73" s="800"/>
      <c r="UFS73" s="800"/>
      <c r="UFT73" s="800"/>
      <c r="UFU73" s="705"/>
      <c r="UFV73" s="799"/>
      <c r="UFW73" s="800"/>
      <c r="UFX73" s="800"/>
      <c r="UFY73" s="800"/>
      <c r="UFZ73" s="800"/>
      <c r="UGA73" s="800"/>
      <c r="UGB73" s="705"/>
      <c r="UGC73" s="799"/>
      <c r="UGD73" s="800"/>
      <c r="UGE73" s="800"/>
      <c r="UGF73" s="800"/>
      <c r="UGG73" s="800"/>
      <c r="UGH73" s="800"/>
      <c r="UGI73" s="705"/>
      <c r="UGJ73" s="799"/>
      <c r="UGK73" s="800"/>
      <c r="UGL73" s="800"/>
      <c r="UGM73" s="800"/>
      <c r="UGN73" s="800"/>
      <c r="UGO73" s="800"/>
      <c r="UGP73" s="705"/>
      <c r="UGQ73" s="799"/>
      <c r="UGR73" s="800"/>
      <c r="UGS73" s="800"/>
      <c r="UGT73" s="800"/>
      <c r="UGU73" s="800"/>
      <c r="UGV73" s="800"/>
      <c r="UGW73" s="705"/>
      <c r="UGX73" s="799"/>
      <c r="UGY73" s="800"/>
      <c r="UGZ73" s="800"/>
      <c r="UHA73" s="800"/>
      <c r="UHB73" s="800"/>
      <c r="UHC73" s="800"/>
      <c r="UHD73" s="705"/>
      <c r="UHE73" s="799"/>
      <c r="UHF73" s="800"/>
      <c r="UHG73" s="800"/>
      <c r="UHH73" s="800"/>
      <c r="UHI73" s="800"/>
      <c r="UHJ73" s="800"/>
      <c r="UHK73" s="705"/>
      <c r="UHL73" s="799"/>
      <c r="UHM73" s="800"/>
      <c r="UHN73" s="800"/>
      <c r="UHO73" s="800"/>
      <c r="UHP73" s="800"/>
      <c r="UHQ73" s="800"/>
      <c r="UHR73" s="705"/>
      <c r="UHS73" s="799"/>
      <c r="UHT73" s="800"/>
      <c r="UHU73" s="800"/>
      <c r="UHV73" s="800"/>
      <c r="UHW73" s="800"/>
      <c r="UHX73" s="800"/>
      <c r="UHY73" s="705"/>
      <c r="UHZ73" s="799"/>
      <c r="UIA73" s="800"/>
      <c r="UIB73" s="800"/>
      <c r="UIC73" s="800"/>
      <c r="UID73" s="800"/>
      <c r="UIE73" s="800"/>
      <c r="UIF73" s="705"/>
      <c r="UIG73" s="799"/>
      <c r="UIH73" s="800"/>
      <c r="UII73" s="800"/>
      <c r="UIJ73" s="800"/>
      <c r="UIK73" s="800"/>
      <c r="UIL73" s="800"/>
      <c r="UIM73" s="705"/>
      <c r="UIN73" s="799"/>
      <c r="UIO73" s="800"/>
      <c r="UIP73" s="800"/>
      <c r="UIQ73" s="800"/>
      <c r="UIR73" s="800"/>
      <c r="UIS73" s="800"/>
      <c r="UIT73" s="705"/>
      <c r="UIU73" s="799"/>
      <c r="UIV73" s="800"/>
      <c r="UIW73" s="800"/>
      <c r="UIX73" s="800"/>
      <c r="UIY73" s="800"/>
      <c r="UIZ73" s="800"/>
      <c r="UJA73" s="705"/>
      <c r="UJB73" s="799"/>
      <c r="UJC73" s="800"/>
      <c r="UJD73" s="800"/>
      <c r="UJE73" s="800"/>
      <c r="UJF73" s="800"/>
      <c r="UJG73" s="800"/>
      <c r="UJH73" s="705"/>
      <c r="UJI73" s="799"/>
      <c r="UJJ73" s="800"/>
      <c r="UJK73" s="800"/>
      <c r="UJL73" s="800"/>
      <c r="UJM73" s="800"/>
      <c r="UJN73" s="800"/>
      <c r="UJO73" s="705"/>
      <c r="UJP73" s="799"/>
      <c r="UJQ73" s="800"/>
      <c r="UJR73" s="800"/>
      <c r="UJS73" s="800"/>
      <c r="UJT73" s="800"/>
      <c r="UJU73" s="800"/>
      <c r="UJV73" s="705"/>
      <c r="UJW73" s="799"/>
      <c r="UJX73" s="800"/>
      <c r="UJY73" s="800"/>
      <c r="UJZ73" s="800"/>
      <c r="UKA73" s="800"/>
      <c r="UKB73" s="800"/>
      <c r="UKC73" s="705"/>
      <c r="UKD73" s="799"/>
      <c r="UKE73" s="800"/>
      <c r="UKF73" s="800"/>
      <c r="UKG73" s="800"/>
      <c r="UKH73" s="800"/>
      <c r="UKI73" s="800"/>
      <c r="UKJ73" s="705"/>
      <c r="UKK73" s="799"/>
      <c r="UKL73" s="800"/>
      <c r="UKM73" s="800"/>
      <c r="UKN73" s="800"/>
      <c r="UKO73" s="800"/>
      <c r="UKP73" s="800"/>
      <c r="UKQ73" s="705"/>
      <c r="UKR73" s="799"/>
      <c r="UKS73" s="800"/>
      <c r="UKT73" s="800"/>
      <c r="UKU73" s="800"/>
      <c r="UKV73" s="800"/>
      <c r="UKW73" s="800"/>
      <c r="UKX73" s="705"/>
      <c r="UKY73" s="799"/>
      <c r="UKZ73" s="800"/>
      <c r="ULA73" s="800"/>
      <c r="ULB73" s="800"/>
      <c r="ULC73" s="800"/>
      <c r="ULD73" s="800"/>
      <c r="ULE73" s="705"/>
      <c r="ULF73" s="799"/>
      <c r="ULG73" s="800"/>
      <c r="ULH73" s="800"/>
      <c r="ULI73" s="800"/>
      <c r="ULJ73" s="800"/>
      <c r="ULK73" s="800"/>
      <c r="ULL73" s="705"/>
      <c r="ULM73" s="799"/>
      <c r="ULN73" s="800"/>
      <c r="ULO73" s="800"/>
      <c r="ULP73" s="800"/>
      <c r="ULQ73" s="800"/>
      <c r="ULR73" s="800"/>
      <c r="ULS73" s="705"/>
      <c r="ULT73" s="799"/>
      <c r="ULU73" s="800"/>
      <c r="ULV73" s="800"/>
      <c r="ULW73" s="800"/>
      <c r="ULX73" s="800"/>
      <c r="ULY73" s="800"/>
      <c r="ULZ73" s="705"/>
      <c r="UMA73" s="799"/>
      <c r="UMB73" s="800"/>
      <c r="UMC73" s="800"/>
      <c r="UMD73" s="800"/>
      <c r="UME73" s="800"/>
      <c r="UMF73" s="800"/>
      <c r="UMG73" s="705"/>
      <c r="UMH73" s="799"/>
      <c r="UMI73" s="800"/>
      <c r="UMJ73" s="800"/>
      <c r="UMK73" s="800"/>
      <c r="UML73" s="800"/>
      <c r="UMM73" s="800"/>
      <c r="UMN73" s="705"/>
      <c r="UMO73" s="799"/>
      <c r="UMP73" s="800"/>
      <c r="UMQ73" s="800"/>
      <c r="UMR73" s="800"/>
      <c r="UMS73" s="800"/>
      <c r="UMT73" s="800"/>
      <c r="UMU73" s="705"/>
      <c r="UMV73" s="799"/>
      <c r="UMW73" s="800"/>
      <c r="UMX73" s="800"/>
      <c r="UMY73" s="800"/>
      <c r="UMZ73" s="800"/>
      <c r="UNA73" s="800"/>
      <c r="UNB73" s="705"/>
      <c r="UNC73" s="799"/>
      <c r="UND73" s="800"/>
      <c r="UNE73" s="800"/>
      <c r="UNF73" s="800"/>
      <c r="UNG73" s="800"/>
      <c r="UNH73" s="800"/>
      <c r="UNI73" s="705"/>
      <c r="UNJ73" s="799"/>
      <c r="UNK73" s="800"/>
      <c r="UNL73" s="800"/>
      <c r="UNM73" s="800"/>
      <c r="UNN73" s="800"/>
      <c r="UNO73" s="800"/>
      <c r="UNP73" s="705"/>
      <c r="UNQ73" s="799"/>
      <c r="UNR73" s="800"/>
      <c r="UNS73" s="800"/>
      <c r="UNT73" s="800"/>
      <c r="UNU73" s="800"/>
      <c r="UNV73" s="800"/>
      <c r="UNW73" s="705"/>
      <c r="UNX73" s="799"/>
      <c r="UNY73" s="800"/>
      <c r="UNZ73" s="800"/>
      <c r="UOA73" s="800"/>
      <c r="UOB73" s="800"/>
      <c r="UOC73" s="800"/>
      <c r="UOD73" s="705"/>
      <c r="UOE73" s="799"/>
      <c r="UOF73" s="800"/>
      <c r="UOG73" s="800"/>
      <c r="UOH73" s="800"/>
      <c r="UOI73" s="800"/>
      <c r="UOJ73" s="800"/>
      <c r="UOK73" s="705"/>
      <c r="UOL73" s="799"/>
      <c r="UOM73" s="800"/>
      <c r="UON73" s="800"/>
      <c r="UOO73" s="800"/>
      <c r="UOP73" s="800"/>
      <c r="UOQ73" s="800"/>
      <c r="UOR73" s="705"/>
      <c r="UOS73" s="799"/>
      <c r="UOT73" s="800"/>
      <c r="UOU73" s="800"/>
      <c r="UOV73" s="800"/>
      <c r="UOW73" s="800"/>
      <c r="UOX73" s="800"/>
      <c r="UOY73" s="705"/>
      <c r="UOZ73" s="799"/>
      <c r="UPA73" s="800"/>
      <c r="UPB73" s="800"/>
      <c r="UPC73" s="800"/>
      <c r="UPD73" s="800"/>
      <c r="UPE73" s="800"/>
      <c r="UPF73" s="705"/>
      <c r="UPG73" s="799"/>
      <c r="UPH73" s="800"/>
      <c r="UPI73" s="800"/>
      <c r="UPJ73" s="800"/>
      <c r="UPK73" s="800"/>
      <c r="UPL73" s="800"/>
      <c r="UPM73" s="705"/>
      <c r="UPN73" s="799"/>
      <c r="UPO73" s="800"/>
      <c r="UPP73" s="800"/>
      <c r="UPQ73" s="800"/>
      <c r="UPR73" s="800"/>
      <c r="UPS73" s="800"/>
      <c r="UPT73" s="705"/>
      <c r="UPU73" s="799"/>
      <c r="UPV73" s="800"/>
      <c r="UPW73" s="800"/>
      <c r="UPX73" s="800"/>
      <c r="UPY73" s="800"/>
      <c r="UPZ73" s="800"/>
      <c r="UQA73" s="705"/>
      <c r="UQB73" s="799"/>
      <c r="UQC73" s="800"/>
      <c r="UQD73" s="800"/>
      <c r="UQE73" s="800"/>
      <c r="UQF73" s="800"/>
      <c r="UQG73" s="800"/>
      <c r="UQH73" s="705"/>
      <c r="UQI73" s="799"/>
      <c r="UQJ73" s="800"/>
      <c r="UQK73" s="800"/>
      <c r="UQL73" s="800"/>
      <c r="UQM73" s="800"/>
      <c r="UQN73" s="800"/>
      <c r="UQO73" s="705"/>
      <c r="UQP73" s="799"/>
      <c r="UQQ73" s="800"/>
      <c r="UQR73" s="800"/>
      <c r="UQS73" s="800"/>
      <c r="UQT73" s="800"/>
      <c r="UQU73" s="800"/>
      <c r="UQV73" s="705"/>
      <c r="UQW73" s="799"/>
      <c r="UQX73" s="800"/>
      <c r="UQY73" s="800"/>
      <c r="UQZ73" s="800"/>
      <c r="URA73" s="800"/>
      <c r="URB73" s="800"/>
      <c r="URC73" s="705"/>
      <c r="URD73" s="799"/>
      <c r="URE73" s="800"/>
      <c r="URF73" s="800"/>
      <c r="URG73" s="800"/>
      <c r="URH73" s="800"/>
      <c r="URI73" s="800"/>
      <c r="URJ73" s="705"/>
      <c r="URK73" s="799"/>
      <c r="URL73" s="800"/>
      <c r="URM73" s="800"/>
      <c r="URN73" s="800"/>
      <c r="URO73" s="800"/>
      <c r="URP73" s="800"/>
      <c r="URQ73" s="705"/>
      <c r="URR73" s="799"/>
      <c r="URS73" s="800"/>
      <c r="URT73" s="800"/>
      <c r="URU73" s="800"/>
      <c r="URV73" s="800"/>
      <c r="URW73" s="800"/>
      <c r="URX73" s="705"/>
      <c r="URY73" s="799"/>
      <c r="URZ73" s="800"/>
      <c r="USA73" s="800"/>
      <c r="USB73" s="800"/>
      <c r="USC73" s="800"/>
      <c r="USD73" s="800"/>
      <c r="USE73" s="705"/>
      <c r="USF73" s="799"/>
      <c r="USG73" s="800"/>
      <c r="USH73" s="800"/>
      <c r="USI73" s="800"/>
      <c r="USJ73" s="800"/>
      <c r="USK73" s="800"/>
      <c r="USL73" s="705"/>
      <c r="USM73" s="799"/>
      <c r="USN73" s="800"/>
      <c r="USO73" s="800"/>
      <c r="USP73" s="800"/>
      <c r="USQ73" s="800"/>
      <c r="USR73" s="800"/>
      <c r="USS73" s="705"/>
      <c r="UST73" s="799"/>
      <c r="USU73" s="800"/>
      <c r="USV73" s="800"/>
      <c r="USW73" s="800"/>
      <c r="USX73" s="800"/>
      <c r="USY73" s="800"/>
      <c r="USZ73" s="705"/>
      <c r="UTA73" s="799"/>
      <c r="UTB73" s="800"/>
      <c r="UTC73" s="800"/>
      <c r="UTD73" s="800"/>
      <c r="UTE73" s="800"/>
      <c r="UTF73" s="800"/>
      <c r="UTG73" s="705"/>
      <c r="UTH73" s="799"/>
      <c r="UTI73" s="800"/>
      <c r="UTJ73" s="800"/>
      <c r="UTK73" s="800"/>
      <c r="UTL73" s="800"/>
      <c r="UTM73" s="800"/>
      <c r="UTN73" s="705"/>
      <c r="UTO73" s="799"/>
      <c r="UTP73" s="800"/>
      <c r="UTQ73" s="800"/>
      <c r="UTR73" s="800"/>
      <c r="UTS73" s="800"/>
      <c r="UTT73" s="800"/>
      <c r="UTU73" s="705"/>
      <c r="UTV73" s="799"/>
      <c r="UTW73" s="800"/>
      <c r="UTX73" s="800"/>
      <c r="UTY73" s="800"/>
      <c r="UTZ73" s="800"/>
      <c r="UUA73" s="800"/>
      <c r="UUB73" s="705"/>
      <c r="UUC73" s="799"/>
      <c r="UUD73" s="800"/>
      <c r="UUE73" s="800"/>
      <c r="UUF73" s="800"/>
      <c r="UUG73" s="800"/>
      <c r="UUH73" s="800"/>
      <c r="UUI73" s="705"/>
      <c r="UUJ73" s="799"/>
      <c r="UUK73" s="800"/>
      <c r="UUL73" s="800"/>
      <c r="UUM73" s="800"/>
      <c r="UUN73" s="800"/>
      <c r="UUO73" s="800"/>
      <c r="UUP73" s="705"/>
      <c r="UUQ73" s="799"/>
      <c r="UUR73" s="800"/>
      <c r="UUS73" s="800"/>
      <c r="UUT73" s="800"/>
      <c r="UUU73" s="800"/>
      <c r="UUV73" s="800"/>
      <c r="UUW73" s="705"/>
      <c r="UUX73" s="799"/>
      <c r="UUY73" s="800"/>
      <c r="UUZ73" s="800"/>
      <c r="UVA73" s="800"/>
      <c r="UVB73" s="800"/>
      <c r="UVC73" s="800"/>
      <c r="UVD73" s="705"/>
      <c r="UVE73" s="799"/>
      <c r="UVF73" s="800"/>
      <c r="UVG73" s="800"/>
      <c r="UVH73" s="800"/>
      <c r="UVI73" s="800"/>
      <c r="UVJ73" s="800"/>
      <c r="UVK73" s="705"/>
      <c r="UVL73" s="799"/>
      <c r="UVM73" s="800"/>
      <c r="UVN73" s="800"/>
      <c r="UVO73" s="800"/>
      <c r="UVP73" s="800"/>
      <c r="UVQ73" s="800"/>
      <c r="UVR73" s="705"/>
      <c r="UVS73" s="799"/>
      <c r="UVT73" s="800"/>
      <c r="UVU73" s="800"/>
      <c r="UVV73" s="800"/>
      <c r="UVW73" s="800"/>
      <c r="UVX73" s="800"/>
      <c r="UVY73" s="705"/>
      <c r="UVZ73" s="799"/>
      <c r="UWA73" s="800"/>
      <c r="UWB73" s="800"/>
      <c r="UWC73" s="800"/>
      <c r="UWD73" s="800"/>
      <c r="UWE73" s="800"/>
      <c r="UWF73" s="705"/>
      <c r="UWG73" s="799"/>
      <c r="UWH73" s="800"/>
      <c r="UWI73" s="800"/>
      <c r="UWJ73" s="800"/>
      <c r="UWK73" s="800"/>
      <c r="UWL73" s="800"/>
      <c r="UWM73" s="705"/>
      <c r="UWN73" s="799"/>
      <c r="UWO73" s="800"/>
      <c r="UWP73" s="800"/>
      <c r="UWQ73" s="800"/>
      <c r="UWR73" s="800"/>
      <c r="UWS73" s="800"/>
      <c r="UWT73" s="705"/>
      <c r="UWU73" s="799"/>
      <c r="UWV73" s="800"/>
      <c r="UWW73" s="800"/>
      <c r="UWX73" s="800"/>
      <c r="UWY73" s="800"/>
      <c r="UWZ73" s="800"/>
      <c r="UXA73" s="705"/>
      <c r="UXB73" s="799"/>
      <c r="UXC73" s="800"/>
      <c r="UXD73" s="800"/>
      <c r="UXE73" s="800"/>
      <c r="UXF73" s="800"/>
      <c r="UXG73" s="800"/>
      <c r="UXH73" s="705"/>
      <c r="UXI73" s="799"/>
      <c r="UXJ73" s="800"/>
      <c r="UXK73" s="800"/>
      <c r="UXL73" s="800"/>
      <c r="UXM73" s="800"/>
      <c r="UXN73" s="800"/>
      <c r="UXO73" s="705"/>
      <c r="UXP73" s="799"/>
      <c r="UXQ73" s="800"/>
      <c r="UXR73" s="800"/>
      <c r="UXS73" s="800"/>
      <c r="UXT73" s="800"/>
      <c r="UXU73" s="800"/>
      <c r="UXV73" s="705"/>
      <c r="UXW73" s="799"/>
      <c r="UXX73" s="800"/>
      <c r="UXY73" s="800"/>
      <c r="UXZ73" s="800"/>
      <c r="UYA73" s="800"/>
      <c r="UYB73" s="800"/>
      <c r="UYC73" s="705"/>
      <c r="UYD73" s="799"/>
      <c r="UYE73" s="800"/>
      <c r="UYF73" s="800"/>
      <c r="UYG73" s="800"/>
      <c r="UYH73" s="800"/>
      <c r="UYI73" s="800"/>
      <c r="UYJ73" s="705"/>
      <c r="UYK73" s="799"/>
      <c r="UYL73" s="800"/>
      <c r="UYM73" s="800"/>
      <c r="UYN73" s="800"/>
      <c r="UYO73" s="800"/>
      <c r="UYP73" s="800"/>
      <c r="UYQ73" s="705"/>
      <c r="UYR73" s="799"/>
      <c r="UYS73" s="800"/>
      <c r="UYT73" s="800"/>
      <c r="UYU73" s="800"/>
      <c r="UYV73" s="800"/>
      <c r="UYW73" s="800"/>
      <c r="UYX73" s="705"/>
      <c r="UYY73" s="799"/>
      <c r="UYZ73" s="800"/>
      <c r="UZA73" s="800"/>
      <c r="UZB73" s="800"/>
      <c r="UZC73" s="800"/>
      <c r="UZD73" s="800"/>
      <c r="UZE73" s="705"/>
      <c r="UZF73" s="799"/>
      <c r="UZG73" s="800"/>
      <c r="UZH73" s="800"/>
      <c r="UZI73" s="800"/>
      <c r="UZJ73" s="800"/>
      <c r="UZK73" s="800"/>
      <c r="UZL73" s="705"/>
      <c r="UZM73" s="799"/>
      <c r="UZN73" s="800"/>
      <c r="UZO73" s="800"/>
      <c r="UZP73" s="800"/>
      <c r="UZQ73" s="800"/>
      <c r="UZR73" s="800"/>
      <c r="UZS73" s="705"/>
      <c r="UZT73" s="799"/>
      <c r="UZU73" s="800"/>
      <c r="UZV73" s="800"/>
      <c r="UZW73" s="800"/>
      <c r="UZX73" s="800"/>
      <c r="UZY73" s="800"/>
      <c r="UZZ73" s="705"/>
      <c r="VAA73" s="799"/>
      <c r="VAB73" s="800"/>
      <c r="VAC73" s="800"/>
      <c r="VAD73" s="800"/>
      <c r="VAE73" s="800"/>
      <c r="VAF73" s="800"/>
      <c r="VAG73" s="705"/>
      <c r="VAH73" s="799"/>
      <c r="VAI73" s="800"/>
      <c r="VAJ73" s="800"/>
      <c r="VAK73" s="800"/>
      <c r="VAL73" s="800"/>
      <c r="VAM73" s="800"/>
      <c r="VAN73" s="705"/>
      <c r="VAO73" s="799"/>
      <c r="VAP73" s="800"/>
      <c r="VAQ73" s="800"/>
      <c r="VAR73" s="800"/>
      <c r="VAS73" s="800"/>
      <c r="VAT73" s="800"/>
      <c r="VAU73" s="705"/>
      <c r="VAV73" s="799"/>
      <c r="VAW73" s="800"/>
      <c r="VAX73" s="800"/>
      <c r="VAY73" s="800"/>
      <c r="VAZ73" s="800"/>
      <c r="VBA73" s="800"/>
      <c r="VBB73" s="705"/>
      <c r="VBC73" s="799"/>
      <c r="VBD73" s="800"/>
      <c r="VBE73" s="800"/>
      <c r="VBF73" s="800"/>
      <c r="VBG73" s="800"/>
      <c r="VBH73" s="800"/>
      <c r="VBI73" s="705"/>
      <c r="VBJ73" s="799"/>
      <c r="VBK73" s="800"/>
      <c r="VBL73" s="800"/>
      <c r="VBM73" s="800"/>
      <c r="VBN73" s="800"/>
      <c r="VBO73" s="800"/>
      <c r="VBP73" s="705"/>
      <c r="VBQ73" s="799"/>
      <c r="VBR73" s="800"/>
      <c r="VBS73" s="800"/>
      <c r="VBT73" s="800"/>
      <c r="VBU73" s="800"/>
      <c r="VBV73" s="800"/>
      <c r="VBW73" s="705"/>
      <c r="VBX73" s="799"/>
      <c r="VBY73" s="800"/>
      <c r="VBZ73" s="800"/>
      <c r="VCA73" s="800"/>
      <c r="VCB73" s="800"/>
      <c r="VCC73" s="800"/>
      <c r="VCD73" s="705"/>
      <c r="VCE73" s="799"/>
      <c r="VCF73" s="800"/>
      <c r="VCG73" s="800"/>
      <c r="VCH73" s="800"/>
      <c r="VCI73" s="800"/>
      <c r="VCJ73" s="800"/>
      <c r="VCK73" s="705"/>
      <c r="VCL73" s="799"/>
      <c r="VCM73" s="800"/>
      <c r="VCN73" s="800"/>
      <c r="VCO73" s="800"/>
      <c r="VCP73" s="800"/>
      <c r="VCQ73" s="800"/>
      <c r="VCR73" s="705"/>
      <c r="VCS73" s="799"/>
      <c r="VCT73" s="800"/>
      <c r="VCU73" s="800"/>
      <c r="VCV73" s="800"/>
      <c r="VCW73" s="800"/>
      <c r="VCX73" s="800"/>
      <c r="VCY73" s="705"/>
      <c r="VCZ73" s="799"/>
      <c r="VDA73" s="800"/>
      <c r="VDB73" s="800"/>
      <c r="VDC73" s="800"/>
      <c r="VDD73" s="800"/>
      <c r="VDE73" s="800"/>
      <c r="VDF73" s="705"/>
      <c r="VDG73" s="799"/>
      <c r="VDH73" s="800"/>
      <c r="VDI73" s="800"/>
      <c r="VDJ73" s="800"/>
      <c r="VDK73" s="800"/>
      <c r="VDL73" s="800"/>
      <c r="VDM73" s="705"/>
      <c r="VDN73" s="799"/>
      <c r="VDO73" s="800"/>
      <c r="VDP73" s="800"/>
      <c r="VDQ73" s="800"/>
      <c r="VDR73" s="800"/>
      <c r="VDS73" s="800"/>
      <c r="VDT73" s="705"/>
      <c r="VDU73" s="799"/>
      <c r="VDV73" s="800"/>
      <c r="VDW73" s="800"/>
      <c r="VDX73" s="800"/>
      <c r="VDY73" s="800"/>
      <c r="VDZ73" s="800"/>
      <c r="VEA73" s="705"/>
      <c r="VEB73" s="799"/>
      <c r="VEC73" s="800"/>
      <c r="VED73" s="800"/>
      <c r="VEE73" s="800"/>
      <c r="VEF73" s="800"/>
      <c r="VEG73" s="800"/>
      <c r="VEH73" s="705"/>
      <c r="VEI73" s="799"/>
      <c r="VEJ73" s="800"/>
      <c r="VEK73" s="800"/>
      <c r="VEL73" s="800"/>
      <c r="VEM73" s="800"/>
      <c r="VEN73" s="800"/>
      <c r="VEO73" s="705"/>
      <c r="VEP73" s="799"/>
      <c r="VEQ73" s="800"/>
      <c r="VER73" s="800"/>
      <c r="VES73" s="800"/>
      <c r="VET73" s="800"/>
      <c r="VEU73" s="800"/>
      <c r="VEV73" s="705"/>
      <c r="VEW73" s="799"/>
      <c r="VEX73" s="800"/>
      <c r="VEY73" s="800"/>
      <c r="VEZ73" s="800"/>
      <c r="VFA73" s="800"/>
      <c r="VFB73" s="800"/>
      <c r="VFC73" s="705"/>
      <c r="VFD73" s="799"/>
      <c r="VFE73" s="800"/>
      <c r="VFF73" s="800"/>
      <c r="VFG73" s="800"/>
      <c r="VFH73" s="800"/>
      <c r="VFI73" s="800"/>
      <c r="VFJ73" s="705"/>
      <c r="VFK73" s="799"/>
      <c r="VFL73" s="800"/>
      <c r="VFM73" s="800"/>
      <c r="VFN73" s="800"/>
      <c r="VFO73" s="800"/>
      <c r="VFP73" s="800"/>
      <c r="VFQ73" s="705"/>
      <c r="VFR73" s="799"/>
      <c r="VFS73" s="800"/>
      <c r="VFT73" s="800"/>
      <c r="VFU73" s="800"/>
      <c r="VFV73" s="800"/>
      <c r="VFW73" s="800"/>
      <c r="VFX73" s="705"/>
      <c r="VFY73" s="799"/>
      <c r="VFZ73" s="800"/>
      <c r="VGA73" s="800"/>
      <c r="VGB73" s="800"/>
      <c r="VGC73" s="800"/>
      <c r="VGD73" s="800"/>
      <c r="VGE73" s="705"/>
      <c r="VGF73" s="799"/>
      <c r="VGG73" s="800"/>
      <c r="VGH73" s="800"/>
      <c r="VGI73" s="800"/>
      <c r="VGJ73" s="800"/>
      <c r="VGK73" s="800"/>
      <c r="VGL73" s="705"/>
      <c r="VGM73" s="799"/>
      <c r="VGN73" s="800"/>
      <c r="VGO73" s="800"/>
      <c r="VGP73" s="800"/>
      <c r="VGQ73" s="800"/>
      <c r="VGR73" s="800"/>
      <c r="VGS73" s="705"/>
      <c r="VGT73" s="799"/>
      <c r="VGU73" s="800"/>
      <c r="VGV73" s="800"/>
      <c r="VGW73" s="800"/>
      <c r="VGX73" s="800"/>
      <c r="VGY73" s="800"/>
      <c r="VGZ73" s="705"/>
      <c r="VHA73" s="799"/>
      <c r="VHB73" s="800"/>
      <c r="VHC73" s="800"/>
      <c r="VHD73" s="800"/>
      <c r="VHE73" s="800"/>
      <c r="VHF73" s="800"/>
      <c r="VHG73" s="705"/>
      <c r="VHH73" s="799"/>
      <c r="VHI73" s="800"/>
      <c r="VHJ73" s="800"/>
      <c r="VHK73" s="800"/>
      <c r="VHL73" s="800"/>
      <c r="VHM73" s="800"/>
      <c r="VHN73" s="705"/>
      <c r="VHO73" s="799"/>
      <c r="VHP73" s="800"/>
      <c r="VHQ73" s="800"/>
      <c r="VHR73" s="800"/>
      <c r="VHS73" s="800"/>
      <c r="VHT73" s="800"/>
      <c r="VHU73" s="705"/>
      <c r="VHV73" s="799"/>
      <c r="VHW73" s="800"/>
      <c r="VHX73" s="800"/>
      <c r="VHY73" s="800"/>
      <c r="VHZ73" s="800"/>
      <c r="VIA73" s="800"/>
      <c r="VIB73" s="705"/>
      <c r="VIC73" s="799"/>
      <c r="VID73" s="800"/>
      <c r="VIE73" s="800"/>
      <c r="VIF73" s="800"/>
      <c r="VIG73" s="800"/>
      <c r="VIH73" s="800"/>
      <c r="VII73" s="705"/>
      <c r="VIJ73" s="799"/>
      <c r="VIK73" s="800"/>
      <c r="VIL73" s="800"/>
      <c r="VIM73" s="800"/>
      <c r="VIN73" s="800"/>
      <c r="VIO73" s="800"/>
      <c r="VIP73" s="705"/>
      <c r="VIQ73" s="799"/>
      <c r="VIR73" s="800"/>
      <c r="VIS73" s="800"/>
      <c r="VIT73" s="800"/>
      <c r="VIU73" s="800"/>
      <c r="VIV73" s="800"/>
      <c r="VIW73" s="705"/>
      <c r="VIX73" s="799"/>
      <c r="VIY73" s="800"/>
      <c r="VIZ73" s="800"/>
      <c r="VJA73" s="800"/>
      <c r="VJB73" s="800"/>
      <c r="VJC73" s="800"/>
      <c r="VJD73" s="705"/>
      <c r="VJE73" s="799"/>
      <c r="VJF73" s="800"/>
      <c r="VJG73" s="800"/>
      <c r="VJH73" s="800"/>
      <c r="VJI73" s="800"/>
      <c r="VJJ73" s="800"/>
      <c r="VJK73" s="705"/>
      <c r="VJL73" s="799"/>
      <c r="VJM73" s="800"/>
      <c r="VJN73" s="800"/>
      <c r="VJO73" s="800"/>
      <c r="VJP73" s="800"/>
      <c r="VJQ73" s="800"/>
      <c r="VJR73" s="705"/>
      <c r="VJS73" s="799"/>
      <c r="VJT73" s="800"/>
      <c r="VJU73" s="800"/>
      <c r="VJV73" s="800"/>
      <c r="VJW73" s="800"/>
      <c r="VJX73" s="800"/>
      <c r="VJY73" s="705"/>
      <c r="VJZ73" s="799"/>
      <c r="VKA73" s="800"/>
      <c r="VKB73" s="800"/>
      <c r="VKC73" s="800"/>
      <c r="VKD73" s="800"/>
      <c r="VKE73" s="800"/>
      <c r="VKF73" s="705"/>
      <c r="VKG73" s="799"/>
      <c r="VKH73" s="800"/>
      <c r="VKI73" s="800"/>
      <c r="VKJ73" s="800"/>
      <c r="VKK73" s="800"/>
      <c r="VKL73" s="800"/>
      <c r="VKM73" s="705"/>
      <c r="VKN73" s="799"/>
      <c r="VKO73" s="800"/>
      <c r="VKP73" s="800"/>
      <c r="VKQ73" s="800"/>
      <c r="VKR73" s="800"/>
      <c r="VKS73" s="800"/>
      <c r="VKT73" s="705"/>
      <c r="VKU73" s="799"/>
      <c r="VKV73" s="800"/>
      <c r="VKW73" s="800"/>
      <c r="VKX73" s="800"/>
      <c r="VKY73" s="800"/>
      <c r="VKZ73" s="800"/>
      <c r="VLA73" s="705"/>
      <c r="VLB73" s="799"/>
      <c r="VLC73" s="800"/>
      <c r="VLD73" s="800"/>
      <c r="VLE73" s="800"/>
      <c r="VLF73" s="800"/>
      <c r="VLG73" s="800"/>
      <c r="VLH73" s="705"/>
      <c r="VLI73" s="799"/>
      <c r="VLJ73" s="800"/>
      <c r="VLK73" s="800"/>
      <c r="VLL73" s="800"/>
      <c r="VLM73" s="800"/>
      <c r="VLN73" s="800"/>
      <c r="VLO73" s="705"/>
      <c r="VLP73" s="799"/>
      <c r="VLQ73" s="800"/>
      <c r="VLR73" s="800"/>
      <c r="VLS73" s="800"/>
      <c r="VLT73" s="800"/>
      <c r="VLU73" s="800"/>
      <c r="VLV73" s="705"/>
      <c r="VLW73" s="799"/>
      <c r="VLX73" s="800"/>
      <c r="VLY73" s="800"/>
      <c r="VLZ73" s="800"/>
      <c r="VMA73" s="800"/>
      <c r="VMB73" s="800"/>
      <c r="VMC73" s="705"/>
      <c r="VMD73" s="799"/>
      <c r="VME73" s="800"/>
      <c r="VMF73" s="800"/>
      <c r="VMG73" s="800"/>
      <c r="VMH73" s="800"/>
      <c r="VMI73" s="800"/>
      <c r="VMJ73" s="705"/>
      <c r="VMK73" s="799"/>
      <c r="VML73" s="800"/>
      <c r="VMM73" s="800"/>
      <c r="VMN73" s="800"/>
      <c r="VMO73" s="800"/>
      <c r="VMP73" s="800"/>
      <c r="VMQ73" s="705"/>
      <c r="VMR73" s="799"/>
      <c r="VMS73" s="800"/>
      <c r="VMT73" s="800"/>
      <c r="VMU73" s="800"/>
      <c r="VMV73" s="800"/>
      <c r="VMW73" s="800"/>
      <c r="VMX73" s="705"/>
      <c r="VMY73" s="799"/>
      <c r="VMZ73" s="800"/>
      <c r="VNA73" s="800"/>
      <c r="VNB73" s="800"/>
      <c r="VNC73" s="800"/>
      <c r="VND73" s="800"/>
      <c r="VNE73" s="705"/>
      <c r="VNF73" s="799"/>
      <c r="VNG73" s="800"/>
      <c r="VNH73" s="800"/>
      <c r="VNI73" s="800"/>
      <c r="VNJ73" s="800"/>
      <c r="VNK73" s="800"/>
      <c r="VNL73" s="705"/>
      <c r="VNM73" s="799"/>
      <c r="VNN73" s="800"/>
      <c r="VNO73" s="800"/>
      <c r="VNP73" s="800"/>
      <c r="VNQ73" s="800"/>
      <c r="VNR73" s="800"/>
      <c r="VNS73" s="705"/>
      <c r="VNT73" s="799"/>
      <c r="VNU73" s="800"/>
      <c r="VNV73" s="800"/>
      <c r="VNW73" s="800"/>
      <c r="VNX73" s="800"/>
      <c r="VNY73" s="800"/>
      <c r="VNZ73" s="705"/>
      <c r="VOA73" s="799"/>
      <c r="VOB73" s="800"/>
      <c r="VOC73" s="800"/>
      <c r="VOD73" s="800"/>
      <c r="VOE73" s="800"/>
      <c r="VOF73" s="800"/>
      <c r="VOG73" s="705"/>
      <c r="VOH73" s="799"/>
      <c r="VOI73" s="800"/>
      <c r="VOJ73" s="800"/>
      <c r="VOK73" s="800"/>
      <c r="VOL73" s="800"/>
      <c r="VOM73" s="800"/>
      <c r="VON73" s="705"/>
      <c r="VOO73" s="799"/>
      <c r="VOP73" s="800"/>
      <c r="VOQ73" s="800"/>
      <c r="VOR73" s="800"/>
      <c r="VOS73" s="800"/>
      <c r="VOT73" s="800"/>
      <c r="VOU73" s="705"/>
      <c r="VOV73" s="799"/>
      <c r="VOW73" s="800"/>
      <c r="VOX73" s="800"/>
      <c r="VOY73" s="800"/>
      <c r="VOZ73" s="800"/>
      <c r="VPA73" s="800"/>
      <c r="VPB73" s="705"/>
      <c r="VPC73" s="799"/>
      <c r="VPD73" s="800"/>
      <c r="VPE73" s="800"/>
      <c r="VPF73" s="800"/>
      <c r="VPG73" s="800"/>
      <c r="VPH73" s="800"/>
      <c r="VPI73" s="705"/>
      <c r="VPJ73" s="799"/>
      <c r="VPK73" s="800"/>
      <c r="VPL73" s="800"/>
      <c r="VPM73" s="800"/>
      <c r="VPN73" s="800"/>
      <c r="VPO73" s="800"/>
      <c r="VPP73" s="705"/>
      <c r="VPQ73" s="799"/>
      <c r="VPR73" s="800"/>
      <c r="VPS73" s="800"/>
      <c r="VPT73" s="800"/>
      <c r="VPU73" s="800"/>
      <c r="VPV73" s="800"/>
      <c r="VPW73" s="705"/>
      <c r="VPX73" s="799"/>
      <c r="VPY73" s="800"/>
      <c r="VPZ73" s="800"/>
      <c r="VQA73" s="800"/>
      <c r="VQB73" s="800"/>
      <c r="VQC73" s="800"/>
      <c r="VQD73" s="705"/>
      <c r="VQE73" s="799"/>
      <c r="VQF73" s="800"/>
      <c r="VQG73" s="800"/>
      <c r="VQH73" s="800"/>
      <c r="VQI73" s="800"/>
      <c r="VQJ73" s="800"/>
      <c r="VQK73" s="705"/>
      <c r="VQL73" s="799"/>
      <c r="VQM73" s="800"/>
      <c r="VQN73" s="800"/>
      <c r="VQO73" s="800"/>
      <c r="VQP73" s="800"/>
      <c r="VQQ73" s="800"/>
      <c r="VQR73" s="705"/>
      <c r="VQS73" s="799"/>
      <c r="VQT73" s="800"/>
      <c r="VQU73" s="800"/>
      <c r="VQV73" s="800"/>
      <c r="VQW73" s="800"/>
      <c r="VQX73" s="800"/>
      <c r="VQY73" s="705"/>
      <c r="VQZ73" s="799"/>
      <c r="VRA73" s="800"/>
      <c r="VRB73" s="800"/>
      <c r="VRC73" s="800"/>
      <c r="VRD73" s="800"/>
      <c r="VRE73" s="800"/>
      <c r="VRF73" s="705"/>
      <c r="VRG73" s="799"/>
      <c r="VRH73" s="800"/>
      <c r="VRI73" s="800"/>
      <c r="VRJ73" s="800"/>
      <c r="VRK73" s="800"/>
      <c r="VRL73" s="800"/>
      <c r="VRM73" s="705"/>
      <c r="VRN73" s="799"/>
      <c r="VRO73" s="800"/>
      <c r="VRP73" s="800"/>
      <c r="VRQ73" s="800"/>
      <c r="VRR73" s="800"/>
      <c r="VRS73" s="800"/>
      <c r="VRT73" s="705"/>
      <c r="VRU73" s="799"/>
      <c r="VRV73" s="800"/>
      <c r="VRW73" s="800"/>
      <c r="VRX73" s="800"/>
      <c r="VRY73" s="800"/>
      <c r="VRZ73" s="800"/>
      <c r="VSA73" s="705"/>
      <c r="VSB73" s="799"/>
      <c r="VSC73" s="800"/>
      <c r="VSD73" s="800"/>
      <c r="VSE73" s="800"/>
      <c r="VSF73" s="800"/>
      <c r="VSG73" s="800"/>
      <c r="VSH73" s="705"/>
      <c r="VSI73" s="799"/>
      <c r="VSJ73" s="800"/>
      <c r="VSK73" s="800"/>
      <c r="VSL73" s="800"/>
      <c r="VSM73" s="800"/>
      <c r="VSN73" s="800"/>
      <c r="VSO73" s="705"/>
      <c r="VSP73" s="799"/>
      <c r="VSQ73" s="800"/>
      <c r="VSR73" s="800"/>
      <c r="VSS73" s="800"/>
      <c r="VST73" s="800"/>
      <c r="VSU73" s="800"/>
      <c r="VSV73" s="705"/>
      <c r="VSW73" s="799"/>
      <c r="VSX73" s="800"/>
      <c r="VSY73" s="800"/>
      <c r="VSZ73" s="800"/>
      <c r="VTA73" s="800"/>
      <c r="VTB73" s="800"/>
      <c r="VTC73" s="705"/>
      <c r="VTD73" s="799"/>
      <c r="VTE73" s="800"/>
      <c r="VTF73" s="800"/>
      <c r="VTG73" s="800"/>
      <c r="VTH73" s="800"/>
      <c r="VTI73" s="800"/>
      <c r="VTJ73" s="705"/>
      <c r="VTK73" s="799"/>
      <c r="VTL73" s="800"/>
      <c r="VTM73" s="800"/>
      <c r="VTN73" s="800"/>
      <c r="VTO73" s="800"/>
      <c r="VTP73" s="800"/>
      <c r="VTQ73" s="705"/>
      <c r="VTR73" s="799"/>
      <c r="VTS73" s="800"/>
      <c r="VTT73" s="800"/>
      <c r="VTU73" s="800"/>
      <c r="VTV73" s="800"/>
      <c r="VTW73" s="800"/>
      <c r="VTX73" s="705"/>
      <c r="VTY73" s="799"/>
      <c r="VTZ73" s="800"/>
      <c r="VUA73" s="800"/>
      <c r="VUB73" s="800"/>
      <c r="VUC73" s="800"/>
      <c r="VUD73" s="800"/>
      <c r="VUE73" s="705"/>
      <c r="VUF73" s="799"/>
      <c r="VUG73" s="800"/>
      <c r="VUH73" s="800"/>
      <c r="VUI73" s="800"/>
      <c r="VUJ73" s="800"/>
      <c r="VUK73" s="800"/>
      <c r="VUL73" s="705"/>
      <c r="VUM73" s="799"/>
      <c r="VUN73" s="800"/>
      <c r="VUO73" s="800"/>
      <c r="VUP73" s="800"/>
      <c r="VUQ73" s="800"/>
      <c r="VUR73" s="800"/>
      <c r="VUS73" s="705"/>
      <c r="VUT73" s="799"/>
      <c r="VUU73" s="800"/>
      <c r="VUV73" s="800"/>
      <c r="VUW73" s="800"/>
      <c r="VUX73" s="800"/>
      <c r="VUY73" s="800"/>
      <c r="VUZ73" s="705"/>
      <c r="VVA73" s="799"/>
      <c r="VVB73" s="800"/>
      <c r="VVC73" s="800"/>
      <c r="VVD73" s="800"/>
      <c r="VVE73" s="800"/>
      <c r="VVF73" s="800"/>
      <c r="VVG73" s="705"/>
      <c r="VVH73" s="799"/>
      <c r="VVI73" s="800"/>
      <c r="VVJ73" s="800"/>
      <c r="VVK73" s="800"/>
      <c r="VVL73" s="800"/>
      <c r="VVM73" s="800"/>
      <c r="VVN73" s="705"/>
      <c r="VVO73" s="799"/>
      <c r="VVP73" s="800"/>
      <c r="VVQ73" s="800"/>
      <c r="VVR73" s="800"/>
      <c r="VVS73" s="800"/>
      <c r="VVT73" s="800"/>
      <c r="VVU73" s="705"/>
      <c r="VVV73" s="799"/>
      <c r="VVW73" s="800"/>
      <c r="VVX73" s="800"/>
      <c r="VVY73" s="800"/>
      <c r="VVZ73" s="800"/>
      <c r="VWA73" s="800"/>
      <c r="VWB73" s="705"/>
      <c r="VWC73" s="799"/>
      <c r="VWD73" s="800"/>
      <c r="VWE73" s="800"/>
      <c r="VWF73" s="800"/>
      <c r="VWG73" s="800"/>
      <c r="VWH73" s="800"/>
      <c r="VWI73" s="705"/>
      <c r="VWJ73" s="799"/>
      <c r="VWK73" s="800"/>
      <c r="VWL73" s="800"/>
      <c r="VWM73" s="800"/>
      <c r="VWN73" s="800"/>
      <c r="VWO73" s="800"/>
      <c r="VWP73" s="705"/>
      <c r="VWQ73" s="799"/>
      <c r="VWR73" s="800"/>
      <c r="VWS73" s="800"/>
      <c r="VWT73" s="800"/>
      <c r="VWU73" s="800"/>
      <c r="VWV73" s="800"/>
      <c r="VWW73" s="705"/>
      <c r="VWX73" s="799"/>
      <c r="VWY73" s="800"/>
      <c r="VWZ73" s="800"/>
      <c r="VXA73" s="800"/>
      <c r="VXB73" s="800"/>
      <c r="VXC73" s="800"/>
      <c r="VXD73" s="705"/>
      <c r="VXE73" s="799"/>
      <c r="VXF73" s="800"/>
      <c r="VXG73" s="800"/>
      <c r="VXH73" s="800"/>
      <c r="VXI73" s="800"/>
      <c r="VXJ73" s="800"/>
      <c r="VXK73" s="705"/>
      <c r="VXL73" s="799"/>
      <c r="VXM73" s="800"/>
      <c r="VXN73" s="800"/>
      <c r="VXO73" s="800"/>
      <c r="VXP73" s="800"/>
      <c r="VXQ73" s="800"/>
      <c r="VXR73" s="705"/>
      <c r="VXS73" s="799"/>
      <c r="VXT73" s="800"/>
      <c r="VXU73" s="800"/>
      <c r="VXV73" s="800"/>
      <c r="VXW73" s="800"/>
      <c r="VXX73" s="800"/>
      <c r="VXY73" s="705"/>
      <c r="VXZ73" s="799"/>
      <c r="VYA73" s="800"/>
      <c r="VYB73" s="800"/>
      <c r="VYC73" s="800"/>
      <c r="VYD73" s="800"/>
      <c r="VYE73" s="800"/>
      <c r="VYF73" s="705"/>
      <c r="VYG73" s="799"/>
      <c r="VYH73" s="800"/>
      <c r="VYI73" s="800"/>
      <c r="VYJ73" s="800"/>
      <c r="VYK73" s="800"/>
      <c r="VYL73" s="800"/>
      <c r="VYM73" s="705"/>
      <c r="VYN73" s="799"/>
      <c r="VYO73" s="800"/>
      <c r="VYP73" s="800"/>
      <c r="VYQ73" s="800"/>
      <c r="VYR73" s="800"/>
      <c r="VYS73" s="800"/>
      <c r="VYT73" s="705"/>
      <c r="VYU73" s="799"/>
      <c r="VYV73" s="800"/>
      <c r="VYW73" s="800"/>
      <c r="VYX73" s="800"/>
      <c r="VYY73" s="800"/>
      <c r="VYZ73" s="800"/>
      <c r="VZA73" s="705"/>
      <c r="VZB73" s="799"/>
      <c r="VZC73" s="800"/>
      <c r="VZD73" s="800"/>
      <c r="VZE73" s="800"/>
      <c r="VZF73" s="800"/>
      <c r="VZG73" s="800"/>
      <c r="VZH73" s="705"/>
      <c r="VZI73" s="799"/>
      <c r="VZJ73" s="800"/>
      <c r="VZK73" s="800"/>
      <c r="VZL73" s="800"/>
      <c r="VZM73" s="800"/>
      <c r="VZN73" s="800"/>
      <c r="VZO73" s="705"/>
      <c r="VZP73" s="799"/>
      <c r="VZQ73" s="800"/>
      <c r="VZR73" s="800"/>
      <c r="VZS73" s="800"/>
      <c r="VZT73" s="800"/>
      <c r="VZU73" s="800"/>
      <c r="VZV73" s="705"/>
      <c r="VZW73" s="799"/>
      <c r="VZX73" s="800"/>
      <c r="VZY73" s="800"/>
      <c r="VZZ73" s="800"/>
      <c r="WAA73" s="800"/>
      <c r="WAB73" s="800"/>
      <c r="WAC73" s="705"/>
      <c r="WAD73" s="799"/>
      <c r="WAE73" s="800"/>
      <c r="WAF73" s="800"/>
      <c r="WAG73" s="800"/>
      <c r="WAH73" s="800"/>
      <c r="WAI73" s="800"/>
      <c r="WAJ73" s="705"/>
      <c r="WAK73" s="799"/>
      <c r="WAL73" s="800"/>
      <c r="WAM73" s="800"/>
      <c r="WAN73" s="800"/>
      <c r="WAO73" s="800"/>
      <c r="WAP73" s="800"/>
      <c r="WAQ73" s="705"/>
      <c r="WAR73" s="799"/>
      <c r="WAS73" s="800"/>
      <c r="WAT73" s="800"/>
      <c r="WAU73" s="800"/>
      <c r="WAV73" s="800"/>
      <c r="WAW73" s="800"/>
      <c r="WAX73" s="705"/>
      <c r="WAY73" s="799"/>
      <c r="WAZ73" s="800"/>
      <c r="WBA73" s="800"/>
      <c r="WBB73" s="800"/>
      <c r="WBC73" s="800"/>
      <c r="WBD73" s="800"/>
      <c r="WBE73" s="705"/>
      <c r="WBF73" s="799"/>
      <c r="WBG73" s="800"/>
      <c r="WBH73" s="800"/>
      <c r="WBI73" s="800"/>
      <c r="WBJ73" s="800"/>
      <c r="WBK73" s="800"/>
      <c r="WBL73" s="705"/>
      <c r="WBM73" s="799"/>
      <c r="WBN73" s="800"/>
      <c r="WBO73" s="800"/>
      <c r="WBP73" s="800"/>
      <c r="WBQ73" s="800"/>
      <c r="WBR73" s="800"/>
      <c r="WBS73" s="705"/>
      <c r="WBT73" s="799"/>
      <c r="WBU73" s="800"/>
      <c r="WBV73" s="800"/>
      <c r="WBW73" s="800"/>
      <c r="WBX73" s="800"/>
      <c r="WBY73" s="800"/>
      <c r="WBZ73" s="705"/>
      <c r="WCA73" s="799"/>
      <c r="WCB73" s="800"/>
      <c r="WCC73" s="800"/>
      <c r="WCD73" s="800"/>
      <c r="WCE73" s="800"/>
      <c r="WCF73" s="800"/>
      <c r="WCG73" s="705"/>
      <c r="WCH73" s="799"/>
      <c r="WCI73" s="800"/>
      <c r="WCJ73" s="800"/>
      <c r="WCK73" s="800"/>
      <c r="WCL73" s="800"/>
      <c r="WCM73" s="800"/>
      <c r="WCN73" s="705"/>
      <c r="WCO73" s="799"/>
      <c r="WCP73" s="800"/>
      <c r="WCQ73" s="800"/>
      <c r="WCR73" s="800"/>
      <c r="WCS73" s="800"/>
      <c r="WCT73" s="800"/>
      <c r="WCU73" s="705"/>
      <c r="WCV73" s="799"/>
      <c r="WCW73" s="800"/>
      <c r="WCX73" s="800"/>
      <c r="WCY73" s="800"/>
      <c r="WCZ73" s="800"/>
      <c r="WDA73" s="800"/>
      <c r="WDB73" s="705"/>
      <c r="WDC73" s="799"/>
      <c r="WDD73" s="800"/>
      <c r="WDE73" s="800"/>
      <c r="WDF73" s="800"/>
      <c r="WDG73" s="800"/>
      <c r="WDH73" s="800"/>
      <c r="WDI73" s="705"/>
      <c r="WDJ73" s="799"/>
      <c r="WDK73" s="800"/>
      <c r="WDL73" s="800"/>
      <c r="WDM73" s="800"/>
      <c r="WDN73" s="800"/>
      <c r="WDO73" s="800"/>
      <c r="WDP73" s="705"/>
      <c r="WDQ73" s="799"/>
      <c r="WDR73" s="800"/>
      <c r="WDS73" s="800"/>
      <c r="WDT73" s="800"/>
      <c r="WDU73" s="800"/>
      <c r="WDV73" s="800"/>
      <c r="WDW73" s="705"/>
      <c r="WDX73" s="799"/>
      <c r="WDY73" s="800"/>
      <c r="WDZ73" s="800"/>
      <c r="WEA73" s="800"/>
      <c r="WEB73" s="800"/>
      <c r="WEC73" s="800"/>
      <c r="WED73" s="705"/>
      <c r="WEE73" s="799"/>
      <c r="WEF73" s="800"/>
      <c r="WEG73" s="800"/>
      <c r="WEH73" s="800"/>
      <c r="WEI73" s="800"/>
      <c r="WEJ73" s="800"/>
      <c r="WEK73" s="705"/>
      <c r="WEL73" s="799"/>
      <c r="WEM73" s="800"/>
      <c r="WEN73" s="800"/>
      <c r="WEO73" s="800"/>
      <c r="WEP73" s="800"/>
      <c r="WEQ73" s="800"/>
      <c r="WER73" s="705"/>
      <c r="WES73" s="799"/>
      <c r="WET73" s="800"/>
      <c r="WEU73" s="800"/>
      <c r="WEV73" s="800"/>
      <c r="WEW73" s="800"/>
      <c r="WEX73" s="800"/>
      <c r="WEY73" s="705"/>
      <c r="WEZ73" s="799"/>
      <c r="WFA73" s="800"/>
      <c r="WFB73" s="800"/>
      <c r="WFC73" s="800"/>
      <c r="WFD73" s="800"/>
      <c r="WFE73" s="800"/>
      <c r="WFF73" s="705"/>
      <c r="WFG73" s="799"/>
      <c r="WFH73" s="800"/>
      <c r="WFI73" s="800"/>
      <c r="WFJ73" s="800"/>
      <c r="WFK73" s="800"/>
      <c r="WFL73" s="800"/>
      <c r="WFM73" s="705"/>
      <c r="WFN73" s="799"/>
      <c r="WFO73" s="800"/>
      <c r="WFP73" s="800"/>
      <c r="WFQ73" s="800"/>
      <c r="WFR73" s="800"/>
      <c r="WFS73" s="800"/>
      <c r="WFT73" s="705"/>
      <c r="WFU73" s="799"/>
      <c r="WFV73" s="800"/>
      <c r="WFW73" s="800"/>
      <c r="WFX73" s="800"/>
      <c r="WFY73" s="800"/>
      <c r="WFZ73" s="800"/>
      <c r="WGA73" s="705"/>
      <c r="WGB73" s="799"/>
      <c r="WGC73" s="800"/>
      <c r="WGD73" s="800"/>
      <c r="WGE73" s="800"/>
      <c r="WGF73" s="800"/>
      <c r="WGG73" s="800"/>
      <c r="WGH73" s="705"/>
      <c r="WGI73" s="799"/>
      <c r="WGJ73" s="800"/>
      <c r="WGK73" s="800"/>
      <c r="WGL73" s="800"/>
      <c r="WGM73" s="800"/>
      <c r="WGN73" s="800"/>
      <c r="WGO73" s="705"/>
      <c r="WGP73" s="799"/>
      <c r="WGQ73" s="800"/>
      <c r="WGR73" s="800"/>
      <c r="WGS73" s="800"/>
      <c r="WGT73" s="800"/>
      <c r="WGU73" s="800"/>
      <c r="WGV73" s="705"/>
      <c r="WGW73" s="799"/>
      <c r="WGX73" s="800"/>
      <c r="WGY73" s="800"/>
      <c r="WGZ73" s="800"/>
      <c r="WHA73" s="800"/>
      <c r="WHB73" s="800"/>
      <c r="WHC73" s="705"/>
      <c r="WHD73" s="799"/>
      <c r="WHE73" s="800"/>
      <c r="WHF73" s="800"/>
      <c r="WHG73" s="800"/>
      <c r="WHH73" s="800"/>
      <c r="WHI73" s="800"/>
      <c r="WHJ73" s="705"/>
      <c r="WHK73" s="799"/>
      <c r="WHL73" s="800"/>
      <c r="WHM73" s="800"/>
      <c r="WHN73" s="800"/>
      <c r="WHO73" s="800"/>
      <c r="WHP73" s="800"/>
      <c r="WHQ73" s="705"/>
      <c r="WHR73" s="799"/>
      <c r="WHS73" s="800"/>
      <c r="WHT73" s="800"/>
      <c r="WHU73" s="800"/>
      <c r="WHV73" s="800"/>
      <c r="WHW73" s="800"/>
      <c r="WHX73" s="705"/>
      <c r="WHY73" s="799"/>
      <c r="WHZ73" s="800"/>
      <c r="WIA73" s="800"/>
      <c r="WIB73" s="800"/>
      <c r="WIC73" s="800"/>
      <c r="WID73" s="800"/>
      <c r="WIE73" s="705"/>
      <c r="WIF73" s="799"/>
      <c r="WIG73" s="800"/>
      <c r="WIH73" s="800"/>
      <c r="WII73" s="800"/>
      <c r="WIJ73" s="800"/>
      <c r="WIK73" s="800"/>
      <c r="WIL73" s="705"/>
      <c r="WIM73" s="799"/>
      <c r="WIN73" s="800"/>
      <c r="WIO73" s="800"/>
      <c r="WIP73" s="800"/>
      <c r="WIQ73" s="800"/>
      <c r="WIR73" s="800"/>
      <c r="WIS73" s="705"/>
      <c r="WIT73" s="799"/>
      <c r="WIU73" s="800"/>
      <c r="WIV73" s="800"/>
      <c r="WIW73" s="800"/>
      <c r="WIX73" s="800"/>
      <c r="WIY73" s="800"/>
      <c r="WIZ73" s="705"/>
      <c r="WJA73" s="799"/>
      <c r="WJB73" s="800"/>
      <c r="WJC73" s="800"/>
      <c r="WJD73" s="800"/>
      <c r="WJE73" s="800"/>
      <c r="WJF73" s="800"/>
      <c r="WJG73" s="705"/>
      <c r="WJH73" s="799"/>
      <c r="WJI73" s="800"/>
      <c r="WJJ73" s="800"/>
      <c r="WJK73" s="800"/>
      <c r="WJL73" s="800"/>
      <c r="WJM73" s="800"/>
      <c r="WJN73" s="705"/>
      <c r="WJO73" s="799"/>
      <c r="WJP73" s="800"/>
      <c r="WJQ73" s="800"/>
      <c r="WJR73" s="800"/>
      <c r="WJS73" s="800"/>
      <c r="WJT73" s="800"/>
      <c r="WJU73" s="705"/>
      <c r="WJV73" s="799"/>
      <c r="WJW73" s="800"/>
      <c r="WJX73" s="800"/>
      <c r="WJY73" s="800"/>
      <c r="WJZ73" s="800"/>
      <c r="WKA73" s="800"/>
      <c r="WKB73" s="705"/>
      <c r="WKC73" s="799"/>
      <c r="WKD73" s="800"/>
      <c r="WKE73" s="800"/>
      <c r="WKF73" s="800"/>
      <c r="WKG73" s="800"/>
      <c r="WKH73" s="800"/>
      <c r="WKI73" s="705"/>
      <c r="WKJ73" s="799"/>
      <c r="WKK73" s="800"/>
      <c r="WKL73" s="800"/>
      <c r="WKM73" s="800"/>
      <c r="WKN73" s="800"/>
      <c r="WKO73" s="800"/>
      <c r="WKP73" s="705"/>
      <c r="WKQ73" s="799"/>
      <c r="WKR73" s="800"/>
      <c r="WKS73" s="800"/>
      <c r="WKT73" s="800"/>
      <c r="WKU73" s="800"/>
      <c r="WKV73" s="800"/>
      <c r="WKW73" s="705"/>
      <c r="WKX73" s="799"/>
      <c r="WKY73" s="800"/>
      <c r="WKZ73" s="800"/>
      <c r="WLA73" s="800"/>
      <c r="WLB73" s="800"/>
      <c r="WLC73" s="800"/>
      <c r="WLD73" s="705"/>
      <c r="WLE73" s="799"/>
      <c r="WLF73" s="800"/>
      <c r="WLG73" s="800"/>
      <c r="WLH73" s="800"/>
      <c r="WLI73" s="800"/>
      <c r="WLJ73" s="800"/>
      <c r="WLK73" s="705"/>
      <c r="WLL73" s="799"/>
      <c r="WLM73" s="800"/>
      <c r="WLN73" s="800"/>
      <c r="WLO73" s="800"/>
      <c r="WLP73" s="800"/>
      <c r="WLQ73" s="800"/>
      <c r="WLR73" s="705"/>
      <c r="WLS73" s="799"/>
      <c r="WLT73" s="800"/>
      <c r="WLU73" s="800"/>
      <c r="WLV73" s="800"/>
      <c r="WLW73" s="800"/>
      <c r="WLX73" s="800"/>
      <c r="WLY73" s="705"/>
      <c r="WLZ73" s="799"/>
      <c r="WMA73" s="800"/>
      <c r="WMB73" s="800"/>
      <c r="WMC73" s="800"/>
      <c r="WMD73" s="800"/>
      <c r="WME73" s="800"/>
      <c r="WMF73" s="705"/>
      <c r="WMG73" s="799"/>
      <c r="WMH73" s="800"/>
      <c r="WMI73" s="800"/>
      <c r="WMJ73" s="800"/>
      <c r="WMK73" s="800"/>
      <c r="WML73" s="800"/>
      <c r="WMM73" s="705"/>
      <c r="WMN73" s="799"/>
      <c r="WMO73" s="800"/>
      <c r="WMP73" s="800"/>
      <c r="WMQ73" s="800"/>
      <c r="WMR73" s="800"/>
      <c r="WMS73" s="800"/>
      <c r="WMT73" s="705"/>
      <c r="WMU73" s="799"/>
      <c r="WMV73" s="800"/>
      <c r="WMW73" s="800"/>
      <c r="WMX73" s="800"/>
      <c r="WMY73" s="800"/>
      <c r="WMZ73" s="800"/>
      <c r="WNA73" s="705"/>
      <c r="WNB73" s="799"/>
      <c r="WNC73" s="800"/>
      <c r="WND73" s="800"/>
      <c r="WNE73" s="800"/>
      <c r="WNF73" s="800"/>
      <c r="WNG73" s="800"/>
      <c r="WNH73" s="705"/>
      <c r="WNI73" s="799"/>
      <c r="WNJ73" s="800"/>
      <c r="WNK73" s="800"/>
      <c r="WNL73" s="800"/>
      <c r="WNM73" s="800"/>
      <c r="WNN73" s="800"/>
      <c r="WNO73" s="705"/>
      <c r="WNP73" s="799"/>
      <c r="WNQ73" s="800"/>
      <c r="WNR73" s="800"/>
      <c r="WNS73" s="800"/>
      <c r="WNT73" s="800"/>
      <c r="WNU73" s="800"/>
      <c r="WNV73" s="705"/>
      <c r="WNW73" s="799"/>
      <c r="WNX73" s="800"/>
      <c r="WNY73" s="800"/>
      <c r="WNZ73" s="800"/>
      <c r="WOA73" s="800"/>
      <c r="WOB73" s="800"/>
      <c r="WOC73" s="705"/>
      <c r="WOD73" s="799"/>
      <c r="WOE73" s="800"/>
      <c r="WOF73" s="800"/>
      <c r="WOG73" s="800"/>
      <c r="WOH73" s="800"/>
      <c r="WOI73" s="800"/>
      <c r="WOJ73" s="705"/>
      <c r="WOK73" s="799"/>
      <c r="WOL73" s="800"/>
      <c r="WOM73" s="800"/>
      <c r="WON73" s="800"/>
      <c r="WOO73" s="800"/>
      <c r="WOP73" s="800"/>
      <c r="WOQ73" s="705"/>
      <c r="WOR73" s="799"/>
      <c r="WOS73" s="800"/>
      <c r="WOT73" s="800"/>
      <c r="WOU73" s="800"/>
      <c r="WOV73" s="800"/>
      <c r="WOW73" s="800"/>
      <c r="WOX73" s="705"/>
      <c r="WOY73" s="799"/>
      <c r="WOZ73" s="800"/>
      <c r="WPA73" s="800"/>
      <c r="WPB73" s="800"/>
      <c r="WPC73" s="800"/>
      <c r="WPD73" s="800"/>
      <c r="WPE73" s="705"/>
      <c r="WPF73" s="799"/>
      <c r="WPG73" s="800"/>
      <c r="WPH73" s="800"/>
      <c r="WPI73" s="800"/>
      <c r="WPJ73" s="800"/>
      <c r="WPK73" s="800"/>
      <c r="WPL73" s="705"/>
      <c r="WPM73" s="799"/>
      <c r="WPN73" s="800"/>
      <c r="WPO73" s="800"/>
      <c r="WPP73" s="800"/>
      <c r="WPQ73" s="800"/>
      <c r="WPR73" s="800"/>
      <c r="WPS73" s="705"/>
      <c r="WPT73" s="799"/>
      <c r="WPU73" s="800"/>
      <c r="WPV73" s="800"/>
      <c r="WPW73" s="800"/>
      <c r="WPX73" s="800"/>
      <c r="WPY73" s="800"/>
      <c r="WPZ73" s="705"/>
      <c r="WQA73" s="799"/>
      <c r="WQB73" s="800"/>
      <c r="WQC73" s="800"/>
      <c r="WQD73" s="800"/>
      <c r="WQE73" s="800"/>
      <c r="WQF73" s="800"/>
      <c r="WQG73" s="705"/>
      <c r="WQH73" s="799"/>
      <c r="WQI73" s="800"/>
      <c r="WQJ73" s="800"/>
      <c r="WQK73" s="800"/>
      <c r="WQL73" s="800"/>
      <c r="WQM73" s="800"/>
      <c r="WQN73" s="705"/>
      <c r="WQO73" s="799"/>
      <c r="WQP73" s="800"/>
      <c r="WQQ73" s="800"/>
      <c r="WQR73" s="800"/>
      <c r="WQS73" s="800"/>
      <c r="WQT73" s="800"/>
      <c r="WQU73" s="705"/>
      <c r="WQV73" s="799"/>
      <c r="WQW73" s="800"/>
      <c r="WQX73" s="800"/>
      <c r="WQY73" s="800"/>
      <c r="WQZ73" s="800"/>
      <c r="WRA73" s="800"/>
      <c r="WRB73" s="705"/>
      <c r="WRC73" s="799"/>
      <c r="WRD73" s="800"/>
      <c r="WRE73" s="800"/>
      <c r="WRF73" s="800"/>
      <c r="WRG73" s="800"/>
      <c r="WRH73" s="800"/>
      <c r="WRI73" s="705"/>
      <c r="WRJ73" s="799"/>
      <c r="WRK73" s="800"/>
      <c r="WRL73" s="800"/>
      <c r="WRM73" s="800"/>
      <c r="WRN73" s="800"/>
      <c r="WRO73" s="800"/>
      <c r="WRP73" s="705"/>
      <c r="WRQ73" s="799"/>
      <c r="WRR73" s="800"/>
      <c r="WRS73" s="800"/>
      <c r="WRT73" s="800"/>
      <c r="WRU73" s="800"/>
      <c r="WRV73" s="800"/>
      <c r="WRW73" s="705"/>
      <c r="WRX73" s="799"/>
      <c r="WRY73" s="800"/>
      <c r="WRZ73" s="800"/>
      <c r="WSA73" s="800"/>
      <c r="WSB73" s="800"/>
      <c r="WSC73" s="800"/>
      <c r="WSD73" s="705"/>
      <c r="WSE73" s="799"/>
      <c r="WSF73" s="800"/>
      <c r="WSG73" s="800"/>
      <c r="WSH73" s="800"/>
      <c r="WSI73" s="800"/>
      <c r="WSJ73" s="800"/>
      <c r="WSK73" s="705"/>
      <c r="WSL73" s="799"/>
      <c r="WSM73" s="800"/>
      <c r="WSN73" s="800"/>
      <c r="WSO73" s="800"/>
      <c r="WSP73" s="800"/>
      <c r="WSQ73" s="800"/>
      <c r="WSR73" s="705"/>
      <c r="WSS73" s="799"/>
      <c r="WST73" s="800"/>
      <c r="WSU73" s="800"/>
      <c r="WSV73" s="800"/>
      <c r="WSW73" s="800"/>
      <c r="WSX73" s="800"/>
      <c r="WSY73" s="705"/>
      <c r="WSZ73" s="799"/>
      <c r="WTA73" s="800"/>
      <c r="WTB73" s="800"/>
      <c r="WTC73" s="800"/>
      <c r="WTD73" s="800"/>
      <c r="WTE73" s="800"/>
      <c r="WTF73" s="705"/>
      <c r="WTG73" s="799"/>
      <c r="WTH73" s="800"/>
      <c r="WTI73" s="800"/>
      <c r="WTJ73" s="800"/>
      <c r="WTK73" s="800"/>
      <c r="WTL73" s="800"/>
      <c r="WTM73" s="705"/>
      <c r="WTN73" s="799"/>
      <c r="WTO73" s="800"/>
      <c r="WTP73" s="800"/>
      <c r="WTQ73" s="800"/>
      <c r="WTR73" s="800"/>
      <c r="WTS73" s="800"/>
      <c r="WTT73" s="705"/>
      <c r="WTU73" s="799"/>
      <c r="WTV73" s="800"/>
      <c r="WTW73" s="800"/>
      <c r="WTX73" s="800"/>
      <c r="WTY73" s="800"/>
      <c r="WTZ73" s="800"/>
      <c r="WUA73" s="705"/>
      <c r="WUB73" s="799"/>
      <c r="WUC73" s="800"/>
      <c r="WUD73" s="800"/>
      <c r="WUE73" s="800"/>
      <c r="WUF73" s="800"/>
      <c r="WUG73" s="800"/>
      <c r="WUH73" s="705"/>
      <c r="WUI73" s="799"/>
      <c r="WUJ73" s="800"/>
      <c r="WUK73" s="800"/>
      <c r="WUL73" s="800"/>
      <c r="WUM73" s="800"/>
      <c r="WUN73" s="800"/>
      <c r="WUO73" s="705"/>
      <c r="WUP73" s="799"/>
      <c r="WUQ73" s="800"/>
      <c r="WUR73" s="800"/>
      <c r="WUS73" s="800"/>
      <c r="WUT73" s="800"/>
      <c r="WUU73" s="800"/>
      <c r="WUV73" s="705"/>
      <c r="WUW73" s="799"/>
      <c r="WUX73" s="800"/>
      <c r="WUY73" s="800"/>
      <c r="WUZ73" s="800"/>
      <c r="WVA73" s="800"/>
      <c r="WVB73" s="800"/>
      <c r="WVC73" s="705"/>
      <c r="WVD73" s="799"/>
      <c r="WVE73" s="800"/>
      <c r="WVF73" s="800"/>
      <c r="WVG73" s="800"/>
      <c r="WVH73" s="800"/>
      <c r="WVI73" s="800"/>
      <c r="WVJ73" s="705"/>
      <c r="WVK73" s="799"/>
      <c r="WVL73" s="800"/>
      <c r="WVM73" s="800"/>
      <c r="WVN73" s="800"/>
      <c r="WVO73" s="800"/>
      <c r="WVP73" s="800"/>
      <c r="WVQ73" s="705"/>
      <c r="WVR73" s="799"/>
      <c r="WVS73" s="800"/>
      <c r="WVT73" s="800"/>
      <c r="WVU73" s="800"/>
      <c r="WVV73" s="800"/>
      <c r="WVW73" s="800"/>
      <c r="WVX73" s="705"/>
      <c r="WVY73" s="799"/>
      <c r="WVZ73" s="800"/>
      <c r="WWA73" s="800"/>
      <c r="WWB73" s="800"/>
      <c r="WWC73" s="800"/>
      <c r="WWD73" s="800"/>
      <c r="WWE73" s="705"/>
      <c r="WWF73" s="799"/>
      <c r="WWG73" s="800"/>
      <c r="WWH73" s="800"/>
      <c r="WWI73" s="800"/>
      <c r="WWJ73" s="800"/>
      <c r="WWK73" s="800"/>
      <c r="WWL73" s="705"/>
      <c r="WWM73" s="799"/>
      <c r="WWN73" s="800"/>
      <c r="WWO73" s="800"/>
      <c r="WWP73" s="800"/>
      <c r="WWQ73" s="800"/>
      <c r="WWR73" s="800"/>
      <c r="WWS73" s="705"/>
      <c r="WWT73" s="799"/>
      <c r="WWU73" s="800"/>
      <c r="WWV73" s="800"/>
      <c r="WWW73" s="800"/>
      <c r="WWX73" s="800"/>
      <c r="WWY73" s="800"/>
      <c r="WWZ73" s="705"/>
      <c r="WXA73" s="799"/>
      <c r="WXB73" s="800"/>
      <c r="WXC73" s="800"/>
      <c r="WXD73" s="800"/>
      <c r="WXE73" s="800"/>
      <c r="WXF73" s="800"/>
      <c r="WXG73" s="705"/>
      <c r="WXH73" s="799"/>
      <c r="WXI73" s="800"/>
      <c r="WXJ73" s="800"/>
      <c r="WXK73" s="800"/>
      <c r="WXL73" s="800"/>
      <c r="WXM73" s="800"/>
      <c r="WXN73" s="705"/>
      <c r="WXO73" s="799"/>
      <c r="WXP73" s="800"/>
      <c r="WXQ73" s="800"/>
      <c r="WXR73" s="800"/>
      <c r="WXS73" s="800"/>
      <c r="WXT73" s="800"/>
      <c r="WXU73" s="705"/>
      <c r="WXV73" s="799"/>
      <c r="WXW73" s="800"/>
      <c r="WXX73" s="800"/>
      <c r="WXY73" s="800"/>
      <c r="WXZ73" s="800"/>
      <c r="WYA73" s="800"/>
      <c r="WYB73" s="705"/>
      <c r="WYC73" s="799"/>
      <c r="WYD73" s="800"/>
      <c r="WYE73" s="800"/>
      <c r="WYF73" s="800"/>
      <c r="WYG73" s="800"/>
      <c r="WYH73" s="800"/>
      <c r="WYI73" s="705"/>
      <c r="WYJ73" s="799"/>
      <c r="WYK73" s="800"/>
      <c r="WYL73" s="800"/>
      <c r="WYM73" s="800"/>
      <c r="WYN73" s="800"/>
      <c r="WYO73" s="800"/>
      <c r="WYP73" s="705"/>
      <c r="WYQ73" s="799"/>
      <c r="WYR73" s="800"/>
      <c r="WYS73" s="800"/>
      <c r="WYT73" s="800"/>
      <c r="WYU73" s="800"/>
      <c r="WYV73" s="800"/>
      <c r="WYW73" s="705"/>
      <c r="WYX73" s="799"/>
      <c r="WYY73" s="800"/>
      <c r="WYZ73" s="800"/>
      <c r="WZA73" s="800"/>
      <c r="WZB73" s="800"/>
      <c r="WZC73" s="800"/>
      <c r="WZD73" s="705"/>
      <c r="WZE73" s="799"/>
      <c r="WZF73" s="800"/>
      <c r="WZG73" s="800"/>
      <c r="WZH73" s="800"/>
      <c r="WZI73" s="800"/>
      <c r="WZJ73" s="800"/>
      <c r="WZK73" s="705"/>
      <c r="WZL73" s="799"/>
      <c r="WZM73" s="800"/>
      <c r="WZN73" s="800"/>
      <c r="WZO73" s="800"/>
      <c r="WZP73" s="800"/>
      <c r="WZQ73" s="800"/>
      <c r="WZR73" s="705"/>
      <c r="WZS73" s="799"/>
      <c r="WZT73" s="800"/>
      <c r="WZU73" s="800"/>
      <c r="WZV73" s="800"/>
      <c r="WZW73" s="800"/>
      <c r="WZX73" s="800"/>
      <c r="WZY73" s="705"/>
      <c r="WZZ73" s="799"/>
      <c r="XAA73" s="800"/>
      <c r="XAB73" s="800"/>
      <c r="XAC73" s="800"/>
      <c r="XAD73" s="800"/>
      <c r="XAE73" s="800"/>
      <c r="XAF73" s="705"/>
      <c r="XAG73" s="799"/>
      <c r="XAH73" s="800"/>
      <c r="XAI73" s="800"/>
      <c r="XAJ73" s="800"/>
      <c r="XAK73" s="800"/>
      <c r="XAL73" s="800"/>
      <c r="XAM73" s="705"/>
      <c r="XAN73" s="799"/>
      <c r="XAO73" s="800"/>
      <c r="XAP73" s="800"/>
      <c r="XAQ73" s="800"/>
      <c r="XAR73" s="800"/>
      <c r="XAS73" s="800"/>
      <c r="XAT73" s="705"/>
      <c r="XAU73" s="799"/>
      <c r="XAV73" s="800"/>
      <c r="XAW73" s="800"/>
      <c r="XAX73" s="800"/>
      <c r="XAY73" s="800"/>
      <c r="XAZ73" s="800"/>
      <c r="XBA73" s="705"/>
      <c r="XBB73" s="799"/>
      <c r="XBC73" s="800"/>
      <c r="XBD73" s="800"/>
      <c r="XBE73" s="800"/>
      <c r="XBF73" s="800"/>
      <c r="XBG73" s="800"/>
      <c r="XBH73" s="705"/>
      <c r="XBI73" s="799"/>
      <c r="XBJ73" s="800"/>
      <c r="XBK73" s="800"/>
      <c r="XBL73" s="800"/>
      <c r="XBM73" s="800"/>
      <c r="XBN73" s="800"/>
      <c r="XBO73" s="705"/>
      <c r="XBP73" s="799"/>
      <c r="XBQ73" s="800"/>
      <c r="XBR73" s="800"/>
      <c r="XBS73" s="800"/>
      <c r="XBT73" s="800"/>
      <c r="XBU73" s="800"/>
      <c r="XBV73" s="705"/>
      <c r="XBW73" s="799"/>
      <c r="XBX73" s="800"/>
      <c r="XBY73" s="800"/>
      <c r="XBZ73" s="800"/>
      <c r="XCA73" s="800"/>
      <c r="XCB73" s="800"/>
      <c r="XCC73" s="705"/>
      <c r="XCD73" s="799"/>
      <c r="XCE73" s="800"/>
      <c r="XCF73" s="800"/>
      <c r="XCG73" s="800"/>
      <c r="XCH73" s="800"/>
      <c r="XCI73" s="800"/>
      <c r="XCJ73" s="705"/>
      <c r="XCK73" s="799"/>
      <c r="XCL73" s="800"/>
      <c r="XCM73" s="800"/>
      <c r="XCN73" s="800"/>
      <c r="XCO73" s="800"/>
      <c r="XCP73" s="800"/>
      <c r="XCQ73" s="705"/>
      <c r="XCR73" s="799"/>
      <c r="XCS73" s="800"/>
      <c r="XCT73" s="800"/>
      <c r="XCU73" s="800"/>
      <c r="XCV73" s="800"/>
      <c r="XCW73" s="800"/>
      <c r="XCX73" s="705"/>
      <c r="XCY73" s="799"/>
      <c r="XCZ73" s="800"/>
      <c r="XDA73" s="800"/>
      <c r="XDB73" s="800"/>
      <c r="XDC73" s="800"/>
      <c r="XDD73" s="800"/>
      <c r="XDE73" s="705"/>
      <c r="XDF73" s="799"/>
      <c r="XDG73" s="800"/>
      <c r="XDH73" s="800"/>
      <c r="XDI73" s="800"/>
      <c r="XDJ73" s="800"/>
      <c r="XDK73" s="800"/>
      <c r="XDL73" s="705"/>
      <c r="XDM73" s="799"/>
      <c r="XDN73" s="800"/>
      <c r="XDO73" s="800"/>
      <c r="XDP73" s="800"/>
      <c r="XDQ73" s="800"/>
      <c r="XDR73" s="800"/>
      <c r="XDS73" s="705"/>
      <c r="XDT73" s="799"/>
      <c r="XDU73" s="800"/>
      <c r="XDV73" s="800"/>
      <c r="XDW73" s="800"/>
      <c r="XDX73" s="800"/>
      <c r="XDY73" s="800"/>
      <c r="XDZ73" s="705"/>
      <c r="XEA73" s="799"/>
      <c r="XEB73" s="800"/>
      <c r="XEC73" s="800"/>
      <c r="XED73" s="800"/>
      <c r="XEE73" s="800"/>
      <c r="XEF73" s="800"/>
      <c r="XEG73" s="705"/>
      <c r="XEH73" s="799"/>
      <c r="XEI73" s="800"/>
      <c r="XEJ73" s="800"/>
      <c r="XEK73" s="800"/>
      <c r="XEL73" s="800"/>
      <c r="XEM73" s="800"/>
      <c r="XEN73" s="705"/>
      <c r="XEO73" s="799"/>
      <c r="XEP73" s="800"/>
      <c r="XEQ73" s="800"/>
      <c r="XER73" s="800"/>
      <c r="XES73" s="800"/>
      <c r="XET73" s="800"/>
      <c r="XEU73" s="705"/>
      <c r="XEV73" s="799"/>
      <c r="XEW73" s="799"/>
      <c r="XEX73" s="799"/>
    </row>
    <row r="74" spans="1:16378" s="716" customFormat="1" ht="46.5" customHeight="1" x14ac:dyDescent="0.25">
      <c r="A74" s="705" t="s">
        <v>974</v>
      </c>
      <c r="B74" s="799" t="s">
        <v>1256</v>
      </c>
      <c r="C74" s="800"/>
      <c r="D74" s="800"/>
      <c r="E74" s="800"/>
      <c r="F74" s="800"/>
      <c r="G74" s="800"/>
      <c r="H74" s="708"/>
      <c r="I74" s="708"/>
      <c r="J74" s="797"/>
      <c r="K74" s="798"/>
      <c r="L74" s="798"/>
      <c r="M74" s="798"/>
      <c r="N74" s="798"/>
      <c r="O74" s="798"/>
      <c r="P74" s="708"/>
      <c r="Q74" s="797"/>
      <c r="R74" s="798"/>
      <c r="S74" s="798"/>
      <c r="T74" s="798"/>
      <c r="U74" s="798"/>
      <c r="V74" s="798"/>
      <c r="W74" s="708"/>
      <c r="X74" s="797"/>
      <c r="Y74" s="798"/>
      <c r="Z74" s="798"/>
      <c r="AA74" s="798"/>
      <c r="AB74" s="798"/>
      <c r="AC74" s="798"/>
      <c r="AD74" s="708"/>
      <c r="AE74" s="797"/>
      <c r="AF74" s="798"/>
      <c r="AG74" s="798"/>
      <c r="AH74" s="798"/>
      <c r="AI74" s="798"/>
      <c r="AJ74" s="798"/>
      <c r="AK74" s="708"/>
      <c r="AL74" s="797"/>
      <c r="AM74" s="798"/>
      <c r="AN74" s="798"/>
      <c r="AO74" s="798"/>
      <c r="AP74" s="798"/>
      <c r="AQ74" s="798"/>
      <c r="AR74" s="708"/>
      <c r="AS74" s="797"/>
      <c r="AT74" s="798"/>
      <c r="AU74" s="798"/>
      <c r="AV74" s="798"/>
      <c r="AW74" s="798"/>
      <c r="AX74" s="798"/>
      <c r="AY74" s="709"/>
      <c r="AZ74" s="799"/>
      <c r="BA74" s="800"/>
      <c r="BB74" s="800"/>
      <c r="BC74" s="800"/>
      <c r="BD74" s="800"/>
      <c r="BE74" s="800"/>
      <c r="BF74" s="705"/>
      <c r="BG74" s="799"/>
      <c r="BH74" s="800"/>
      <c r="BI74" s="800"/>
      <c r="BJ74" s="800"/>
      <c r="BK74" s="800"/>
      <c r="BL74" s="800"/>
      <c r="BM74" s="705"/>
      <c r="BN74" s="799"/>
      <c r="BO74" s="800"/>
      <c r="BP74" s="800"/>
      <c r="BQ74" s="800"/>
      <c r="BR74" s="800"/>
      <c r="BS74" s="800"/>
      <c r="BT74" s="705"/>
      <c r="BU74" s="799"/>
      <c r="BV74" s="800"/>
      <c r="BW74" s="800"/>
      <c r="BX74" s="800"/>
      <c r="BY74" s="800"/>
      <c r="BZ74" s="800"/>
      <c r="CA74" s="705"/>
      <c r="CB74" s="799"/>
      <c r="CC74" s="800"/>
      <c r="CD74" s="800"/>
      <c r="CE74" s="800"/>
      <c r="CF74" s="800"/>
      <c r="CG74" s="800"/>
      <c r="CH74" s="705"/>
      <c r="CI74" s="799"/>
      <c r="CJ74" s="800"/>
      <c r="CK74" s="800"/>
      <c r="CL74" s="800"/>
      <c r="CM74" s="800"/>
      <c r="CN74" s="800"/>
      <c r="CO74" s="705"/>
      <c r="CP74" s="799"/>
      <c r="CQ74" s="800"/>
      <c r="CR74" s="800"/>
      <c r="CS74" s="800"/>
      <c r="CT74" s="800"/>
      <c r="CU74" s="800"/>
      <c r="CV74" s="705"/>
      <c r="CW74" s="799"/>
      <c r="CX74" s="800"/>
      <c r="CY74" s="800"/>
      <c r="CZ74" s="800"/>
      <c r="DA74" s="800"/>
      <c r="DB74" s="800"/>
      <c r="DC74" s="705"/>
      <c r="DD74" s="799"/>
      <c r="DE74" s="800"/>
      <c r="DF74" s="800"/>
      <c r="DG74" s="800"/>
      <c r="DH74" s="800"/>
      <c r="DI74" s="800"/>
      <c r="DJ74" s="705"/>
      <c r="DK74" s="799"/>
      <c r="DL74" s="800"/>
      <c r="DM74" s="800"/>
      <c r="DN74" s="800"/>
      <c r="DO74" s="800"/>
      <c r="DP74" s="800"/>
      <c r="DQ74" s="705"/>
      <c r="DR74" s="799"/>
      <c r="DS74" s="800"/>
      <c r="DT74" s="800"/>
      <c r="DU74" s="800"/>
      <c r="DV74" s="800"/>
      <c r="DW74" s="800"/>
      <c r="DX74" s="705"/>
      <c r="DY74" s="799"/>
      <c r="DZ74" s="800"/>
      <c r="EA74" s="800"/>
      <c r="EB74" s="800"/>
      <c r="EC74" s="800"/>
      <c r="ED74" s="800"/>
      <c r="EE74" s="705"/>
      <c r="EF74" s="799"/>
      <c r="EG74" s="800"/>
      <c r="EH74" s="800"/>
      <c r="EI74" s="800"/>
      <c r="EJ74" s="800"/>
      <c r="EK74" s="800"/>
      <c r="EL74" s="705"/>
      <c r="EM74" s="799"/>
      <c r="EN74" s="800"/>
      <c r="EO74" s="800"/>
      <c r="EP74" s="800"/>
      <c r="EQ74" s="800"/>
      <c r="ER74" s="800"/>
      <c r="ES74" s="705"/>
      <c r="ET74" s="799"/>
      <c r="EU74" s="800"/>
      <c r="EV74" s="800"/>
      <c r="EW74" s="800"/>
      <c r="EX74" s="800"/>
      <c r="EY74" s="800"/>
      <c r="EZ74" s="705"/>
      <c r="FA74" s="799"/>
      <c r="FB74" s="800"/>
      <c r="FC74" s="800"/>
      <c r="FD74" s="800"/>
      <c r="FE74" s="800"/>
      <c r="FF74" s="800"/>
      <c r="FG74" s="705"/>
      <c r="FH74" s="799"/>
      <c r="FI74" s="800"/>
      <c r="FJ74" s="800"/>
      <c r="FK74" s="800"/>
      <c r="FL74" s="800"/>
      <c r="FM74" s="800"/>
      <c r="FN74" s="705"/>
      <c r="FO74" s="799"/>
      <c r="FP74" s="800"/>
      <c r="FQ74" s="800"/>
      <c r="FR74" s="800"/>
      <c r="FS74" s="800"/>
      <c r="FT74" s="800"/>
      <c r="FU74" s="705"/>
      <c r="FV74" s="799"/>
      <c r="FW74" s="800"/>
      <c r="FX74" s="800"/>
      <c r="FY74" s="800"/>
      <c r="FZ74" s="800"/>
      <c r="GA74" s="800"/>
      <c r="GB74" s="705"/>
      <c r="GC74" s="799"/>
      <c r="GD74" s="800"/>
      <c r="GE74" s="800"/>
      <c r="GF74" s="800"/>
      <c r="GG74" s="800"/>
      <c r="GH74" s="800"/>
      <c r="GI74" s="705"/>
      <c r="GJ74" s="799"/>
      <c r="GK74" s="800"/>
      <c r="GL74" s="800"/>
      <c r="GM74" s="800"/>
      <c r="GN74" s="800"/>
      <c r="GO74" s="800"/>
      <c r="GP74" s="705"/>
      <c r="GQ74" s="799"/>
      <c r="GR74" s="800"/>
      <c r="GS74" s="800"/>
      <c r="GT74" s="800"/>
      <c r="GU74" s="800"/>
      <c r="GV74" s="800"/>
      <c r="GW74" s="705"/>
      <c r="GX74" s="799"/>
      <c r="GY74" s="800"/>
      <c r="GZ74" s="800"/>
      <c r="HA74" s="800"/>
      <c r="HB74" s="800"/>
      <c r="HC74" s="800"/>
      <c r="HD74" s="705"/>
      <c r="HE74" s="799"/>
      <c r="HF74" s="800"/>
      <c r="HG74" s="800"/>
      <c r="HH74" s="800"/>
      <c r="HI74" s="800"/>
      <c r="HJ74" s="800"/>
      <c r="HK74" s="705"/>
      <c r="HL74" s="799"/>
      <c r="HM74" s="800"/>
      <c r="HN74" s="800"/>
      <c r="HO74" s="800"/>
      <c r="HP74" s="800"/>
      <c r="HQ74" s="800"/>
      <c r="HR74" s="705"/>
      <c r="HS74" s="799"/>
      <c r="HT74" s="800"/>
      <c r="HU74" s="800"/>
      <c r="HV74" s="800"/>
      <c r="HW74" s="800"/>
      <c r="HX74" s="800"/>
      <c r="HY74" s="705"/>
      <c r="HZ74" s="799"/>
      <c r="IA74" s="800"/>
      <c r="IB74" s="800"/>
      <c r="IC74" s="800"/>
      <c r="ID74" s="800"/>
      <c r="IE74" s="800"/>
      <c r="IF74" s="705"/>
      <c r="IG74" s="799"/>
      <c r="IH74" s="800"/>
      <c r="II74" s="800"/>
      <c r="IJ74" s="800"/>
      <c r="IK74" s="800"/>
      <c r="IL74" s="800"/>
      <c r="IM74" s="705"/>
      <c r="IN74" s="799"/>
      <c r="IO74" s="800"/>
      <c r="IP74" s="800"/>
      <c r="IQ74" s="800"/>
      <c r="IR74" s="800"/>
      <c r="IS74" s="800"/>
      <c r="IT74" s="705"/>
      <c r="IU74" s="799"/>
      <c r="IV74" s="800"/>
      <c r="IW74" s="800"/>
      <c r="IX74" s="800"/>
      <c r="IY74" s="800"/>
      <c r="IZ74" s="800"/>
      <c r="JA74" s="705"/>
      <c r="JB74" s="799"/>
      <c r="JC74" s="800"/>
      <c r="JD74" s="800"/>
      <c r="JE74" s="800"/>
      <c r="JF74" s="800"/>
      <c r="JG74" s="800"/>
      <c r="JH74" s="705"/>
      <c r="JI74" s="799"/>
      <c r="JJ74" s="800"/>
      <c r="JK74" s="800"/>
      <c r="JL74" s="800"/>
      <c r="JM74" s="800"/>
      <c r="JN74" s="800"/>
      <c r="JO74" s="705"/>
      <c r="JP74" s="799"/>
      <c r="JQ74" s="800"/>
      <c r="JR74" s="800"/>
      <c r="JS74" s="800"/>
      <c r="JT74" s="800"/>
      <c r="JU74" s="800"/>
      <c r="JV74" s="705"/>
      <c r="JW74" s="799"/>
      <c r="JX74" s="800"/>
      <c r="JY74" s="800"/>
      <c r="JZ74" s="800"/>
      <c r="KA74" s="800"/>
      <c r="KB74" s="800"/>
      <c r="KC74" s="705"/>
      <c r="KD74" s="799"/>
      <c r="KE74" s="800"/>
      <c r="KF74" s="800"/>
      <c r="KG74" s="800"/>
      <c r="KH74" s="800"/>
      <c r="KI74" s="800"/>
      <c r="KJ74" s="705"/>
      <c r="KK74" s="799"/>
      <c r="KL74" s="800"/>
      <c r="KM74" s="800"/>
      <c r="KN74" s="800"/>
      <c r="KO74" s="800"/>
      <c r="KP74" s="800"/>
      <c r="KQ74" s="705"/>
      <c r="KR74" s="799"/>
      <c r="KS74" s="800"/>
      <c r="KT74" s="800"/>
      <c r="KU74" s="800"/>
      <c r="KV74" s="800"/>
      <c r="KW74" s="800"/>
      <c r="KX74" s="705"/>
      <c r="KY74" s="799"/>
      <c r="KZ74" s="800"/>
      <c r="LA74" s="800"/>
      <c r="LB74" s="800"/>
      <c r="LC74" s="800"/>
      <c r="LD74" s="800"/>
      <c r="LE74" s="705"/>
      <c r="LF74" s="799"/>
      <c r="LG74" s="800"/>
      <c r="LH74" s="800"/>
      <c r="LI74" s="800"/>
      <c r="LJ74" s="800"/>
      <c r="LK74" s="800"/>
      <c r="LL74" s="705"/>
      <c r="LM74" s="799"/>
      <c r="LN74" s="800"/>
      <c r="LO74" s="800"/>
      <c r="LP74" s="800"/>
      <c r="LQ74" s="800"/>
      <c r="LR74" s="800"/>
      <c r="LS74" s="705"/>
      <c r="LT74" s="799"/>
      <c r="LU74" s="800"/>
      <c r="LV74" s="800"/>
      <c r="LW74" s="800"/>
      <c r="LX74" s="800"/>
      <c r="LY74" s="800"/>
      <c r="LZ74" s="705"/>
      <c r="MA74" s="799"/>
      <c r="MB74" s="800"/>
      <c r="MC74" s="800"/>
      <c r="MD74" s="800"/>
      <c r="ME74" s="800"/>
      <c r="MF74" s="800"/>
      <c r="MG74" s="705"/>
      <c r="MH74" s="799"/>
      <c r="MI74" s="800"/>
      <c r="MJ74" s="800"/>
      <c r="MK74" s="800"/>
      <c r="ML74" s="800"/>
      <c r="MM74" s="800"/>
      <c r="MN74" s="705"/>
      <c r="MO74" s="799"/>
      <c r="MP74" s="800"/>
      <c r="MQ74" s="800"/>
      <c r="MR74" s="800"/>
      <c r="MS74" s="800"/>
      <c r="MT74" s="800"/>
      <c r="MU74" s="705"/>
      <c r="MV74" s="799"/>
      <c r="MW74" s="800"/>
      <c r="MX74" s="800"/>
      <c r="MY74" s="800"/>
      <c r="MZ74" s="800"/>
      <c r="NA74" s="800"/>
      <c r="NB74" s="705"/>
      <c r="NC74" s="799"/>
      <c r="ND74" s="800"/>
      <c r="NE74" s="800"/>
      <c r="NF74" s="800"/>
      <c r="NG74" s="800"/>
      <c r="NH74" s="800"/>
      <c r="NI74" s="705"/>
      <c r="NJ74" s="799"/>
      <c r="NK74" s="800"/>
      <c r="NL74" s="800"/>
      <c r="NM74" s="800"/>
      <c r="NN74" s="800"/>
      <c r="NO74" s="800"/>
      <c r="NP74" s="705"/>
      <c r="NQ74" s="799"/>
      <c r="NR74" s="800"/>
      <c r="NS74" s="800"/>
      <c r="NT74" s="800"/>
      <c r="NU74" s="800"/>
      <c r="NV74" s="800"/>
      <c r="NW74" s="705"/>
      <c r="NX74" s="799"/>
      <c r="NY74" s="800"/>
      <c r="NZ74" s="800"/>
      <c r="OA74" s="800"/>
      <c r="OB74" s="800"/>
      <c r="OC74" s="800"/>
      <c r="OD74" s="705"/>
      <c r="OE74" s="799"/>
      <c r="OF74" s="800"/>
      <c r="OG74" s="800"/>
      <c r="OH74" s="800"/>
      <c r="OI74" s="800"/>
      <c r="OJ74" s="800"/>
      <c r="OK74" s="705"/>
      <c r="OL74" s="799"/>
      <c r="OM74" s="800"/>
      <c r="ON74" s="800"/>
      <c r="OO74" s="800"/>
      <c r="OP74" s="800"/>
      <c r="OQ74" s="800"/>
      <c r="OR74" s="705"/>
      <c r="OS74" s="799"/>
      <c r="OT74" s="800"/>
      <c r="OU74" s="800"/>
      <c r="OV74" s="800"/>
      <c r="OW74" s="800"/>
      <c r="OX74" s="800"/>
      <c r="OY74" s="705"/>
      <c r="OZ74" s="799"/>
      <c r="PA74" s="800"/>
      <c r="PB74" s="800"/>
      <c r="PC74" s="800"/>
      <c r="PD74" s="800"/>
      <c r="PE74" s="800"/>
      <c r="PF74" s="705"/>
      <c r="PG74" s="799"/>
      <c r="PH74" s="800"/>
      <c r="PI74" s="800"/>
      <c r="PJ74" s="800"/>
      <c r="PK74" s="800"/>
      <c r="PL74" s="800"/>
      <c r="PM74" s="705"/>
      <c r="PN74" s="799"/>
      <c r="PO74" s="800"/>
      <c r="PP74" s="800"/>
      <c r="PQ74" s="800"/>
      <c r="PR74" s="800"/>
      <c r="PS74" s="800"/>
      <c r="PT74" s="705"/>
      <c r="PU74" s="799"/>
      <c r="PV74" s="800"/>
      <c r="PW74" s="800"/>
      <c r="PX74" s="800"/>
      <c r="PY74" s="800"/>
      <c r="PZ74" s="800"/>
      <c r="QA74" s="705"/>
      <c r="QB74" s="799"/>
      <c r="QC74" s="800"/>
      <c r="QD74" s="800"/>
      <c r="QE74" s="800"/>
      <c r="QF74" s="800"/>
      <c r="QG74" s="800"/>
      <c r="QH74" s="705"/>
      <c r="QI74" s="799"/>
      <c r="QJ74" s="800"/>
      <c r="QK74" s="800"/>
      <c r="QL74" s="800"/>
      <c r="QM74" s="800"/>
      <c r="QN74" s="800"/>
      <c r="QO74" s="705"/>
      <c r="QP74" s="799"/>
      <c r="QQ74" s="800"/>
      <c r="QR74" s="800"/>
      <c r="QS74" s="800"/>
      <c r="QT74" s="800"/>
      <c r="QU74" s="800"/>
      <c r="QV74" s="705"/>
      <c r="QW74" s="799"/>
      <c r="QX74" s="800"/>
      <c r="QY74" s="800"/>
      <c r="QZ74" s="800"/>
      <c r="RA74" s="800"/>
      <c r="RB74" s="800"/>
      <c r="RC74" s="705"/>
      <c r="RD74" s="799"/>
      <c r="RE74" s="800"/>
      <c r="RF74" s="800"/>
      <c r="RG74" s="800"/>
      <c r="RH74" s="800"/>
      <c r="RI74" s="800"/>
      <c r="RJ74" s="705"/>
      <c r="RK74" s="799"/>
      <c r="RL74" s="800"/>
      <c r="RM74" s="800"/>
      <c r="RN74" s="800"/>
      <c r="RO74" s="800"/>
      <c r="RP74" s="800"/>
      <c r="RQ74" s="705"/>
      <c r="RR74" s="799"/>
      <c r="RS74" s="800"/>
      <c r="RT74" s="800"/>
      <c r="RU74" s="800"/>
      <c r="RV74" s="800"/>
      <c r="RW74" s="800"/>
      <c r="RX74" s="705"/>
      <c r="RY74" s="799"/>
      <c r="RZ74" s="800"/>
      <c r="SA74" s="800"/>
      <c r="SB74" s="800"/>
      <c r="SC74" s="800"/>
      <c r="SD74" s="800"/>
      <c r="SE74" s="705"/>
      <c r="SF74" s="799"/>
      <c r="SG74" s="800"/>
      <c r="SH74" s="800"/>
      <c r="SI74" s="800"/>
      <c r="SJ74" s="800"/>
      <c r="SK74" s="800"/>
      <c r="SL74" s="705"/>
      <c r="SM74" s="799"/>
      <c r="SN74" s="800"/>
      <c r="SO74" s="800"/>
      <c r="SP74" s="800"/>
      <c r="SQ74" s="800"/>
      <c r="SR74" s="800"/>
      <c r="SS74" s="705"/>
      <c r="ST74" s="799"/>
      <c r="SU74" s="800"/>
      <c r="SV74" s="800"/>
      <c r="SW74" s="800"/>
      <c r="SX74" s="800"/>
      <c r="SY74" s="800"/>
      <c r="SZ74" s="705"/>
      <c r="TA74" s="799"/>
      <c r="TB74" s="800"/>
      <c r="TC74" s="800"/>
      <c r="TD74" s="800"/>
      <c r="TE74" s="800"/>
      <c r="TF74" s="800"/>
      <c r="TG74" s="705"/>
      <c r="TH74" s="799"/>
      <c r="TI74" s="800"/>
      <c r="TJ74" s="800"/>
      <c r="TK74" s="800"/>
      <c r="TL74" s="800"/>
      <c r="TM74" s="800"/>
      <c r="TN74" s="705"/>
      <c r="TO74" s="799"/>
      <c r="TP74" s="800"/>
      <c r="TQ74" s="800"/>
      <c r="TR74" s="800"/>
      <c r="TS74" s="800"/>
      <c r="TT74" s="800"/>
      <c r="TU74" s="705"/>
      <c r="TV74" s="799"/>
      <c r="TW74" s="800"/>
      <c r="TX74" s="800"/>
      <c r="TY74" s="800"/>
      <c r="TZ74" s="800"/>
      <c r="UA74" s="800"/>
      <c r="UB74" s="705"/>
      <c r="UC74" s="799"/>
      <c r="UD74" s="800"/>
      <c r="UE74" s="800"/>
      <c r="UF74" s="800"/>
      <c r="UG74" s="800"/>
      <c r="UH74" s="800"/>
      <c r="UI74" s="705"/>
      <c r="UJ74" s="799"/>
      <c r="UK74" s="800"/>
      <c r="UL74" s="800"/>
      <c r="UM74" s="800"/>
      <c r="UN74" s="800"/>
      <c r="UO74" s="800"/>
      <c r="UP74" s="705"/>
      <c r="UQ74" s="799"/>
      <c r="UR74" s="800"/>
      <c r="US74" s="800"/>
      <c r="UT74" s="800"/>
      <c r="UU74" s="800"/>
      <c r="UV74" s="800"/>
      <c r="UW74" s="705"/>
      <c r="UX74" s="799"/>
      <c r="UY74" s="800"/>
      <c r="UZ74" s="800"/>
      <c r="VA74" s="800"/>
      <c r="VB74" s="800"/>
      <c r="VC74" s="800"/>
      <c r="VD74" s="705"/>
      <c r="VE74" s="799"/>
      <c r="VF74" s="800"/>
      <c r="VG74" s="800"/>
      <c r="VH74" s="800"/>
      <c r="VI74" s="800"/>
      <c r="VJ74" s="800"/>
      <c r="VK74" s="705"/>
      <c r="VL74" s="799"/>
      <c r="VM74" s="800"/>
      <c r="VN74" s="800"/>
      <c r="VO74" s="800"/>
      <c r="VP74" s="800"/>
      <c r="VQ74" s="800"/>
      <c r="VR74" s="705"/>
      <c r="VS74" s="799"/>
      <c r="VT74" s="800"/>
      <c r="VU74" s="800"/>
      <c r="VV74" s="800"/>
      <c r="VW74" s="800"/>
      <c r="VX74" s="800"/>
      <c r="VY74" s="705"/>
      <c r="VZ74" s="799"/>
      <c r="WA74" s="800"/>
      <c r="WB74" s="800"/>
      <c r="WC74" s="800"/>
      <c r="WD74" s="800"/>
      <c r="WE74" s="800"/>
      <c r="WF74" s="705"/>
      <c r="WG74" s="799"/>
      <c r="WH74" s="800"/>
      <c r="WI74" s="800"/>
      <c r="WJ74" s="800"/>
      <c r="WK74" s="800"/>
      <c r="WL74" s="800"/>
      <c r="WM74" s="705"/>
      <c r="WN74" s="799"/>
      <c r="WO74" s="800"/>
      <c r="WP74" s="800"/>
      <c r="WQ74" s="800"/>
      <c r="WR74" s="800"/>
      <c r="WS74" s="800"/>
      <c r="WT74" s="705"/>
      <c r="WU74" s="799"/>
      <c r="WV74" s="800"/>
      <c r="WW74" s="800"/>
      <c r="WX74" s="800"/>
      <c r="WY74" s="800"/>
      <c r="WZ74" s="800"/>
      <c r="XA74" s="705"/>
      <c r="XB74" s="799"/>
      <c r="XC74" s="800"/>
      <c r="XD74" s="800"/>
      <c r="XE74" s="800"/>
      <c r="XF74" s="800"/>
      <c r="XG74" s="800"/>
      <c r="XH74" s="705"/>
      <c r="XI74" s="799"/>
      <c r="XJ74" s="800"/>
      <c r="XK74" s="800"/>
      <c r="XL74" s="800"/>
      <c r="XM74" s="800"/>
      <c r="XN74" s="800"/>
      <c r="XO74" s="705"/>
      <c r="XP74" s="799"/>
      <c r="XQ74" s="800"/>
      <c r="XR74" s="800"/>
      <c r="XS74" s="800"/>
      <c r="XT74" s="800"/>
      <c r="XU74" s="800"/>
      <c r="XV74" s="705"/>
      <c r="XW74" s="799"/>
      <c r="XX74" s="800"/>
      <c r="XY74" s="800"/>
      <c r="XZ74" s="800"/>
      <c r="YA74" s="800"/>
      <c r="YB74" s="800"/>
      <c r="YC74" s="705"/>
      <c r="YD74" s="799"/>
      <c r="YE74" s="800"/>
      <c r="YF74" s="800"/>
      <c r="YG74" s="800"/>
      <c r="YH74" s="800"/>
      <c r="YI74" s="800"/>
      <c r="YJ74" s="705"/>
      <c r="YK74" s="799"/>
      <c r="YL74" s="800"/>
      <c r="YM74" s="800"/>
      <c r="YN74" s="800"/>
      <c r="YO74" s="800"/>
      <c r="YP74" s="800"/>
      <c r="YQ74" s="705"/>
      <c r="YR74" s="799"/>
      <c r="YS74" s="800"/>
      <c r="YT74" s="800"/>
      <c r="YU74" s="800"/>
      <c r="YV74" s="800"/>
      <c r="YW74" s="800"/>
      <c r="YX74" s="705"/>
      <c r="YY74" s="799"/>
      <c r="YZ74" s="800"/>
      <c r="ZA74" s="800"/>
      <c r="ZB74" s="800"/>
      <c r="ZC74" s="800"/>
      <c r="ZD74" s="800"/>
      <c r="ZE74" s="705"/>
      <c r="ZF74" s="799"/>
      <c r="ZG74" s="800"/>
      <c r="ZH74" s="800"/>
      <c r="ZI74" s="800"/>
      <c r="ZJ74" s="800"/>
      <c r="ZK74" s="800"/>
      <c r="ZL74" s="705"/>
      <c r="ZM74" s="799"/>
      <c r="ZN74" s="800"/>
      <c r="ZO74" s="800"/>
      <c r="ZP74" s="800"/>
      <c r="ZQ74" s="800"/>
      <c r="ZR74" s="800"/>
      <c r="ZS74" s="705"/>
      <c r="ZT74" s="799"/>
      <c r="ZU74" s="800"/>
      <c r="ZV74" s="800"/>
      <c r="ZW74" s="800"/>
      <c r="ZX74" s="800"/>
      <c r="ZY74" s="800"/>
      <c r="ZZ74" s="705"/>
      <c r="AAA74" s="799"/>
      <c r="AAB74" s="800"/>
      <c r="AAC74" s="800"/>
      <c r="AAD74" s="800"/>
      <c r="AAE74" s="800"/>
      <c r="AAF74" s="800"/>
      <c r="AAG74" s="705"/>
      <c r="AAH74" s="799"/>
      <c r="AAI74" s="800"/>
      <c r="AAJ74" s="800"/>
      <c r="AAK74" s="800"/>
      <c r="AAL74" s="800"/>
      <c r="AAM74" s="800"/>
      <c r="AAN74" s="705"/>
      <c r="AAO74" s="799"/>
      <c r="AAP74" s="800"/>
      <c r="AAQ74" s="800"/>
      <c r="AAR74" s="800"/>
      <c r="AAS74" s="800"/>
      <c r="AAT74" s="800"/>
      <c r="AAU74" s="705"/>
      <c r="AAV74" s="799"/>
      <c r="AAW74" s="800"/>
      <c r="AAX74" s="800"/>
      <c r="AAY74" s="800"/>
      <c r="AAZ74" s="800"/>
      <c r="ABA74" s="800"/>
      <c r="ABB74" s="705"/>
      <c r="ABC74" s="799"/>
      <c r="ABD74" s="800"/>
      <c r="ABE74" s="800"/>
      <c r="ABF74" s="800"/>
      <c r="ABG74" s="800"/>
      <c r="ABH74" s="800"/>
      <c r="ABI74" s="705"/>
      <c r="ABJ74" s="799"/>
      <c r="ABK74" s="800"/>
      <c r="ABL74" s="800"/>
      <c r="ABM74" s="800"/>
      <c r="ABN74" s="800"/>
      <c r="ABO74" s="800"/>
      <c r="ABP74" s="705"/>
      <c r="ABQ74" s="799"/>
      <c r="ABR74" s="800"/>
      <c r="ABS74" s="800"/>
      <c r="ABT74" s="800"/>
      <c r="ABU74" s="800"/>
      <c r="ABV74" s="800"/>
      <c r="ABW74" s="705"/>
      <c r="ABX74" s="799"/>
      <c r="ABY74" s="800"/>
      <c r="ABZ74" s="800"/>
      <c r="ACA74" s="800"/>
      <c r="ACB74" s="800"/>
      <c r="ACC74" s="800"/>
      <c r="ACD74" s="705"/>
      <c r="ACE74" s="799"/>
      <c r="ACF74" s="800"/>
      <c r="ACG74" s="800"/>
      <c r="ACH74" s="800"/>
      <c r="ACI74" s="800"/>
      <c r="ACJ74" s="800"/>
      <c r="ACK74" s="705"/>
      <c r="ACL74" s="799"/>
      <c r="ACM74" s="800"/>
      <c r="ACN74" s="800"/>
      <c r="ACO74" s="800"/>
      <c r="ACP74" s="800"/>
      <c r="ACQ74" s="800"/>
      <c r="ACR74" s="705"/>
      <c r="ACS74" s="799"/>
      <c r="ACT74" s="800"/>
      <c r="ACU74" s="800"/>
      <c r="ACV74" s="800"/>
      <c r="ACW74" s="800"/>
      <c r="ACX74" s="800"/>
      <c r="ACY74" s="705"/>
      <c r="ACZ74" s="799"/>
      <c r="ADA74" s="800"/>
      <c r="ADB74" s="800"/>
      <c r="ADC74" s="800"/>
      <c r="ADD74" s="800"/>
      <c r="ADE74" s="800"/>
      <c r="ADF74" s="705"/>
      <c r="ADG74" s="799"/>
      <c r="ADH74" s="800"/>
      <c r="ADI74" s="800"/>
      <c r="ADJ74" s="800"/>
      <c r="ADK74" s="800"/>
      <c r="ADL74" s="800"/>
      <c r="ADM74" s="705"/>
      <c r="ADN74" s="799"/>
      <c r="ADO74" s="800"/>
      <c r="ADP74" s="800"/>
      <c r="ADQ74" s="800"/>
      <c r="ADR74" s="800"/>
      <c r="ADS74" s="800"/>
      <c r="ADT74" s="705"/>
      <c r="ADU74" s="799"/>
      <c r="ADV74" s="800"/>
      <c r="ADW74" s="800"/>
      <c r="ADX74" s="800"/>
      <c r="ADY74" s="800"/>
      <c r="ADZ74" s="800"/>
      <c r="AEA74" s="705"/>
      <c r="AEB74" s="799"/>
      <c r="AEC74" s="800"/>
      <c r="AED74" s="800"/>
      <c r="AEE74" s="800"/>
      <c r="AEF74" s="800"/>
      <c r="AEG74" s="800"/>
      <c r="AEH74" s="705"/>
      <c r="AEI74" s="799"/>
      <c r="AEJ74" s="800"/>
      <c r="AEK74" s="800"/>
      <c r="AEL74" s="800"/>
      <c r="AEM74" s="800"/>
      <c r="AEN74" s="800"/>
      <c r="AEO74" s="705"/>
      <c r="AEP74" s="799"/>
      <c r="AEQ74" s="800"/>
      <c r="AER74" s="800"/>
      <c r="AES74" s="800"/>
      <c r="AET74" s="800"/>
      <c r="AEU74" s="800"/>
      <c r="AEV74" s="705"/>
      <c r="AEW74" s="799"/>
      <c r="AEX74" s="800"/>
      <c r="AEY74" s="800"/>
      <c r="AEZ74" s="800"/>
      <c r="AFA74" s="800"/>
      <c r="AFB74" s="800"/>
      <c r="AFC74" s="705"/>
      <c r="AFD74" s="799"/>
      <c r="AFE74" s="800"/>
      <c r="AFF74" s="800"/>
      <c r="AFG74" s="800"/>
      <c r="AFH74" s="800"/>
      <c r="AFI74" s="800"/>
      <c r="AFJ74" s="705"/>
      <c r="AFK74" s="799"/>
      <c r="AFL74" s="800"/>
      <c r="AFM74" s="800"/>
      <c r="AFN74" s="800"/>
      <c r="AFO74" s="800"/>
      <c r="AFP74" s="800"/>
      <c r="AFQ74" s="705"/>
      <c r="AFR74" s="799"/>
      <c r="AFS74" s="800"/>
      <c r="AFT74" s="800"/>
      <c r="AFU74" s="800"/>
      <c r="AFV74" s="800"/>
      <c r="AFW74" s="800"/>
      <c r="AFX74" s="705"/>
      <c r="AFY74" s="799"/>
      <c r="AFZ74" s="800"/>
      <c r="AGA74" s="800"/>
      <c r="AGB74" s="800"/>
      <c r="AGC74" s="800"/>
      <c r="AGD74" s="800"/>
      <c r="AGE74" s="705"/>
      <c r="AGF74" s="799"/>
      <c r="AGG74" s="800"/>
      <c r="AGH74" s="800"/>
      <c r="AGI74" s="800"/>
      <c r="AGJ74" s="800"/>
      <c r="AGK74" s="800"/>
      <c r="AGL74" s="705"/>
      <c r="AGM74" s="799"/>
      <c r="AGN74" s="800"/>
      <c r="AGO74" s="800"/>
      <c r="AGP74" s="800"/>
      <c r="AGQ74" s="800"/>
      <c r="AGR74" s="800"/>
      <c r="AGS74" s="705"/>
      <c r="AGT74" s="799"/>
      <c r="AGU74" s="800"/>
      <c r="AGV74" s="800"/>
      <c r="AGW74" s="800"/>
      <c r="AGX74" s="800"/>
      <c r="AGY74" s="800"/>
      <c r="AGZ74" s="705"/>
      <c r="AHA74" s="799"/>
      <c r="AHB74" s="800"/>
      <c r="AHC74" s="800"/>
      <c r="AHD74" s="800"/>
      <c r="AHE74" s="800"/>
      <c r="AHF74" s="800"/>
      <c r="AHG74" s="705"/>
      <c r="AHH74" s="799"/>
      <c r="AHI74" s="800"/>
      <c r="AHJ74" s="800"/>
      <c r="AHK74" s="800"/>
      <c r="AHL74" s="800"/>
      <c r="AHM74" s="800"/>
      <c r="AHN74" s="705"/>
      <c r="AHO74" s="799"/>
      <c r="AHP74" s="800"/>
      <c r="AHQ74" s="800"/>
      <c r="AHR74" s="800"/>
      <c r="AHS74" s="800"/>
      <c r="AHT74" s="800"/>
      <c r="AHU74" s="705"/>
      <c r="AHV74" s="799"/>
      <c r="AHW74" s="800"/>
      <c r="AHX74" s="800"/>
      <c r="AHY74" s="800"/>
      <c r="AHZ74" s="800"/>
      <c r="AIA74" s="800"/>
      <c r="AIB74" s="705"/>
      <c r="AIC74" s="799"/>
      <c r="AID74" s="800"/>
      <c r="AIE74" s="800"/>
      <c r="AIF74" s="800"/>
      <c r="AIG74" s="800"/>
      <c r="AIH74" s="800"/>
      <c r="AII74" s="705"/>
      <c r="AIJ74" s="799"/>
      <c r="AIK74" s="800"/>
      <c r="AIL74" s="800"/>
      <c r="AIM74" s="800"/>
      <c r="AIN74" s="800"/>
      <c r="AIO74" s="800"/>
      <c r="AIP74" s="705"/>
      <c r="AIQ74" s="799"/>
      <c r="AIR74" s="800"/>
      <c r="AIS74" s="800"/>
      <c r="AIT74" s="800"/>
      <c r="AIU74" s="800"/>
      <c r="AIV74" s="800"/>
      <c r="AIW74" s="705"/>
      <c r="AIX74" s="799"/>
      <c r="AIY74" s="800"/>
      <c r="AIZ74" s="800"/>
      <c r="AJA74" s="800"/>
      <c r="AJB74" s="800"/>
      <c r="AJC74" s="800"/>
      <c r="AJD74" s="705"/>
      <c r="AJE74" s="799"/>
      <c r="AJF74" s="800"/>
      <c r="AJG74" s="800"/>
      <c r="AJH74" s="800"/>
      <c r="AJI74" s="800"/>
      <c r="AJJ74" s="800"/>
      <c r="AJK74" s="705"/>
      <c r="AJL74" s="799"/>
      <c r="AJM74" s="800"/>
      <c r="AJN74" s="800"/>
      <c r="AJO74" s="800"/>
      <c r="AJP74" s="800"/>
      <c r="AJQ74" s="800"/>
      <c r="AJR74" s="705"/>
      <c r="AJS74" s="799"/>
      <c r="AJT74" s="800"/>
      <c r="AJU74" s="800"/>
      <c r="AJV74" s="800"/>
      <c r="AJW74" s="800"/>
      <c r="AJX74" s="800"/>
      <c r="AJY74" s="705"/>
      <c r="AJZ74" s="799"/>
      <c r="AKA74" s="800"/>
      <c r="AKB74" s="800"/>
      <c r="AKC74" s="800"/>
      <c r="AKD74" s="800"/>
      <c r="AKE74" s="800"/>
      <c r="AKF74" s="705"/>
      <c r="AKG74" s="799"/>
      <c r="AKH74" s="800"/>
      <c r="AKI74" s="800"/>
      <c r="AKJ74" s="800"/>
      <c r="AKK74" s="800"/>
      <c r="AKL74" s="800"/>
      <c r="AKM74" s="705"/>
      <c r="AKN74" s="799"/>
      <c r="AKO74" s="800"/>
      <c r="AKP74" s="800"/>
      <c r="AKQ74" s="800"/>
      <c r="AKR74" s="800"/>
      <c r="AKS74" s="800"/>
      <c r="AKT74" s="705"/>
      <c r="AKU74" s="799"/>
      <c r="AKV74" s="800"/>
      <c r="AKW74" s="800"/>
      <c r="AKX74" s="800"/>
      <c r="AKY74" s="800"/>
      <c r="AKZ74" s="800"/>
      <c r="ALA74" s="705"/>
      <c r="ALB74" s="799"/>
      <c r="ALC74" s="800"/>
      <c r="ALD74" s="800"/>
      <c r="ALE74" s="800"/>
      <c r="ALF74" s="800"/>
      <c r="ALG74" s="800"/>
      <c r="ALH74" s="705"/>
      <c r="ALI74" s="799"/>
      <c r="ALJ74" s="800"/>
      <c r="ALK74" s="800"/>
      <c r="ALL74" s="800"/>
      <c r="ALM74" s="800"/>
      <c r="ALN74" s="800"/>
      <c r="ALO74" s="705"/>
      <c r="ALP74" s="799"/>
      <c r="ALQ74" s="800"/>
      <c r="ALR74" s="800"/>
      <c r="ALS74" s="800"/>
      <c r="ALT74" s="800"/>
      <c r="ALU74" s="800"/>
      <c r="ALV74" s="705"/>
      <c r="ALW74" s="799"/>
      <c r="ALX74" s="800"/>
      <c r="ALY74" s="800"/>
      <c r="ALZ74" s="800"/>
      <c r="AMA74" s="800"/>
      <c r="AMB74" s="800"/>
      <c r="AMC74" s="705"/>
      <c r="AMD74" s="799"/>
      <c r="AME74" s="800"/>
      <c r="AMF74" s="800"/>
      <c r="AMG74" s="800"/>
      <c r="AMH74" s="800"/>
      <c r="AMI74" s="800"/>
      <c r="AMJ74" s="705"/>
      <c r="AMK74" s="799"/>
      <c r="AML74" s="800"/>
      <c r="AMM74" s="800"/>
      <c r="AMN74" s="800"/>
      <c r="AMO74" s="800"/>
      <c r="AMP74" s="800"/>
      <c r="AMQ74" s="705"/>
      <c r="AMR74" s="799"/>
      <c r="AMS74" s="800"/>
      <c r="AMT74" s="800"/>
      <c r="AMU74" s="800"/>
      <c r="AMV74" s="800"/>
      <c r="AMW74" s="800"/>
      <c r="AMX74" s="705"/>
      <c r="AMY74" s="799"/>
      <c r="AMZ74" s="800"/>
      <c r="ANA74" s="800"/>
      <c r="ANB74" s="800"/>
      <c r="ANC74" s="800"/>
      <c r="AND74" s="800"/>
      <c r="ANE74" s="705"/>
      <c r="ANF74" s="799"/>
      <c r="ANG74" s="800"/>
      <c r="ANH74" s="800"/>
      <c r="ANI74" s="800"/>
      <c r="ANJ74" s="800"/>
      <c r="ANK74" s="800"/>
      <c r="ANL74" s="705"/>
      <c r="ANM74" s="799"/>
      <c r="ANN74" s="800"/>
      <c r="ANO74" s="800"/>
      <c r="ANP74" s="800"/>
      <c r="ANQ74" s="800"/>
      <c r="ANR74" s="800"/>
      <c r="ANS74" s="705"/>
      <c r="ANT74" s="799"/>
      <c r="ANU74" s="800"/>
      <c r="ANV74" s="800"/>
      <c r="ANW74" s="800"/>
      <c r="ANX74" s="800"/>
      <c r="ANY74" s="800"/>
      <c r="ANZ74" s="705"/>
      <c r="AOA74" s="799"/>
      <c r="AOB74" s="800"/>
      <c r="AOC74" s="800"/>
      <c r="AOD74" s="800"/>
      <c r="AOE74" s="800"/>
      <c r="AOF74" s="800"/>
      <c r="AOG74" s="705"/>
      <c r="AOH74" s="799"/>
      <c r="AOI74" s="800"/>
      <c r="AOJ74" s="800"/>
      <c r="AOK74" s="800"/>
      <c r="AOL74" s="800"/>
      <c r="AOM74" s="800"/>
      <c r="AON74" s="705"/>
      <c r="AOO74" s="799"/>
      <c r="AOP74" s="800"/>
      <c r="AOQ74" s="800"/>
      <c r="AOR74" s="800"/>
      <c r="AOS74" s="800"/>
      <c r="AOT74" s="800"/>
      <c r="AOU74" s="705"/>
      <c r="AOV74" s="799"/>
      <c r="AOW74" s="800"/>
      <c r="AOX74" s="800"/>
      <c r="AOY74" s="800"/>
      <c r="AOZ74" s="800"/>
      <c r="APA74" s="800"/>
      <c r="APB74" s="705"/>
      <c r="APC74" s="799"/>
      <c r="APD74" s="800"/>
      <c r="APE74" s="800"/>
      <c r="APF74" s="800"/>
      <c r="APG74" s="800"/>
      <c r="APH74" s="800"/>
      <c r="API74" s="705"/>
      <c r="APJ74" s="799"/>
      <c r="APK74" s="800"/>
      <c r="APL74" s="800"/>
      <c r="APM74" s="800"/>
      <c r="APN74" s="800"/>
      <c r="APO74" s="800"/>
      <c r="APP74" s="705"/>
      <c r="APQ74" s="799"/>
      <c r="APR74" s="800"/>
      <c r="APS74" s="800"/>
      <c r="APT74" s="800"/>
      <c r="APU74" s="800"/>
      <c r="APV74" s="800"/>
      <c r="APW74" s="705"/>
      <c r="APX74" s="799"/>
      <c r="APY74" s="800"/>
      <c r="APZ74" s="800"/>
      <c r="AQA74" s="800"/>
      <c r="AQB74" s="800"/>
      <c r="AQC74" s="800"/>
      <c r="AQD74" s="705"/>
      <c r="AQE74" s="799"/>
      <c r="AQF74" s="800"/>
      <c r="AQG74" s="800"/>
      <c r="AQH74" s="800"/>
      <c r="AQI74" s="800"/>
      <c r="AQJ74" s="800"/>
      <c r="AQK74" s="705"/>
      <c r="AQL74" s="799"/>
      <c r="AQM74" s="800"/>
      <c r="AQN74" s="800"/>
      <c r="AQO74" s="800"/>
      <c r="AQP74" s="800"/>
      <c r="AQQ74" s="800"/>
      <c r="AQR74" s="705"/>
      <c r="AQS74" s="799"/>
      <c r="AQT74" s="800"/>
      <c r="AQU74" s="800"/>
      <c r="AQV74" s="800"/>
      <c r="AQW74" s="800"/>
      <c r="AQX74" s="800"/>
      <c r="AQY74" s="705"/>
      <c r="AQZ74" s="799"/>
      <c r="ARA74" s="800"/>
      <c r="ARB74" s="800"/>
      <c r="ARC74" s="800"/>
      <c r="ARD74" s="800"/>
      <c r="ARE74" s="800"/>
      <c r="ARF74" s="705"/>
      <c r="ARG74" s="799"/>
      <c r="ARH74" s="800"/>
      <c r="ARI74" s="800"/>
      <c r="ARJ74" s="800"/>
      <c r="ARK74" s="800"/>
      <c r="ARL74" s="800"/>
      <c r="ARM74" s="705"/>
      <c r="ARN74" s="799"/>
      <c r="ARO74" s="800"/>
      <c r="ARP74" s="800"/>
      <c r="ARQ74" s="800"/>
      <c r="ARR74" s="800"/>
      <c r="ARS74" s="800"/>
      <c r="ART74" s="705"/>
      <c r="ARU74" s="799"/>
      <c r="ARV74" s="800"/>
      <c r="ARW74" s="800"/>
      <c r="ARX74" s="800"/>
      <c r="ARY74" s="800"/>
      <c r="ARZ74" s="800"/>
      <c r="ASA74" s="705"/>
      <c r="ASB74" s="799"/>
      <c r="ASC74" s="800"/>
      <c r="ASD74" s="800"/>
      <c r="ASE74" s="800"/>
      <c r="ASF74" s="800"/>
      <c r="ASG74" s="800"/>
      <c r="ASH74" s="705"/>
      <c r="ASI74" s="799"/>
      <c r="ASJ74" s="800"/>
      <c r="ASK74" s="800"/>
      <c r="ASL74" s="800"/>
      <c r="ASM74" s="800"/>
      <c r="ASN74" s="800"/>
      <c r="ASO74" s="705"/>
      <c r="ASP74" s="799"/>
      <c r="ASQ74" s="800"/>
      <c r="ASR74" s="800"/>
      <c r="ASS74" s="800"/>
      <c r="AST74" s="800"/>
      <c r="ASU74" s="800"/>
      <c r="ASV74" s="705"/>
      <c r="ASW74" s="799"/>
      <c r="ASX74" s="800"/>
      <c r="ASY74" s="800"/>
      <c r="ASZ74" s="800"/>
      <c r="ATA74" s="800"/>
      <c r="ATB74" s="800"/>
      <c r="ATC74" s="705"/>
      <c r="ATD74" s="799"/>
      <c r="ATE74" s="800"/>
      <c r="ATF74" s="800"/>
      <c r="ATG74" s="800"/>
      <c r="ATH74" s="800"/>
      <c r="ATI74" s="800"/>
      <c r="ATJ74" s="705"/>
      <c r="ATK74" s="799"/>
      <c r="ATL74" s="800"/>
      <c r="ATM74" s="800"/>
      <c r="ATN74" s="800"/>
      <c r="ATO74" s="800"/>
      <c r="ATP74" s="800"/>
      <c r="ATQ74" s="705"/>
      <c r="ATR74" s="799"/>
      <c r="ATS74" s="800"/>
      <c r="ATT74" s="800"/>
      <c r="ATU74" s="800"/>
      <c r="ATV74" s="800"/>
      <c r="ATW74" s="800"/>
      <c r="ATX74" s="705"/>
      <c r="ATY74" s="799"/>
      <c r="ATZ74" s="800"/>
      <c r="AUA74" s="800"/>
      <c r="AUB74" s="800"/>
      <c r="AUC74" s="800"/>
      <c r="AUD74" s="800"/>
      <c r="AUE74" s="705"/>
      <c r="AUF74" s="799"/>
      <c r="AUG74" s="800"/>
      <c r="AUH74" s="800"/>
      <c r="AUI74" s="800"/>
      <c r="AUJ74" s="800"/>
      <c r="AUK74" s="800"/>
      <c r="AUL74" s="705"/>
      <c r="AUM74" s="799"/>
      <c r="AUN74" s="800"/>
      <c r="AUO74" s="800"/>
      <c r="AUP74" s="800"/>
      <c r="AUQ74" s="800"/>
      <c r="AUR74" s="800"/>
      <c r="AUS74" s="705"/>
      <c r="AUT74" s="799"/>
      <c r="AUU74" s="800"/>
      <c r="AUV74" s="800"/>
      <c r="AUW74" s="800"/>
      <c r="AUX74" s="800"/>
      <c r="AUY74" s="800"/>
      <c r="AUZ74" s="705"/>
      <c r="AVA74" s="799"/>
      <c r="AVB74" s="800"/>
      <c r="AVC74" s="800"/>
      <c r="AVD74" s="800"/>
      <c r="AVE74" s="800"/>
      <c r="AVF74" s="800"/>
      <c r="AVG74" s="705"/>
      <c r="AVH74" s="799"/>
      <c r="AVI74" s="800"/>
      <c r="AVJ74" s="800"/>
      <c r="AVK74" s="800"/>
      <c r="AVL74" s="800"/>
      <c r="AVM74" s="800"/>
      <c r="AVN74" s="705"/>
      <c r="AVO74" s="799"/>
      <c r="AVP74" s="800"/>
      <c r="AVQ74" s="800"/>
      <c r="AVR74" s="800"/>
      <c r="AVS74" s="800"/>
      <c r="AVT74" s="800"/>
      <c r="AVU74" s="705"/>
      <c r="AVV74" s="799"/>
      <c r="AVW74" s="800"/>
      <c r="AVX74" s="800"/>
      <c r="AVY74" s="800"/>
      <c r="AVZ74" s="800"/>
      <c r="AWA74" s="800"/>
      <c r="AWB74" s="705"/>
      <c r="AWC74" s="799"/>
      <c r="AWD74" s="800"/>
      <c r="AWE74" s="800"/>
      <c r="AWF74" s="800"/>
      <c r="AWG74" s="800"/>
      <c r="AWH74" s="800"/>
      <c r="AWI74" s="705"/>
      <c r="AWJ74" s="799"/>
      <c r="AWK74" s="800"/>
      <c r="AWL74" s="800"/>
      <c r="AWM74" s="800"/>
      <c r="AWN74" s="800"/>
      <c r="AWO74" s="800"/>
      <c r="AWP74" s="705"/>
      <c r="AWQ74" s="799"/>
      <c r="AWR74" s="800"/>
      <c r="AWS74" s="800"/>
      <c r="AWT74" s="800"/>
      <c r="AWU74" s="800"/>
      <c r="AWV74" s="800"/>
      <c r="AWW74" s="705"/>
      <c r="AWX74" s="799"/>
      <c r="AWY74" s="800"/>
      <c r="AWZ74" s="800"/>
      <c r="AXA74" s="800"/>
      <c r="AXB74" s="800"/>
      <c r="AXC74" s="800"/>
      <c r="AXD74" s="705"/>
      <c r="AXE74" s="799"/>
      <c r="AXF74" s="800"/>
      <c r="AXG74" s="800"/>
      <c r="AXH74" s="800"/>
      <c r="AXI74" s="800"/>
      <c r="AXJ74" s="800"/>
      <c r="AXK74" s="705"/>
      <c r="AXL74" s="799"/>
      <c r="AXM74" s="800"/>
      <c r="AXN74" s="800"/>
      <c r="AXO74" s="800"/>
      <c r="AXP74" s="800"/>
      <c r="AXQ74" s="800"/>
      <c r="AXR74" s="705"/>
      <c r="AXS74" s="799"/>
      <c r="AXT74" s="800"/>
      <c r="AXU74" s="800"/>
      <c r="AXV74" s="800"/>
      <c r="AXW74" s="800"/>
      <c r="AXX74" s="800"/>
      <c r="AXY74" s="705"/>
      <c r="AXZ74" s="799"/>
      <c r="AYA74" s="800"/>
      <c r="AYB74" s="800"/>
      <c r="AYC74" s="800"/>
      <c r="AYD74" s="800"/>
      <c r="AYE74" s="800"/>
      <c r="AYF74" s="705"/>
      <c r="AYG74" s="799"/>
      <c r="AYH74" s="800"/>
      <c r="AYI74" s="800"/>
      <c r="AYJ74" s="800"/>
      <c r="AYK74" s="800"/>
      <c r="AYL74" s="800"/>
      <c r="AYM74" s="705"/>
      <c r="AYN74" s="799"/>
      <c r="AYO74" s="800"/>
      <c r="AYP74" s="800"/>
      <c r="AYQ74" s="800"/>
      <c r="AYR74" s="800"/>
      <c r="AYS74" s="800"/>
      <c r="AYT74" s="705"/>
      <c r="AYU74" s="799"/>
      <c r="AYV74" s="800"/>
      <c r="AYW74" s="800"/>
      <c r="AYX74" s="800"/>
      <c r="AYY74" s="800"/>
      <c r="AYZ74" s="800"/>
      <c r="AZA74" s="705"/>
      <c r="AZB74" s="799"/>
      <c r="AZC74" s="800"/>
      <c r="AZD74" s="800"/>
      <c r="AZE74" s="800"/>
      <c r="AZF74" s="800"/>
      <c r="AZG74" s="800"/>
      <c r="AZH74" s="705"/>
      <c r="AZI74" s="799"/>
      <c r="AZJ74" s="800"/>
      <c r="AZK74" s="800"/>
      <c r="AZL74" s="800"/>
      <c r="AZM74" s="800"/>
      <c r="AZN74" s="800"/>
      <c r="AZO74" s="705"/>
      <c r="AZP74" s="799"/>
      <c r="AZQ74" s="800"/>
      <c r="AZR74" s="800"/>
      <c r="AZS74" s="800"/>
      <c r="AZT74" s="800"/>
      <c r="AZU74" s="800"/>
      <c r="AZV74" s="705"/>
      <c r="AZW74" s="799"/>
      <c r="AZX74" s="800"/>
      <c r="AZY74" s="800"/>
      <c r="AZZ74" s="800"/>
      <c r="BAA74" s="800"/>
      <c r="BAB74" s="800"/>
      <c r="BAC74" s="705"/>
      <c r="BAD74" s="799"/>
      <c r="BAE74" s="800"/>
      <c r="BAF74" s="800"/>
      <c r="BAG74" s="800"/>
      <c r="BAH74" s="800"/>
      <c r="BAI74" s="800"/>
      <c r="BAJ74" s="705"/>
      <c r="BAK74" s="799"/>
      <c r="BAL74" s="800"/>
      <c r="BAM74" s="800"/>
      <c r="BAN74" s="800"/>
      <c r="BAO74" s="800"/>
      <c r="BAP74" s="800"/>
      <c r="BAQ74" s="705"/>
      <c r="BAR74" s="799"/>
      <c r="BAS74" s="800"/>
      <c r="BAT74" s="800"/>
      <c r="BAU74" s="800"/>
      <c r="BAV74" s="800"/>
      <c r="BAW74" s="800"/>
      <c r="BAX74" s="705"/>
      <c r="BAY74" s="799"/>
      <c r="BAZ74" s="800"/>
      <c r="BBA74" s="800"/>
      <c r="BBB74" s="800"/>
      <c r="BBC74" s="800"/>
      <c r="BBD74" s="800"/>
      <c r="BBE74" s="705"/>
      <c r="BBF74" s="799"/>
      <c r="BBG74" s="800"/>
      <c r="BBH74" s="800"/>
      <c r="BBI74" s="800"/>
      <c r="BBJ74" s="800"/>
      <c r="BBK74" s="800"/>
      <c r="BBL74" s="705"/>
      <c r="BBM74" s="799"/>
      <c r="BBN74" s="800"/>
      <c r="BBO74" s="800"/>
      <c r="BBP74" s="800"/>
      <c r="BBQ74" s="800"/>
      <c r="BBR74" s="800"/>
      <c r="BBS74" s="705"/>
      <c r="BBT74" s="799"/>
      <c r="BBU74" s="800"/>
      <c r="BBV74" s="800"/>
      <c r="BBW74" s="800"/>
      <c r="BBX74" s="800"/>
      <c r="BBY74" s="800"/>
      <c r="BBZ74" s="705"/>
      <c r="BCA74" s="799"/>
      <c r="BCB74" s="800"/>
      <c r="BCC74" s="800"/>
      <c r="BCD74" s="800"/>
      <c r="BCE74" s="800"/>
      <c r="BCF74" s="800"/>
      <c r="BCG74" s="705"/>
      <c r="BCH74" s="799"/>
      <c r="BCI74" s="800"/>
      <c r="BCJ74" s="800"/>
      <c r="BCK74" s="800"/>
      <c r="BCL74" s="800"/>
      <c r="BCM74" s="800"/>
      <c r="BCN74" s="705"/>
      <c r="BCO74" s="799"/>
      <c r="BCP74" s="800"/>
      <c r="BCQ74" s="800"/>
      <c r="BCR74" s="800"/>
      <c r="BCS74" s="800"/>
      <c r="BCT74" s="800"/>
      <c r="BCU74" s="705"/>
      <c r="BCV74" s="799"/>
      <c r="BCW74" s="800"/>
      <c r="BCX74" s="800"/>
      <c r="BCY74" s="800"/>
      <c r="BCZ74" s="800"/>
      <c r="BDA74" s="800"/>
      <c r="BDB74" s="705"/>
      <c r="BDC74" s="799"/>
      <c r="BDD74" s="800"/>
      <c r="BDE74" s="800"/>
      <c r="BDF74" s="800"/>
      <c r="BDG74" s="800"/>
      <c r="BDH74" s="800"/>
      <c r="BDI74" s="705"/>
      <c r="BDJ74" s="799"/>
      <c r="BDK74" s="800"/>
      <c r="BDL74" s="800"/>
      <c r="BDM74" s="800"/>
      <c r="BDN74" s="800"/>
      <c r="BDO74" s="800"/>
      <c r="BDP74" s="705"/>
      <c r="BDQ74" s="799"/>
      <c r="BDR74" s="800"/>
      <c r="BDS74" s="800"/>
      <c r="BDT74" s="800"/>
      <c r="BDU74" s="800"/>
      <c r="BDV74" s="800"/>
      <c r="BDW74" s="705"/>
      <c r="BDX74" s="799"/>
      <c r="BDY74" s="800"/>
      <c r="BDZ74" s="800"/>
      <c r="BEA74" s="800"/>
      <c r="BEB74" s="800"/>
      <c r="BEC74" s="800"/>
      <c r="BED74" s="705"/>
      <c r="BEE74" s="799"/>
      <c r="BEF74" s="800"/>
      <c r="BEG74" s="800"/>
      <c r="BEH74" s="800"/>
      <c r="BEI74" s="800"/>
      <c r="BEJ74" s="800"/>
      <c r="BEK74" s="705"/>
      <c r="BEL74" s="799"/>
      <c r="BEM74" s="800"/>
      <c r="BEN74" s="800"/>
      <c r="BEO74" s="800"/>
      <c r="BEP74" s="800"/>
      <c r="BEQ74" s="800"/>
      <c r="BER74" s="705"/>
      <c r="BES74" s="799"/>
      <c r="BET74" s="800"/>
      <c r="BEU74" s="800"/>
      <c r="BEV74" s="800"/>
      <c r="BEW74" s="800"/>
      <c r="BEX74" s="800"/>
      <c r="BEY74" s="705"/>
      <c r="BEZ74" s="799"/>
      <c r="BFA74" s="800"/>
      <c r="BFB74" s="800"/>
      <c r="BFC74" s="800"/>
      <c r="BFD74" s="800"/>
      <c r="BFE74" s="800"/>
      <c r="BFF74" s="705"/>
      <c r="BFG74" s="799"/>
      <c r="BFH74" s="800"/>
      <c r="BFI74" s="800"/>
      <c r="BFJ74" s="800"/>
      <c r="BFK74" s="800"/>
      <c r="BFL74" s="800"/>
      <c r="BFM74" s="705"/>
      <c r="BFN74" s="799"/>
      <c r="BFO74" s="800"/>
      <c r="BFP74" s="800"/>
      <c r="BFQ74" s="800"/>
      <c r="BFR74" s="800"/>
      <c r="BFS74" s="800"/>
      <c r="BFT74" s="705"/>
      <c r="BFU74" s="799"/>
      <c r="BFV74" s="800"/>
      <c r="BFW74" s="800"/>
      <c r="BFX74" s="800"/>
      <c r="BFY74" s="800"/>
      <c r="BFZ74" s="800"/>
      <c r="BGA74" s="705"/>
      <c r="BGB74" s="799"/>
      <c r="BGC74" s="800"/>
      <c r="BGD74" s="800"/>
      <c r="BGE74" s="800"/>
      <c r="BGF74" s="800"/>
      <c r="BGG74" s="800"/>
      <c r="BGH74" s="705"/>
      <c r="BGI74" s="799"/>
      <c r="BGJ74" s="800"/>
      <c r="BGK74" s="800"/>
      <c r="BGL74" s="800"/>
      <c r="BGM74" s="800"/>
      <c r="BGN74" s="800"/>
      <c r="BGO74" s="705"/>
      <c r="BGP74" s="799"/>
      <c r="BGQ74" s="800"/>
      <c r="BGR74" s="800"/>
      <c r="BGS74" s="800"/>
      <c r="BGT74" s="800"/>
      <c r="BGU74" s="800"/>
      <c r="BGV74" s="705"/>
      <c r="BGW74" s="799"/>
      <c r="BGX74" s="800"/>
      <c r="BGY74" s="800"/>
      <c r="BGZ74" s="800"/>
      <c r="BHA74" s="800"/>
      <c r="BHB74" s="800"/>
      <c r="BHC74" s="705"/>
      <c r="BHD74" s="799"/>
      <c r="BHE74" s="800"/>
      <c r="BHF74" s="800"/>
      <c r="BHG74" s="800"/>
      <c r="BHH74" s="800"/>
      <c r="BHI74" s="800"/>
      <c r="BHJ74" s="705"/>
      <c r="BHK74" s="799"/>
      <c r="BHL74" s="800"/>
      <c r="BHM74" s="800"/>
      <c r="BHN74" s="800"/>
      <c r="BHO74" s="800"/>
      <c r="BHP74" s="800"/>
      <c r="BHQ74" s="705"/>
      <c r="BHR74" s="799"/>
      <c r="BHS74" s="800"/>
      <c r="BHT74" s="800"/>
      <c r="BHU74" s="800"/>
      <c r="BHV74" s="800"/>
      <c r="BHW74" s="800"/>
      <c r="BHX74" s="705"/>
      <c r="BHY74" s="799"/>
      <c r="BHZ74" s="800"/>
      <c r="BIA74" s="800"/>
      <c r="BIB74" s="800"/>
      <c r="BIC74" s="800"/>
      <c r="BID74" s="800"/>
      <c r="BIE74" s="705"/>
      <c r="BIF74" s="799"/>
      <c r="BIG74" s="800"/>
      <c r="BIH74" s="800"/>
      <c r="BII74" s="800"/>
      <c r="BIJ74" s="800"/>
      <c r="BIK74" s="800"/>
      <c r="BIL74" s="705"/>
      <c r="BIM74" s="799"/>
      <c r="BIN74" s="800"/>
      <c r="BIO74" s="800"/>
      <c r="BIP74" s="800"/>
      <c r="BIQ74" s="800"/>
      <c r="BIR74" s="800"/>
      <c r="BIS74" s="705"/>
      <c r="BIT74" s="799"/>
      <c r="BIU74" s="800"/>
      <c r="BIV74" s="800"/>
      <c r="BIW74" s="800"/>
      <c r="BIX74" s="800"/>
      <c r="BIY74" s="800"/>
      <c r="BIZ74" s="705"/>
      <c r="BJA74" s="799"/>
      <c r="BJB74" s="800"/>
      <c r="BJC74" s="800"/>
      <c r="BJD74" s="800"/>
      <c r="BJE74" s="800"/>
      <c r="BJF74" s="800"/>
      <c r="BJG74" s="705"/>
      <c r="BJH74" s="799"/>
      <c r="BJI74" s="800"/>
      <c r="BJJ74" s="800"/>
      <c r="BJK74" s="800"/>
      <c r="BJL74" s="800"/>
      <c r="BJM74" s="800"/>
      <c r="BJN74" s="705"/>
      <c r="BJO74" s="799"/>
      <c r="BJP74" s="800"/>
      <c r="BJQ74" s="800"/>
      <c r="BJR74" s="800"/>
      <c r="BJS74" s="800"/>
      <c r="BJT74" s="800"/>
      <c r="BJU74" s="705"/>
      <c r="BJV74" s="799"/>
      <c r="BJW74" s="800"/>
      <c r="BJX74" s="800"/>
      <c r="BJY74" s="800"/>
      <c r="BJZ74" s="800"/>
      <c r="BKA74" s="800"/>
      <c r="BKB74" s="705"/>
      <c r="BKC74" s="799"/>
      <c r="BKD74" s="800"/>
      <c r="BKE74" s="800"/>
      <c r="BKF74" s="800"/>
      <c r="BKG74" s="800"/>
      <c r="BKH74" s="800"/>
      <c r="BKI74" s="705"/>
      <c r="BKJ74" s="799"/>
      <c r="BKK74" s="800"/>
      <c r="BKL74" s="800"/>
      <c r="BKM74" s="800"/>
      <c r="BKN74" s="800"/>
      <c r="BKO74" s="800"/>
      <c r="BKP74" s="705"/>
      <c r="BKQ74" s="799"/>
      <c r="BKR74" s="800"/>
      <c r="BKS74" s="800"/>
      <c r="BKT74" s="800"/>
      <c r="BKU74" s="800"/>
      <c r="BKV74" s="800"/>
      <c r="BKW74" s="705"/>
      <c r="BKX74" s="799"/>
      <c r="BKY74" s="800"/>
      <c r="BKZ74" s="800"/>
      <c r="BLA74" s="800"/>
      <c r="BLB74" s="800"/>
      <c r="BLC74" s="800"/>
      <c r="BLD74" s="705"/>
      <c r="BLE74" s="799"/>
      <c r="BLF74" s="800"/>
      <c r="BLG74" s="800"/>
      <c r="BLH74" s="800"/>
      <c r="BLI74" s="800"/>
      <c r="BLJ74" s="800"/>
      <c r="BLK74" s="705"/>
      <c r="BLL74" s="799"/>
      <c r="BLM74" s="800"/>
      <c r="BLN74" s="800"/>
      <c r="BLO74" s="800"/>
      <c r="BLP74" s="800"/>
      <c r="BLQ74" s="800"/>
      <c r="BLR74" s="705"/>
      <c r="BLS74" s="799"/>
      <c r="BLT74" s="800"/>
      <c r="BLU74" s="800"/>
      <c r="BLV74" s="800"/>
      <c r="BLW74" s="800"/>
      <c r="BLX74" s="800"/>
      <c r="BLY74" s="705"/>
      <c r="BLZ74" s="799"/>
      <c r="BMA74" s="800"/>
      <c r="BMB74" s="800"/>
      <c r="BMC74" s="800"/>
      <c r="BMD74" s="800"/>
      <c r="BME74" s="800"/>
      <c r="BMF74" s="705"/>
      <c r="BMG74" s="799"/>
      <c r="BMH74" s="800"/>
      <c r="BMI74" s="800"/>
      <c r="BMJ74" s="800"/>
      <c r="BMK74" s="800"/>
      <c r="BML74" s="800"/>
      <c r="BMM74" s="705"/>
      <c r="BMN74" s="799"/>
      <c r="BMO74" s="800"/>
      <c r="BMP74" s="800"/>
      <c r="BMQ74" s="800"/>
      <c r="BMR74" s="800"/>
      <c r="BMS74" s="800"/>
      <c r="BMT74" s="705"/>
      <c r="BMU74" s="799"/>
      <c r="BMV74" s="800"/>
      <c r="BMW74" s="800"/>
      <c r="BMX74" s="800"/>
      <c r="BMY74" s="800"/>
      <c r="BMZ74" s="800"/>
      <c r="BNA74" s="705"/>
      <c r="BNB74" s="799"/>
      <c r="BNC74" s="800"/>
      <c r="BND74" s="800"/>
      <c r="BNE74" s="800"/>
      <c r="BNF74" s="800"/>
      <c r="BNG74" s="800"/>
      <c r="BNH74" s="705"/>
      <c r="BNI74" s="799"/>
      <c r="BNJ74" s="800"/>
      <c r="BNK74" s="800"/>
      <c r="BNL74" s="800"/>
      <c r="BNM74" s="800"/>
      <c r="BNN74" s="800"/>
      <c r="BNO74" s="705"/>
      <c r="BNP74" s="799"/>
      <c r="BNQ74" s="800"/>
      <c r="BNR74" s="800"/>
      <c r="BNS74" s="800"/>
      <c r="BNT74" s="800"/>
      <c r="BNU74" s="800"/>
      <c r="BNV74" s="705"/>
      <c r="BNW74" s="799"/>
      <c r="BNX74" s="800"/>
      <c r="BNY74" s="800"/>
      <c r="BNZ74" s="800"/>
      <c r="BOA74" s="800"/>
      <c r="BOB74" s="800"/>
      <c r="BOC74" s="705"/>
      <c r="BOD74" s="799"/>
      <c r="BOE74" s="800"/>
      <c r="BOF74" s="800"/>
      <c r="BOG74" s="800"/>
      <c r="BOH74" s="800"/>
      <c r="BOI74" s="800"/>
      <c r="BOJ74" s="705"/>
      <c r="BOK74" s="799"/>
      <c r="BOL74" s="800"/>
      <c r="BOM74" s="800"/>
      <c r="BON74" s="800"/>
      <c r="BOO74" s="800"/>
      <c r="BOP74" s="800"/>
      <c r="BOQ74" s="705"/>
      <c r="BOR74" s="799"/>
      <c r="BOS74" s="800"/>
      <c r="BOT74" s="800"/>
      <c r="BOU74" s="800"/>
      <c r="BOV74" s="800"/>
      <c r="BOW74" s="800"/>
      <c r="BOX74" s="705"/>
      <c r="BOY74" s="799"/>
      <c r="BOZ74" s="800"/>
      <c r="BPA74" s="800"/>
      <c r="BPB74" s="800"/>
      <c r="BPC74" s="800"/>
      <c r="BPD74" s="800"/>
      <c r="BPE74" s="705"/>
      <c r="BPF74" s="799"/>
      <c r="BPG74" s="800"/>
      <c r="BPH74" s="800"/>
      <c r="BPI74" s="800"/>
      <c r="BPJ74" s="800"/>
      <c r="BPK74" s="800"/>
      <c r="BPL74" s="705"/>
      <c r="BPM74" s="799"/>
      <c r="BPN74" s="800"/>
      <c r="BPO74" s="800"/>
      <c r="BPP74" s="800"/>
      <c r="BPQ74" s="800"/>
      <c r="BPR74" s="800"/>
      <c r="BPS74" s="705"/>
      <c r="BPT74" s="799"/>
      <c r="BPU74" s="800"/>
      <c r="BPV74" s="800"/>
      <c r="BPW74" s="800"/>
      <c r="BPX74" s="800"/>
      <c r="BPY74" s="800"/>
      <c r="BPZ74" s="705"/>
      <c r="BQA74" s="799"/>
      <c r="BQB74" s="800"/>
      <c r="BQC74" s="800"/>
      <c r="BQD74" s="800"/>
      <c r="BQE74" s="800"/>
      <c r="BQF74" s="800"/>
      <c r="BQG74" s="705"/>
      <c r="BQH74" s="799"/>
      <c r="BQI74" s="800"/>
      <c r="BQJ74" s="800"/>
      <c r="BQK74" s="800"/>
      <c r="BQL74" s="800"/>
      <c r="BQM74" s="800"/>
      <c r="BQN74" s="705"/>
      <c r="BQO74" s="799"/>
      <c r="BQP74" s="800"/>
      <c r="BQQ74" s="800"/>
      <c r="BQR74" s="800"/>
      <c r="BQS74" s="800"/>
      <c r="BQT74" s="800"/>
      <c r="BQU74" s="705"/>
      <c r="BQV74" s="799"/>
      <c r="BQW74" s="800"/>
      <c r="BQX74" s="800"/>
      <c r="BQY74" s="800"/>
      <c r="BQZ74" s="800"/>
      <c r="BRA74" s="800"/>
      <c r="BRB74" s="705"/>
      <c r="BRC74" s="799"/>
      <c r="BRD74" s="800"/>
      <c r="BRE74" s="800"/>
      <c r="BRF74" s="800"/>
      <c r="BRG74" s="800"/>
      <c r="BRH74" s="800"/>
      <c r="BRI74" s="705"/>
      <c r="BRJ74" s="799"/>
      <c r="BRK74" s="800"/>
      <c r="BRL74" s="800"/>
      <c r="BRM74" s="800"/>
      <c r="BRN74" s="800"/>
      <c r="BRO74" s="800"/>
      <c r="BRP74" s="705"/>
      <c r="BRQ74" s="799"/>
      <c r="BRR74" s="800"/>
      <c r="BRS74" s="800"/>
      <c r="BRT74" s="800"/>
      <c r="BRU74" s="800"/>
      <c r="BRV74" s="800"/>
      <c r="BRW74" s="705"/>
      <c r="BRX74" s="799"/>
      <c r="BRY74" s="800"/>
      <c r="BRZ74" s="800"/>
      <c r="BSA74" s="800"/>
      <c r="BSB74" s="800"/>
      <c r="BSC74" s="800"/>
      <c r="BSD74" s="705"/>
      <c r="BSE74" s="799"/>
      <c r="BSF74" s="800"/>
      <c r="BSG74" s="800"/>
      <c r="BSH74" s="800"/>
      <c r="BSI74" s="800"/>
      <c r="BSJ74" s="800"/>
      <c r="BSK74" s="705"/>
      <c r="BSL74" s="799"/>
      <c r="BSM74" s="800"/>
      <c r="BSN74" s="800"/>
      <c r="BSO74" s="800"/>
      <c r="BSP74" s="800"/>
      <c r="BSQ74" s="800"/>
      <c r="BSR74" s="705"/>
      <c r="BSS74" s="799"/>
      <c r="BST74" s="800"/>
      <c r="BSU74" s="800"/>
      <c r="BSV74" s="800"/>
      <c r="BSW74" s="800"/>
      <c r="BSX74" s="800"/>
      <c r="BSY74" s="705"/>
      <c r="BSZ74" s="799"/>
      <c r="BTA74" s="800"/>
      <c r="BTB74" s="800"/>
      <c r="BTC74" s="800"/>
      <c r="BTD74" s="800"/>
      <c r="BTE74" s="800"/>
      <c r="BTF74" s="705"/>
      <c r="BTG74" s="799"/>
      <c r="BTH74" s="800"/>
      <c r="BTI74" s="800"/>
      <c r="BTJ74" s="800"/>
      <c r="BTK74" s="800"/>
      <c r="BTL74" s="800"/>
      <c r="BTM74" s="705"/>
      <c r="BTN74" s="799"/>
      <c r="BTO74" s="800"/>
      <c r="BTP74" s="800"/>
      <c r="BTQ74" s="800"/>
      <c r="BTR74" s="800"/>
      <c r="BTS74" s="800"/>
      <c r="BTT74" s="705"/>
      <c r="BTU74" s="799"/>
      <c r="BTV74" s="800"/>
      <c r="BTW74" s="800"/>
      <c r="BTX74" s="800"/>
      <c r="BTY74" s="800"/>
      <c r="BTZ74" s="800"/>
      <c r="BUA74" s="705"/>
      <c r="BUB74" s="799"/>
      <c r="BUC74" s="800"/>
      <c r="BUD74" s="800"/>
      <c r="BUE74" s="800"/>
      <c r="BUF74" s="800"/>
      <c r="BUG74" s="800"/>
      <c r="BUH74" s="705"/>
      <c r="BUI74" s="799"/>
      <c r="BUJ74" s="800"/>
      <c r="BUK74" s="800"/>
      <c r="BUL74" s="800"/>
      <c r="BUM74" s="800"/>
      <c r="BUN74" s="800"/>
      <c r="BUO74" s="705"/>
      <c r="BUP74" s="799"/>
      <c r="BUQ74" s="800"/>
      <c r="BUR74" s="800"/>
      <c r="BUS74" s="800"/>
      <c r="BUT74" s="800"/>
      <c r="BUU74" s="800"/>
      <c r="BUV74" s="705"/>
      <c r="BUW74" s="799"/>
      <c r="BUX74" s="800"/>
      <c r="BUY74" s="800"/>
      <c r="BUZ74" s="800"/>
      <c r="BVA74" s="800"/>
      <c r="BVB74" s="800"/>
      <c r="BVC74" s="705"/>
      <c r="BVD74" s="799"/>
      <c r="BVE74" s="800"/>
      <c r="BVF74" s="800"/>
      <c r="BVG74" s="800"/>
      <c r="BVH74" s="800"/>
      <c r="BVI74" s="800"/>
      <c r="BVJ74" s="705"/>
      <c r="BVK74" s="799"/>
      <c r="BVL74" s="800"/>
      <c r="BVM74" s="800"/>
      <c r="BVN74" s="800"/>
      <c r="BVO74" s="800"/>
      <c r="BVP74" s="800"/>
      <c r="BVQ74" s="705"/>
      <c r="BVR74" s="799"/>
      <c r="BVS74" s="800"/>
      <c r="BVT74" s="800"/>
      <c r="BVU74" s="800"/>
      <c r="BVV74" s="800"/>
      <c r="BVW74" s="800"/>
      <c r="BVX74" s="705"/>
      <c r="BVY74" s="799"/>
      <c r="BVZ74" s="800"/>
      <c r="BWA74" s="800"/>
      <c r="BWB74" s="800"/>
      <c r="BWC74" s="800"/>
      <c r="BWD74" s="800"/>
      <c r="BWE74" s="705"/>
      <c r="BWF74" s="799"/>
      <c r="BWG74" s="800"/>
      <c r="BWH74" s="800"/>
      <c r="BWI74" s="800"/>
      <c r="BWJ74" s="800"/>
      <c r="BWK74" s="800"/>
      <c r="BWL74" s="705"/>
      <c r="BWM74" s="799"/>
      <c r="BWN74" s="800"/>
      <c r="BWO74" s="800"/>
      <c r="BWP74" s="800"/>
      <c r="BWQ74" s="800"/>
      <c r="BWR74" s="800"/>
      <c r="BWS74" s="705"/>
      <c r="BWT74" s="799"/>
      <c r="BWU74" s="800"/>
      <c r="BWV74" s="800"/>
      <c r="BWW74" s="800"/>
      <c r="BWX74" s="800"/>
      <c r="BWY74" s="800"/>
      <c r="BWZ74" s="705"/>
      <c r="BXA74" s="799"/>
      <c r="BXB74" s="800"/>
      <c r="BXC74" s="800"/>
      <c r="BXD74" s="800"/>
      <c r="BXE74" s="800"/>
      <c r="BXF74" s="800"/>
      <c r="BXG74" s="705"/>
      <c r="BXH74" s="799"/>
      <c r="BXI74" s="800"/>
      <c r="BXJ74" s="800"/>
      <c r="BXK74" s="800"/>
      <c r="BXL74" s="800"/>
      <c r="BXM74" s="800"/>
      <c r="BXN74" s="705"/>
      <c r="BXO74" s="799"/>
      <c r="BXP74" s="800"/>
      <c r="BXQ74" s="800"/>
      <c r="BXR74" s="800"/>
      <c r="BXS74" s="800"/>
      <c r="BXT74" s="800"/>
      <c r="BXU74" s="705"/>
      <c r="BXV74" s="799"/>
      <c r="BXW74" s="800"/>
      <c r="BXX74" s="800"/>
      <c r="BXY74" s="800"/>
      <c r="BXZ74" s="800"/>
      <c r="BYA74" s="800"/>
      <c r="BYB74" s="705"/>
      <c r="BYC74" s="799"/>
      <c r="BYD74" s="800"/>
      <c r="BYE74" s="800"/>
      <c r="BYF74" s="800"/>
      <c r="BYG74" s="800"/>
      <c r="BYH74" s="800"/>
      <c r="BYI74" s="705"/>
      <c r="BYJ74" s="799"/>
      <c r="BYK74" s="800"/>
      <c r="BYL74" s="800"/>
      <c r="BYM74" s="800"/>
      <c r="BYN74" s="800"/>
      <c r="BYO74" s="800"/>
      <c r="BYP74" s="705"/>
      <c r="BYQ74" s="799"/>
      <c r="BYR74" s="800"/>
      <c r="BYS74" s="800"/>
      <c r="BYT74" s="800"/>
      <c r="BYU74" s="800"/>
      <c r="BYV74" s="800"/>
      <c r="BYW74" s="705"/>
      <c r="BYX74" s="799"/>
      <c r="BYY74" s="800"/>
      <c r="BYZ74" s="800"/>
      <c r="BZA74" s="800"/>
      <c r="BZB74" s="800"/>
      <c r="BZC74" s="800"/>
      <c r="BZD74" s="705"/>
      <c r="BZE74" s="799"/>
      <c r="BZF74" s="800"/>
      <c r="BZG74" s="800"/>
      <c r="BZH74" s="800"/>
      <c r="BZI74" s="800"/>
      <c r="BZJ74" s="800"/>
      <c r="BZK74" s="705"/>
      <c r="BZL74" s="799"/>
      <c r="BZM74" s="800"/>
      <c r="BZN74" s="800"/>
      <c r="BZO74" s="800"/>
      <c r="BZP74" s="800"/>
      <c r="BZQ74" s="800"/>
      <c r="BZR74" s="705"/>
      <c r="BZS74" s="799"/>
      <c r="BZT74" s="800"/>
      <c r="BZU74" s="800"/>
      <c r="BZV74" s="800"/>
      <c r="BZW74" s="800"/>
      <c r="BZX74" s="800"/>
      <c r="BZY74" s="705"/>
      <c r="BZZ74" s="799"/>
      <c r="CAA74" s="800"/>
      <c r="CAB74" s="800"/>
      <c r="CAC74" s="800"/>
      <c r="CAD74" s="800"/>
      <c r="CAE74" s="800"/>
      <c r="CAF74" s="705"/>
      <c r="CAG74" s="799"/>
      <c r="CAH74" s="800"/>
      <c r="CAI74" s="800"/>
      <c r="CAJ74" s="800"/>
      <c r="CAK74" s="800"/>
      <c r="CAL74" s="800"/>
      <c r="CAM74" s="705"/>
      <c r="CAN74" s="799"/>
      <c r="CAO74" s="800"/>
      <c r="CAP74" s="800"/>
      <c r="CAQ74" s="800"/>
      <c r="CAR74" s="800"/>
      <c r="CAS74" s="800"/>
      <c r="CAT74" s="705"/>
      <c r="CAU74" s="799"/>
      <c r="CAV74" s="800"/>
      <c r="CAW74" s="800"/>
      <c r="CAX74" s="800"/>
      <c r="CAY74" s="800"/>
      <c r="CAZ74" s="800"/>
      <c r="CBA74" s="705"/>
      <c r="CBB74" s="799"/>
      <c r="CBC74" s="800"/>
      <c r="CBD74" s="800"/>
      <c r="CBE74" s="800"/>
      <c r="CBF74" s="800"/>
      <c r="CBG74" s="800"/>
      <c r="CBH74" s="705"/>
      <c r="CBI74" s="799"/>
      <c r="CBJ74" s="800"/>
      <c r="CBK74" s="800"/>
      <c r="CBL74" s="800"/>
      <c r="CBM74" s="800"/>
      <c r="CBN74" s="800"/>
      <c r="CBO74" s="705"/>
      <c r="CBP74" s="799"/>
      <c r="CBQ74" s="800"/>
      <c r="CBR74" s="800"/>
      <c r="CBS74" s="800"/>
      <c r="CBT74" s="800"/>
      <c r="CBU74" s="800"/>
      <c r="CBV74" s="705"/>
      <c r="CBW74" s="799"/>
      <c r="CBX74" s="800"/>
      <c r="CBY74" s="800"/>
      <c r="CBZ74" s="800"/>
      <c r="CCA74" s="800"/>
      <c r="CCB74" s="800"/>
      <c r="CCC74" s="705"/>
      <c r="CCD74" s="799"/>
      <c r="CCE74" s="800"/>
      <c r="CCF74" s="800"/>
      <c r="CCG74" s="800"/>
      <c r="CCH74" s="800"/>
      <c r="CCI74" s="800"/>
      <c r="CCJ74" s="705"/>
      <c r="CCK74" s="799"/>
      <c r="CCL74" s="800"/>
      <c r="CCM74" s="800"/>
      <c r="CCN74" s="800"/>
      <c r="CCO74" s="800"/>
      <c r="CCP74" s="800"/>
      <c r="CCQ74" s="705"/>
      <c r="CCR74" s="799"/>
      <c r="CCS74" s="800"/>
      <c r="CCT74" s="800"/>
      <c r="CCU74" s="800"/>
      <c r="CCV74" s="800"/>
      <c r="CCW74" s="800"/>
      <c r="CCX74" s="705"/>
      <c r="CCY74" s="799"/>
      <c r="CCZ74" s="800"/>
      <c r="CDA74" s="800"/>
      <c r="CDB74" s="800"/>
      <c r="CDC74" s="800"/>
      <c r="CDD74" s="800"/>
      <c r="CDE74" s="705"/>
      <c r="CDF74" s="799"/>
      <c r="CDG74" s="800"/>
      <c r="CDH74" s="800"/>
      <c r="CDI74" s="800"/>
      <c r="CDJ74" s="800"/>
      <c r="CDK74" s="800"/>
      <c r="CDL74" s="705"/>
      <c r="CDM74" s="799"/>
      <c r="CDN74" s="800"/>
      <c r="CDO74" s="800"/>
      <c r="CDP74" s="800"/>
      <c r="CDQ74" s="800"/>
      <c r="CDR74" s="800"/>
      <c r="CDS74" s="705"/>
      <c r="CDT74" s="799"/>
      <c r="CDU74" s="800"/>
      <c r="CDV74" s="800"/>
      <c r="CDW74" s="800"/>
      <c r="CDX74" s="800"/>
      <c r="CDY74" s="800"/>
      <c r="CDZ74" s="705"/>
      <c r="CEA74" s="799"/>
      <c r="CEB74" s="800"/>
      <c r="CEC74" s="800"/>
      <c r="CED74" s="800"/>
      <c r="CEE74" s="800"/>
      <c r="CEF74" s="800"/>
      <c r="CEG74" s="705"/>
      <c r="CEH74" s="799"/>
      <c r="CEI74" s="800"/>
      <c r="CEJ74" s="800"/>
      <c r="CEK74" s="800"/>
      <c r="CEL74" s="800"/>
      <c r="CEM74" s="800"/>
      <c r="CEN74" s="705"/>
      <c r="CEO74" s="799"/>
      <c r="CEP74" s="800"/>
      <c r="CEQ74" s="800"/>
      <c r="CER74" s="800"/>
      <c r="CES74" s="800"/>
      <c r="CET74" s="800"/>
      <c r="CEU74" s="705"/>
      <c r="CEV74" s="799"/>
      <c r="CEW74" s="800"/>
      <c r="CEX74" s="800"/>
      <c r="CEY74" s="800"/>
      <c r="CEZ74" s="800"/>
      <c r="CFA74" s="800"/>
      <c r="CFB74" s="705"/>
      <c r="CFC74" s="799"/>
      <c r="CFD74" s="800"/>
      <c r="CFE74" s="800"/>
      <c r="CFF74" s="800"/>
      <c r="CFG74" s="800"/>
      <c r="CFH74" s="800"/>
      <c r="CFI74" s="705"/>
      <c r="CFJ74" s="799"/>
      <c r="CFK74" s="800"/>
      <c r="CFL74" s="800"/>
      <c r="CFM74" s="800"/>
      <c r="CFN74" s="800"/>
      <c r="CFO74" s="800"/>
      <c r="CFP74" s="705"/>
      <c r="CFQ74" s="799"/>
      <c r="CFR74" s="800"/>
      <c r="CFS74" s="800"/>
      <c r="CFT74" s="800"/>
      <c r="CFU74" s="800"/>
      <c r="CFV74" s="800"/>
      <c r="CFW74" s="705"/>
      <c r="CFX74" s="799"/>
      <c r="CFY74" s="800"/>
      <c r="CFZ74" s="800"/>
      <c r="CGA74" s="800"/>
      <c r="CGB74" s="800"/>
      <c r="CGC74" s="800"/>
      <c r="CGD74" s="705"/>
      <c r="CGE74" s="799"/>
      <c r="CGF74" s="800"/>
      <c r="CGG74" s="800"/>
      <c r="CGH74" s="800"/>
      <c r="CGI74" s="800"/>
      <c r="CGJ74" s="800"/>
      <c r="CGK74" s="705"/>
      <c r="CGL74" s="799"/>
      <c r="CGM74" s="800"/>
      <c r="CGN74" s="800"/>
      <c r="CGO74" s="800"/>
      <c r="CGP74" s="800"/>
      <c r="CGQ74" s="800"/>
      <c r="CGR74" s="705"/>
      <c r="CGS74" s="799"/>
      <c r="CGT74" s="800"/>
      <c r="CGU74" s="800"/>
      <c r="CGV74" s="800"/>
      <c r="CGW74" s="800"/>
      <c r="CGX74" s="800"/>
      <c r="CGY74" s="705"/>
      <c r="CGZ74" s="799"/>
      <c r="CHA74" s="800"/>
      <c r="CHB74" s="800"/>
      <c r="CHC74" s="800"/>
      <c r="CHD74" s="800"/>
      <c r="CHE74" s="800"/>
      <c r="CHF74" s="705"/>
      <c r="CHG74" s="799"/>
      <c r="CHH74" s="800"/>
      <c r="CHI74" s="800"/>
      <c r="CHJ74" s="800"/>
      <c r="CHK74" s="800"/>
      <c r="CHL74" s="800"/>
      <c r="CHM74" s="705"/>
      <c r="CHN74" s="799"/>
      <c r="CHO74" s="800"/>
      <c r="CHP74" s="800"/>
      <c r="CHQ74" s="800"/>
      <c r="CHR74" s="800"/>
      <c r="CHS74" s="800"/>
      <c r="CHT74" s="705"/>
      <c r="CHU74" s="799"/>
      <c r="CHV74" s="800"/>
      <c r="CHW74" s="800"/>
      <c r="CHX74" s="800"/>
      <c r="CHY74" s="800"/>
      <c r="CHZ74" s="800"/>
      <c r="CIA74" s="705"/>
      <c r="CIB74" s="799"/>
      <c r="CIC74" s="800"/>
      <c r="CID74" s="800"/>
      <c r="CIE74" s="800"/>
      <c r="CIF74" s="800"/>
      <c r="CIG74" s="800"/>
      <c r="CIH74" s="705"/>
      <c r="CII74" s="799"/>
      <c r="CIJ74" s="800"/>
      <c r="CIK74" s="800"/>
      <c r="CIL74" s="800"/>
      <c r="CIM74" s="800"/>
      <c r="CIN74" s="800"/>
      <c r="CIO74" s="705"/>
      <c r="CIP74" s="799"/>
      <c r="CIQ74" s="800"/>
      <c r="CIR74" s="800"/>
      <c r="CIS74" s="800"/>
      <c r="CIT74" s="800"/>
      <c r="CIU74" s="800"/>
      <c r="CIV74" s="705"/>
      <c r="CIW74" s="799"/>
      <c r="CIX74" s="800"/>
      <c r="CIY74" s="800"/>
      <c r="CIZ74" s="800"/>
      <c r="CJA74" s="800"/>
      <c r="CJB74" s="800"/>
      <c r="CJC74" s="705"/>
      <c r="CJD74" s="799"/>
      <c r="CJE74" s="800"/>
      <c r="CJF74" s="800"/>
      <c r="CJG74" s="800"/>
      <c r="CJH74" s="800"/>
      <c r="CJI74" s="800"/>
      <c r="CJJ74" s="705"/>
      <c r="CJK74" s="799"/>
      <c r="CJL74" s="800"/>
      <c r="CJM74" s="800"/>
      <c r="CJN74" s="800"/>
      <c r="CJO74" s="800"/>
      <c r="CJP74" s="800"/>
      <c r="CJQ74" s="705"/>
      <c r="CJR74" s="799"/>
      <c r="CJS74" s="800"/>
      <c r="CJT74" s="800"/>
      <c r="CJU74" s="800"/>
      <c r="CJV74" s="800"/>
      <c r="CJW74" s="800"/>
      <c r="CJX74" s="705"/>
      <c r="CJY74" s="799"/>
      <c r="CJZ74" s="800"/>
      <c r="CKA74" s="800"/>
      <c r="CKB74" s="800"/>
      <c r="CKC74" s="800"/>
      <c r="CKD74" s="800"/>
      <c r="CKE74" s="705"/>
      <c r="CKF74" s="799"/>
      <c r="CKG74" s="800"/>
      <c r="CKH74" s="800"/>
      <c r="CKI74" s="800"/>
      <c r="CKJ74" s="800"/>
      <c r="CKK74" s="800"/>
      <c r="CKL74" s="705"/>
      <c r="CKM74" s="799"/>
      <c r="CKN74" s="800"/>
      <c r="CKO74" s="800"/>
      <c r="CKP74" s="800"/>
      <c r="CKQ74" s="800"/>
      <c r="CKR74" s="800"/>
      <c r="CKS74" s="705"/>
      <c r="CKT74" s="799"/>
      <c r="CKU74" s="800"/>
      <c r="CKV74" s="800"/>
      <c r="CKW74" s="800"/>
      <c r="CKX74" s="800"/>
      <c r="CKY74" s="800"/>
      <c r="CKZ74" s="705"/>
      <c r="CLA74" s="799"/>
      <c r="CLB74" s="800"/>
      <c r="CLC74" s="800"/>
      <c r="CLD74" s="800"/>
      <c r="CLE74" s="800"/>
      <c r="CLF74" s="800"/>
      <c r="CLG74" s="705"/>
      <c r="CLH74" s="799"/>
      <c r="CLI74" s="800"/>
      <c r="CLJ74" s="800"/>
      <c r="CLK74" s="800"/>
      <c r="CLL74" s="800"/>
      <c r="CLM74" s="800"/>
      <c r="CLN74" s="705"/>
      <c r="CLO74" s="799"/>
      <c r="CLP74" s="800"/>
      <c r="CLQ74" s="800"/>
      <c r="CLR74" s="800"/>
      <c r="CLS74" s="800"/>
      <c r="CLT74" s="800"/>
      <c r="CLU74" s="705"/>
      <c r="CLV74" s="799"/>
      <c r="CLW74" s="800"/>
      <c r="CLX74" s="800"/>
      <c r="CLY74" s="800"/>
      <c r="CLZ74" s="800"/>
      <c r="CMA74" s="800"/>
      <c r="CMB74" s="705"/>
      <c r="CMC74" s="799"/>
      <c r="CMD74" s="800"/>
      <c r="CME74" s="800"/>
      <c r="CMF74" s="800"/>
      <c r="CMG74" s="800"/>
      <c r="CMH74" s="800"/>
      <c r="CMI74" s="705"/>
      <c r="CMJ74" s="799"/>
      <c r="CMK74" s="800"/>
      <c r="CML74" s="800"/>
      <c r="CMM74" s="800"/>
      <c r="CMN74" s="800"/>
      <c r="CMO74" s="800"/>
      <c r="CMP74" s="705"/>
      <c r="CMQ74" s="799"/>
      <c r="CMR74" s="800"/>
      <c r="CMS74" s="800"/>
      <c r="CMT74" s="800"/>
      <c r="CMU74" s="800"/>
      <c r="CMV74" s="800"/>
      <c r="CMW74" s="705"/>
      <c r="CMX74" s="799"/>
      <c r="CMY74" s="800"/>
      <c r="CMZ74" s="800"/>
      <c r="CNA74" s="800"/>
      <c r="CNB74" s="800"/>
      <c r="CNC74" s="800"/>
      <c r="CND74" s="705"/>
      <c r="CNE74" s="799"/>
      <c r="CNF74" s="800"/>
      <c r="CNG74" s="800"/>
      <c r="CNH74" s="800"/>
      <c r="CNI74" s="800"/>
      <c r="CNJ74" s="800"/>
      <c r="CNK74" s="705"/>
      <c r="CNL74" s="799"/>
      <c r="CNM74" s="800"/>
      <c r="CNN74" s="800"/>
      <c r="CNO74" s="800"/>
      <c r="CNP74" s="800"/>
      <c r="CNQ74" s="800"/>
      <c r="CNR74" s="705"/>
      <c r="CNS74" s="799"/>
      <c r="CNT74" s="800"/>
      <c r="CNU74" s="800"/>
      <c r="CNV74" s="800"/>
      <c r="CNW74" s="800"/>
      <c r="CNX74" s="800"/>
      <c r="CNY74" s="705"/>
      <c r="CNZ74" s="799"/>
      <c r="COA74" s="800"/>
      <c r="COB74" s="800"/>
      <c r="COC74" s="800"/>
      <c r="COD74" s="800"/>
      <c r="COE74" s="800"/>
      <c r="COF74" s="705"/>
      <c r="COG74" s="799"/>
      <c r="COH74" s="800"/>
      <c r="COI74" s="800"/>
      <c r="COJ74" s="800"/>
      <c r="COK74" s="800"/>
      <c r="COL74" s="800"/>
      <c r="COM74" s="705"/>
      <c r="CON74" s="799"/>
      <c r="COO74" s="800"/>
      <c r="COP74" s="800"/>
      <c r="COQ74" s="800"/>
      <c r="COR74" s="800"/>
      <c r="COS74" s="800"/>
      <c r="COT74" s="705"/>
      <c r="COU74" s="799"/>
      <c r="COV74" s="800"/>
      <c r="COW74" s="800"/>
      <c r="COX74" s="800"/>
      <c r="COY74" s="800"/>
      <c r="COZ74" s="800"/>
      <c r="CPA74" s="705"/>
      <c r="CPB74" s="799"/>
      <c r="CPC74" s="800"/>
      <c r="CPD74" s="800"/>
      <c r="CPE74" s="800"/>
      <c r="CPF74" s="800"/>
      <c r="CPG74" s="800"/>
      <c r="CPH74" s="705"/>
      <c r="CPI74" s="799"/>
      <c r="CPJ74" s="800"/>
      <c r="CPK74" s="800"/>
      <c r="CPL74" s="800"/>
      <c r="CPM74" s="800"/>
      <c r="CPN74" s="800"/>
      <c r="CPO74" s="705"/>
      <c r="CPP74" s="799"/>
      <c r="CPQ74" s="800"/>
      <c r="CPR74" s="800"/>
      <c r="CPS74" s="800"/>
      <c r="CPT74" s="800"/>
      <c r="CPU74" s="800"/>
      <c r="CPV74" s="705"/>
      <c r="CPW74" s="799"/>
      <c r="CPX74" s="800"/>
      <c r="CPY74" s="800"/>
      <c r="CPZ74" s="800"/>
      <c r="CQA74" s="800"/>
      <c r="CQB74" s="800"/>
      <c r="CQC74" s="705"/>
      <c r="CQD74" s="799"/>
      <c r="CQE74" s="800"/>
      <c r="CQF74" s="800"/>
      <c r="CQG74" s="800"/>
      <c r="CQH74" s="800"/>
      <c r="CQI74" s="800"/>
      <c r="CQJ74" s="705"/>
      <c r="CQK74" s="799"/>
      <c r="CQL74" s="800"/>
      <c r="CQM74" s="800"/>
      <c r="CQN74" s="800"/>
      <c r="CQO74" s="800"/>
      <c r="CQP74" s="800"/>
      <c r="CQQ74" s="705"/>
      <c r="CQR74" s="799"/>
      <c r="CQS74" s="800"/>
      <c r="CQT74" s="800"/>
      <c r="CQU74" s="800"/>
      <c r="CQV74" s="800"/>
      <c r="CQW74" s="800"/>
      <c r="CQX74" s="705"/>
      <c r="CQY74" s="799"/>
      <c r="CQZ74" s="800"/>
      <c r="CRA74" s="800"/>
      <c r="CRB74" s="800"/>
      <c r="CRC74" s="800"/>
      <c r="CRD74" s="800"/>
      <c r="CRE74" s="705"/>
      <c r="CRF74" s="799"/>
      <c r="CRG74" s="800"/>
      <c r="CRH74" s="800"/>
      <c r="CRI74" s="800"/>
      <c r="CRJ74" s="800"/>
      <c r="CRK74" s="800"/>
      <c r="CRL74" s="705"/>
      <c r="CRM74" s="799"/>
      <c r="CRN74" s="800"/>
      <c r="CRO74" s="800"/>
      <c r="CRP74" s="800"/>
      <c r="CRQ74" s="800"/>
      <c r="CRR74" s="800"/>
      <c r="CRS74" s="705"/>
      <c r="CRT74" s="799"/>
      <c r="CRU74" s="800"/>
      <c r="CRV74" s="800"/>
      <c r="CRW74" s="800"/>
      <c r="CRX74" s="800"/>
      <c r="CRY74" s="800"/>
      <c r="CRZ74" s="705"/>
      <c r="CSA74" s="799"/>
      <c r="CSB74" s="800"/>
      <c r="CSC74" s="800"/>
      <c r="CSD74" s="800"/>
      <c r="CSE74" s="800"/>
      <c r="CSF74" s="800"/>
      <c r="CSG74" s="705"/>
      <c r="CSH74" s="799"/>
      <c r="CSI74" s="800"/>
      <c r="CSJ74" s="800"/>
      <c r="CSK74" s="800"/>
      <c r="CSL74" s="800"/>
      <c r="CSM74" s="800"/>
      <c r="CSN74" s="705"/>
      <c r="CSO74" s="799"/>
      <c r="CSP74" s="800"/>
      <c r="CSQ74" s="800"/>
      <c r="CSR74" s="800"/>
      <c r="CSS74" s="800"/>
      <c r="CST74" s="800"/>
      <c r="CSU74" s="705"/>
      <c r="CSV74" s="799"/>
      <c r="CSW74" s="800"/>
      <c r="CSX74" s="800"/>
      <c r="CSY74" s="800"/>
      <c r="CSZ74" s="800"/>
      <c r="CTA74" s="800"/>
      <c r="CTB74" s="705"/>
      <c r="CTC74" s="799"/>
      <c r="CTD74" s="800"/>
      <c r="CTE74" s="800"/>
      <c r="CTF74" s="800"/>
      <c r="CTG74" s="800"/>
      <c r="CTH74" s="800"/>
      <c r="CTI74" s="705"/>
      <c r="CTJ74" s="799"/>
      <c r="CTK74" s="800"/>
      <c r="CTL74" s="800"/>
      <c r="CTM74" s="800"/>
      <c r="CTN74" s="800"/>
      <c r="CTO74" s="800"/>
      <c r="CTP74" s="705"/>
      <c r="CTQ74" s="799"/>
      <c r="CTR74" s="800"/>
      <c r="CTS74" s="800"/>
      <c r="CTT74" s="800"/>
      <c r="CTU74" s="800"/>
      <c r="CTV74" s="800"/>
      <c r="CTW74" s="705"/>
      <c r="CTX74" s="799"/>
      <c r="CTY74" s="800"/>
      <c r="CTZ74" s="800"/>
      <c r="CUA74" s="800"/>
      <c r="CUB74" s="800"/>
      <c r="CUC74" s="800"/>
      <c r="CUD74" s="705"/>
      <c r="CUE74" s="799"/>
      <c r="CUF74" s="800"/>
      <c r="CUG74" s="800"/>
      <c r="CUH74" s="800"/>
      <c r="CUI74" s="800"/>
      <c r="CUJ74" s="800"/>
      <c r="CUK74" s="705"/>
      <c r="CUL74" s="799"/>
      <c r="CUM74" s="800"/>
      <c r="CUN74" s="800"/>
      <c r="CUO74" s="800"/>
      <c r="CUP74" s="800"/>
      <c r="CUQ74" s="800"/>
      <c r="CUR74" s="705"/>
      <c r="CUS74" s="799"/>
      <c r="CUT74" s="800"/>
      <c r="CUU74" s="800"/>
      <c r="CUV74" s="800"/>
      <c r="CUW74" s="800"/>
      <c r="CUX74" s="800"/>
      <c r="CUY74" s="705"/>
      <c r="CUZ74" s="799"/>
      <c r="CVA74" s="800"/>
      <c r="CVB74" s="800"/>
      <c r="CVC74" s="800"/>
      <c r="CVD74" s="800"/>
      <c r="CVE74" s="800"/>
      <c r="CVF74" s="705"/>
      <c r="CVG74" s="799"/>
      <c r="CVH74" s="800"/>
      <c r="CVI74" s="800"/>
      <c r="CVJ74" s="800"/>
      <c r="CVK74" s="800"/>
      <c r="CVL74" s="800"/>
      <c r="CVM74" s="705"/>
      <c r="CVN74" s="799"/>
      <c r="CVO74" s="800"/>
      <c r="CVP74" s="800"/>
      <c r="CVQ74" s="800"/>
      <c r="CVR74" s="800"/>
      <c r="CVS74" s="800"/>
      <c r="CVT74" s="705"/>
      <c r="CVU74" s="799"/>
      <c r="CVV74" s="800"/>
      <c r="CVW74" s="800"/>
      <c r="CVX74" s="800"/>
      <c r="CVY74" s="800"/>
      <c r="CVZ74" s="800"/>
      <c r="CWA74" s="705"/>
      <c r="CWB74" s="799"/>
      <c r="CWC74" s="800"/>
      <c r="CWD74" s="800"/>
      <c r="CWE74" s="800"/>
      <c r="CWF74" s="800"/>
      <c r="CWG74" s="800"/>
      <c r="CWH74" s="705"/>
      <c r="CWI74" s="799"/>
      <c r="CWJ74" s="800"/>
      <c r="CWK74" s="800"/>
      <c r="CWL74" s="800"/>
      <c r="CWM74" s="800"/>
      <c r="CWN74" s="800"/>
      <c r="CWO74" s="705"/>
      <c r="CWP74" s="799"/>
      <c r="CWQ74" s="800"/>
      <c r="CWR74" s="800"/>
      <c r="CWS74" s="800"/>
      <c r="CWT74" s="800"/>
      <c r="CWU74" s="800"/>
      <c r="CWV74" s="705"/>
      <c r="CWW74" s="799"/>
      <c r="CWX74" s="800"/>
      <c r="CWY74" s="800"/>
      <c r="CWZ74" s="800"/>
      <c r="CXA74" s="800"/>
      <c r="CXB74" s="800"/>
      <c r="CXC74" s="705"/>
      <c r="CXD74" s="799"/>
      <c r="CXE74" s="800"/>
      <c r="CXF74" s="800"/>
      <c r="CXG74" s="800"/>
      <c r="CXH74" s="800"/>
      <c r="CXI74" s="800"/>
      <c r="CXJ74" s="705"/>
      <c r="CXK74" s="799"/>
      <c r="CXL74" s="800"/>
      <c r="CXM74" s="800"/>
      <c r="CXN74" s="800"/>
      <c r="CXO74" s="800"/>
      <c r="CXP74" s="800"/>
      <c r="CXQ74" s="705"/>
      <c r="CXR74" s="799"/>
      <c r="CXS74" s="800"/>
      <c r="CXT74" s="800"/>
      <c r="CXU74" s="800"/>
      <c r="CXV74" s="800"/>
      <c r="CXW74" s="800"/>
      <c r="CXX74" s="705"/>
      <c r="CXY74" s="799"/>
      <c r="CXZ74" s="800"/>
      <c r="CYA74" s="800"/>
      <c r="CYB74" s="800"/>
      <c r="CYC74" s="800"/>
      <c r="CYD74" s="800"/>
      <c r="CYE74" s="705"/>
      <c r="CYF74" s="799"/>
      <c r="CYG74" s="800"/>
      <c r="CYH74" s="800"/>
      <c r="CYI74" s="800"/>
      <c r="CYJ74" s="800"/>
      <c r="CYK74" s="800"/>
      <c r="CYL74" s="705"/>
      <c r="CYM74" s="799"/>
      <c r="CYN74" s="800"/>
      <c r="CYO74" s="800"/>
      <c r="CYP74" s="800"/>
      <c r="CYQ74" s="800"/>
      <c r="CYR74" s="800"/>
      <c r="CYS74" s="705"/>
      <c r="CYT74" s="799"/>
      <c r="CYU74" s="800"/>
      <c r="CYV74" s="800"/>
      <c r="CYW74" s="800"/>
      <c r="CYX74" s="800"/>
      <c r="CYY74" s="800"/>
      <c r="CYZ74" s="705"/>
      <c r="CZA74" s="799"/>
      <c r="CZB74" s="800"/>
      <c r="CZC74" s="800"/>
      <c r="CZD74" s="800"/>
      <c r="CZE74" s="800"/>
      <c r="CZF74" s="800"/>
      <c r="CZG74" s="705"/>
      <c r="CZH74" s="799"/>
      <c r="CZI74" s="800"/>
      <c r="CZJ74" s="800"/>
      <c r="CZK74" s="800"/>
      <c r="CZL74" s="800"/>
      <c r="CZM74" s="800"/>
      <c r="CZN74" s="705"/>
      <c r="CZO74" s="799"/>
      <c r="CZP74" s="800"/>
      <c r="CZQ74" s="800"/>
      <c r="CZR74" s="800"/>
      <c r="CZS74" s="800"/>
      <c r="CZT74" s="800"/>
      <c r="CZU74" s="705"/>
      <c r="CZV74" s="799"/>
      <c r="CZW74" s="800"/>
      <c r="CZX74" s="800"/>
      <c r="CZY74" s="800"/>
      <c r="CZZ74" s="800"/>
      <c r="DAA74" s="800"/>
      <c r="DAB74" s="705"/>
      <c r="DAC74" s="799"/>
      <c r="DAD74" s="800"/>
      <c r="DAE74" s="800"/>
      <c r="DAF74" s="800"/>
      <c r="DAG74" s="800"/>
      <c r="DAH74" s="800"/>
      <c r="DAI74" s="705"/>
      <c r="DAJ74" s="799"/>
      <c r="DAK74" s="800"/>
      <c r="DAL74" s="800"/>
      <c r="DAM74" s="800"/>
      <c r="DAN74" s="800"/>
      <c r="DAO74" s="800"/>
      <c r="DAP74" s="705"/>
      <c r="DAQ74" s="799"/>
      <c r="DAR74" s="800"/>
      <c r="DAS74" s="800"/>
      <c r="DAT74" s="800"/>
      <c r="DAU74" s="800"/>
      <c r="DAV74" s="800"/>
      <c r="DAW74" s="705"/>
      <c r="DAX74" s="799"/>
      <c r="DAY74" s="800"/>
      <c r="DAZ74" s="800"/>
      <c r="DBA74" s="800"/>
      <c r="DBB74" s="800"/>
      <c r="DBC74" s="800"/>
      <c r="DBD74" s="705"/>
      <c r="DBE74" s="799"/>
      <c r="DBF74" s="800"/>
      <c r="DBG74" s="800"/>
      <c r="DBH74" s="800"/>
      <c r="DBI74" s="800"/>
      <c r="DBJ74" s="800"/>
      <c r="DBK74" s="705"/>
      <c r="DBL74" s="799"/>
      <c r="DBM74" s="800"/>
      <c r="DBN74" s="800"/>
      <c r="DBO74" s="800"/>
      <c r="DBP74" s="800"/>
      <c r="DBQ74" s="800"/>
      <c r="DBR74" s="705"/>
      <c r="DBS74" s="799"/>
      <c r="DBT74" s="800"/>
      <c r="DBU74" s="800"/>
      <c r="DBV74" s="800"/>
      <c r="DBW74" s="800"/>
      <c r="DBX74" s="800"/>
      <c r="DBY74" s="705"/>
      <c r="DBZ74" s="799"/>
      <c r="DCA74" s="800"/>
      <c r="DCB74" s="800"/>
      <c r="DCC74" s="800"/>
      <c r="DCD74" s="800"/>
      <c r="DCE74" s="800"/>
      <c r="DCF74" s="705"/>
      <c r="DCG74" s="799"/>
      <c r="DCH74" s="800"/>
      <c r="DCI74" s="800"/>
      <c r="DCJ74" s="800"/>
      <c r="DCK74" s="800"/>
      <c r="DCL74" s="800"/>
      <c r="DCM74" s="705"/>
      <c r="DCN74" s="799"/>
      <c r="DCO74" s="800"/>
      <c r="DCP74" s="800"/>
      <c r="DCQ74" s="800"/>
      <c r="DCR74" s="800"/>
      <c r="DCS74" s="800"/>
      <c r="DCT74" s="705"/>
      <c r="DCU74" s="799"/>
      <c r="DCV74" s="800"/>
      <c r="DCW74" s="800"/>
      <c r="DCX74" s="800"/>
      <c r="DCY74" s="800"/>
      <c r="DCZ74" s="800"/>
      <c r="DDA74" s="705"/>
      <c r="DDB74" s="799"/>
      <c r="DDC74" s="800"/>
      <c r="DDD74" s="800"/>
      <c r="DDE74" s="800"/>
      <c r="DDF74" s="800"/>
      <c r="DDG74" s="800"/>
      <c r="DDH74" s="705"/>
      <c r="DDI74" s="799"/>
      <c r="DDJ74" s="800"/>
      <c r="DDK74" s="800"/>
      <c r="DDL74" s="800"/>
      <c r="DDM74" s="800"/>
      <c r="DDN74" s="800"/>
      <c r="DDO74" s="705"/>
      <c r="DDP74" s="799"/>
      <c r="DDQ74" s="800"/>
      <c r="DDR74" s="800"/>
      <c r="DDS74" s="800"/>
      <c r="DDT74" s="800"/>
      <c r="DDU74" s="800"/>
      <c r="DDV74" s="705"/>
      <c r="DDW74" s="799"/>
      <c r="DDX74" s="800"/>
      <c r="DDY74" s="800"/>
      <c r="DDZ74" s="800"/>
      <c r="DEA74" s="800"/>
      <c r="DEB74" s="800"/>
      <c r="DEC74" s="705"/>
      <c r="DED74" s="799"/>
      <c r="DEE74" s="800"/>
      <c r="DEF74" s="800"/>
      <c r="DEG74" s="800"/>
      <c r="DEH74" s="800"/>
      <c r="DEI74" s="800"/>
      <c r="DEJ74" s="705"/>
      <c r="DEK74" s="799"/>
      <c r="DEL74" s="800"/>
      <c r="DEM74" s="800"/>
      <c r="DEN74" s="800"/>
      <c r="DEO74" s="800"/>
      <c r="DEP74" s="800"/>
      <c r="DEQ74" s="705"/>
      <c r="DER74" s="799"/>
      <c r="DES74" s="800"/>
      <c r="DET74" s="800"/>
      <c r="DEU74" s="800"/>
      <c r="DEV74" s="800"/>
      <c r="DEW74" s="800"/>
      <c r="DEX74" s="705"/>
      <c r="DEY74" s="799"/>
      <c r="DEZ74" s="800"/>
      <c r="DFA74" s="800"/>
      <c r="DFB74" s="800"/>
      <c r="DFC74" s="800"/>
      <c r="DFD74" s="800"/>
      <c r="DFE74" s="705"/>
      <c r="DFF74" s="799"/>
      <c r="DFG74" s="800"/>
      <c r="DFH74" s="800"/>
      <c r="DFI74" s="800"/>
      <c r="DFJ74" s="800"/>
      <c r="DFK74" s="800"/>
      <c r="DFL74" s="705"/>
      <c r="DFM74" s="799"/>
      <c r="DFN74" s="800"/>
      <c r="DFO74" s="800"/>
      <c r="DFP74" s="800"/>
      <c r="DFQ74" s="800"/>
      <c r="DFR74" s="800"/>
      <c r="DFS74" s="705"/>
      <c r="DFT74" s="799"/>
      <c r="DFU74" s="800"/>
      <c r="DFV74" s="800"/>
      <c r="DFW74" s="800"/>
      <c r="DFX74" s="800"/>
      <c r="DFY74" s="800"/>
      <c r="DFZ74" s="705"/>
      <c r="DGA74" s="799"/>
      <c r="DGB74" s="800"/>
      <c r="DGC74" s="800"/>
      <c r="DGD74" s="800"/>
      <c r="DGE74" s="800"/>
      <c r="DGF74" s="800"/>
      <c r="DGG74" s="705"/>
      <c r="DGH74" s="799"/>
      <c r="DGI74" s="800"/>
      <c r="DGJ74" s="800"/>
      <c r="DGK74" s="800"/>
      <c r="DGL74" s="800"/>
      <c r="DGM74" s="800"/>
      <c r="DGN74" s="705"/>
      <c r="DGO74" s="799"/>
      <c r="DGP74" s="800"/>
      <c r="DGQ74" s="800"/>
      <c r="DGR74" s="800"/>
      <c r="DGS74" s="800"/>
      <c r="DGT74" s="800"/>
      <c r="DGU74" s="705"/>
      <c r="DGV74" s="799"/>
      <c r="DGW74" s="800"/>
      <c r="DGX74" s="800"/>
      <c r="DGY74" s="800"/>
      <c r="DGZ74" s="800"/>
      <c r="DHA74" s="800"/>
      <c r="DHB74" s="705"/>
      <c r="DHC74" s="799"/>
      <c r="DHD74" s="800"/>
      <c r="DHE74" s="800"/>
      <c r="DHF74" s="800"/>
      <c r="DHG74" s="800"/>
      <c r="DHH74" s="800"/>
      <c r="DHI74" s="705"/>
      <c r="DHJ74" s="799"/>
      <c r="DHK74" s="800"/>
      <c r="DHL74" s="800"/>
      <c r="DHM74" s="800"/>
      <c r="DHN74" s="800"/>
      <c r="DHO74" s="800"/>
      <c r="DHP74" s="705"/>
      <c r="DHQ74" s="799"/>
      <c r="DHR74" s="800"/>
      <c r="DHS74" s="800"/>
      <c r="DHT74" s="800"/>
      <c r="DHU74" s="800"/>
      <c r="DHV74" s="800"/>
      <c r="DHW74" s="705"/>
      <c r="DHX74" s="799"/>
      <c r="DHY74" s="800"/>
      <c r="DHZ74" s="800"/>
      <c r="DIA74" s="800"/>
      <c r="DIB74" s="800"/>
      <c r="DIC74" s="800"/>
      <c r="DID74" s="705"/>
      <c r="DIE74" s="799"/>
      <c r="DIF74" s="800"/>
      <c r="DIG74" s="800"/>
      <c r="DIH74" s="800"/>
      <c r="DII74" s="800"/>
      <c r="DIJ74" s="800"/>
      <c r="DIK74" s="705"/>
      <c r="DIL74" s="799"/>
      <c r="DIM74" s="800"/>
      <c r="DIN74" s="800"/>
      <c r="DIO74" s="800"/>
      <c r="DIP74" s="800"/>
      <c r="DIQ74" s="800"/>
      <c r="DIR74" s="705"/>
      <c r="DIS74" s="799"/>
      <c r="DIT74" s="800"/>
      <c r="DIU74" s="800"/>
      <c r="DIV74" s="800"/>
      <c r="DIW74" s="800"/>
      <c r="DIX74" s="800"/>
      <c r="DIY74" s="705"/>
      <c r="DIZ74" s="799"/>
      <c r="DJA74" s="800"/>
      <c r="DJB74" s="800"/>
      <c r="DJC74" s="800"/>
      <c r="DJD74" s="800"/>
      <c r="DJE74" s="800"/>
      <c r="DJF74" s="705"/>
      <c r="DJG74" s="799"/>
      <c r="DJH74" s="800"/>
      <c r="DJI74" s="800"/>
      <c r="DJJ74" s="800"/>
      <c r="DJK74" s="800"/>
      <c r="DJL74" s="800"/>
      <c r="DJM74" s="705"/>
      <c r="DJN74" s="799"/>
      <c r="DJO74" s="800"/>
      <c r="DJP74" s="800"/>
      <c r="DJQ74" s="800"/>
      <c r="DJR74" s="800"/>
      <c r="DJS74" s="800"/>
      <c r="DJT74" s="705"/>
      <c r="DJU74" s="799"/>
      <c r="DJV74" s="800"/>
      <c r="DJW74" s="800"/>
      <c r="DJX74" s="800"/>
      <c r="DJY74" s="800"/>
      <c r="DJZ74" s="800"/>
      <c r="DKA74" s="705"/>
      <c r="DKB74" s="799"/>
      <c r="DKC74" s="800"/>
      <c r="DKD74" s="800"/>
      <c r="DKE74" s="800"/>
      <c r="DKF74" s="800"/>
      <c r="DKG74" s="800"/>
      <c r="DKH74" s="705"/>
      <c r="DKI74" s="799"/>
      <c r="DKJ74" s="800"/>
      <c r="DKK74" s="800"/>
      <c r="DKL74" s="800"/>
      <c r="DKM74" s="800"/>
      <c r="DKN74" s="800"/>
      <c r="DKO74" s="705"/>
      <c r="DKP74" s="799"/>
      <c r="DKQ74" s="800"/>
      <c r="DKR74" s="800"/>
      <c r="DKS74" s="800"/>
      <c r="DKT74" s="800"/>
      <c r="DKU74" s="800"/>
      <c r="DKV74" s="705"/>
      <c r="DKW74" s="799"/>
      <c r="DKX74" s="800"/>
      <c r="DKY74" s="800"/>
      <c r="DKZ74" s="800"/>
      <c r="DLA74" s="800"/>
      <c r="DLB74" s="800"/>
      <c r="DLC74" s="705"/>
      <c r="DLD74" s="799"/>
      <c r="DLE74" s="800"/>
      <c r="DLF74" s="800"/>
      <c r="DLG74" s="800"/>
      <c r="DLH74" s="800"/>
      <c r="DLI74" s="800"/>
      <c r="DLJ74" s="705"/>
      <c r="DLK74" s="799"/>
      <c r="DLL74" s="800"/>
      <c r="DLM74" s="800"/>
      <c r="DLN74" s="800"/>
      <c r="DLO74" s="800"/>
      <c r="DLP74" s="800"/>
      <c r="DLQ74" s="705"/>
      <c r="DLR74" s="799"/>
      <c r="DLS74" s="800"/>
      <c r="DLT74" s="800"/>
      <c r="DLU74" s="800"/>
      <c r="DLV74" s="800"/>
      <c r="DLW74" s="800"/>
      <c r="DLX74" s="705"/>
      <c r="DLY74" s="799"/>
      <c r="DLZ74" s="800"/>
      <c r="DMA74" s="800"/>
      <c r="DMB74" s="800"/>
      <c r="DMC74" s="800"/>
      <c r="DMD74" s="800"/>
      <c r="DME74" s="705"/>
      <c r="DMF74" s="799"/>
      <c r="DMG74" s="800"/>
      <c r="DMH74" s="800"/>
      <c r="DMI74" s="800"/>
      <c r="DMJ74" s="800"/>
      <c r="DMK74" s="800"/>
      <c r="DML74" s="705"/>
      <c r="DMM74" s="799"/>
      <c r="DMN74" s="800"/>
      <c r="DMO74" s="800"/>
      <c r="DMP74" s="800"/>
      <c r="DMQ74" s="800"/>
      <c r="DMR74" s="800"/>
      <c r="DMS74" s="705"/>
      <c r="DMT74" s="799"/>
      <c r="DMU74" s="800"/>
      <c r="DMV74" s="800"/>
      <c r="DMW74" s="800"/>
      <c r="DMX74" s="800"/>
      <c r="DMY74" s="800"/>
      <c r="DMZ74" s="705"/>
      <c r="DNA74" s="799"/>
      <c r="DNB74" s="800"/>
      <c r="DNC74" s="800"/>
      <c r="DND74" s="800"/>
      <c r="DNE74" s="800"/>
      <c r="DNF74" s="800"/>
      <c r="DNG74" s="705"/>
      <c r="DNH74" s="799"/>
      <c r="DNI74" s="800"/>
      <c r="DNJ74" s="800"/>
      <c r="DNK74" s="800"/>
      <c r="DNL74" s="800"/>
      <c r="DNM74" s="800"/>
      <c r="DNN74" s="705"/>
      <c r="DNO74" s="799"/>
      <c r="DNP74" s="800"/>
      <c r="DNQ74" s="800"/>
      <c r="DNR74" s="800"/>
      <c r="DNS74" s="800"/>
      <c r="DNT74" s="800"/>
      <c r="DNU74" s="705"/>
      <c r="DNV74" s="799"/>
      <c r="DNW74" s="800"/>
      <c r="DNX74" s="800"/>
      <c r="DNY74" s="800"/>
      <c r="DNZ74" s="800"/>
      <c r="DOA74" s="800"/>
      <c r="DOB74" s="705"/>
      <c r="DOC74" s="799"/>
      <c r="DOD74" s="800"/>
      <c r="DOE74" s="800"/>
      <c r="DOF74" s="800"/>
      <c r="DOG74" s="800"/>
      <c r="DOH74" s="800"/>
      <c r="DOI74" s="705"/>
      <c r="DOJ74" s="799"/>
      <c r="DOK74" s="800"/>
      <c r="DOL74" s="800"/>
      <c r="DOM74" s="800"/>
      <c r="DON74" s="800"/>
      <c r="DOO74" s="800"/>
      <c r="DOP74" s="705"/>
      <c r="DOQ74" s="799"/>
      <c r="DOR74" s="800"/>
      <c r="DOS74" s="800"/>
      <c r="DOT74" s="800"/>
      <c r="DOU74" s="800"/>
      <c r="DOV74" s="800"/>
      <c r="DOW74" s="705"/>
      <c r="DOX74" s="799"/>
      <c r="DOY74" s="800"/>
      <c r="DOZ74" s="800"/>
      <c r="DPA74" s="800"/>
      <c r="DPB74" s="800"/>
      <c r="DPC74" s="800"/>
      <c r="DPD74" s="705"/>
      <c r="DPE74" s="799"/>
      <c r="DPF74" s="800"/>
      <c r="DPG74" s="800"/>
      <c r="DPH74" s="800"/>
      <c r="DPI74" s="800"/>
      <c r="DPJ74" s="800"/>
      <c r="DPK74" s="705"/>
      <c r="DPL74" s="799"/>
      <c r="DPM74" s="800"/>
      <c r="DPN74" s="800"/>
      <c r="DPO74" s="800"/>
      <c r="DPP74" s="800"/>
      <c r="DPQ74" s="800"/>
      <c r="DPR74" s="705"/>
      <c r="DPS74" s="799"/>
      <c r="DPT74" s="800"/>
      <c r="DPU74" s="800"/>
      <c r="DPV74" s="800"/>
      <c r="DPW74" s="800"/>
      <c r="DPX74" s="800"/>
      <c r="DPY74" s="705"/>
      <c r="DPZ74" s="799"/>
      <c r="DQA74" s="800"/>
      <c r="DQB74" s="800"/>
      <c r="DQC74" s="800"/>
      <c r="DQD74" s="800"/>
      <c r="DQE74" s="800"/>
      <c r="DQF74" s="705"/>
      <c r="DQG74" s="799"/>
      <c r="DQH74" s="800"/>
      <c r="DQI74" s="800"/>
      <c r="DQJ74" s="800"/>
      <c r="DQK74" s="800"/>
      <c r="DQL74" s="800"/>
      <c r="DQM74" s="705"/>
      <c r="DQN74" s="799"/>
      <c r="DQO74" s="800"/>
      <c r="DQP74" s="800"/>
      <c r="DQQ74" s="800"/>
      <c r="DQR74" s="800"/>
      <c r="DQS74" s="800"/>
      <c r="DQT74" s="705"/>
      <c r="DQU74" s="799"/>
      <c r="DQV74" s="800"/>
      <c r="DQW74" s="800"/>
      <c r="DQX74" s="800"/>
      <c r="DQY74" s="800"/>
      <c r="DQZ74" s="800"/>
      <c r="DRA74" s="705"/>
      <c r="DRB74" s="799"/>
      <c r="DRC74" s="800"/>
      <c r="DRD74" s="800"/>
      <c r="DRE74" s="800"/>
      <c r="DRF74" s="800"/>
      <c r="DRG74" s="800"/>
      <c r="DRH74" s="705"/>
      <c r="DRI74" s="799"/>
      <c r="DRJ74" s="800"/>
      <c r="DRK74" s="800"/>
      <c r="DRL74" s="800"/>
      <c r="DRM74" s="800"/>
      <c r="DRN74" s="800"/>
      <c r="DRO74" s="705"/>
      <c r="DRP74" s="799"/>
      <c r="DRQ74" s="800"/>
      <c r="DRR74" s="800"/>
      <c r="DRS74" s="800"/>
      <c r="DRT74" s="800"/>
      <c r="DRU74" s="800"/>
      <c r="DRV74" s="705"/>
      <c r="DRW74" s="799"/>
      <c r="DRX74" s="800"/>
      <c r="DRY74" s="800"/>
      <c r="DRZ74" s="800"/>
      <c r="DSA74" s="800"/>
      <c r="DSB74" s="800"/>
      <c r="DSC74" s="705"/>
      <c r="DSD74" s="799"/>
      <c r="DSE74" s="800"/>
      <c r="DSF74" s="800"/>
      <c r="DSG74" s="800"/>
      <c r="DSH74" s="800"/>
      <c r="DSI74" s="800"/>
      <c r="DSJ74" s="705"/>
      <c r="DSK74" s="799"/>
      <c r="DSL74" s="800"/>
      <c r="DSM74" s="800"/>
      <c r="DSN74" s="800"/>
      <c r="DSO74" s="800"/>
      <c r="DSP74" s="800"/>
      <c r="DSQ74" s="705"/>
      <c r="DSR74" s="799"/>
      <c r="DSS74" s="800"/>
      <c r="DST74" s="800"/>
      <c r="DSU74" s="800"/>
      <c r="DSV74" s="800"/>
      <c r="DSW74" s="800"/>
      <c r="DSX74" s="705"/>
      <c r="DSY74" s="799"/>
      <c r="DSZ74" s="800"/>
      <c r="DTA74" s="800"/>
      <c r="DTB74" s="800"/>
      <c r="DTC74" s="800"/>
      <c r="DTD74" s="800"/>
      <c r="DTE74" s="705"/>
      <c r="DTF74" s="799"/>
      <c r="DTG74" s="800"/>
      <c r="DTH74" s="800"/>
      <c r="DTI74" s="800"/>
      <c r="DTJ74" s="800"/>
      <c r="DTK74" s="800"/>
      <c r="DTL74" s="705"/>
      <c r="DTM74" s="799"/>
      <c r="DTN74" s="800"/>
      <c r="DTO74" s="800"/>
      <c r="DTP74" s="800"/>
      <c r="DTQ74" s="800"/>
      <c r="DTR74" s="800"/>
      <c r="DTS74" s="705"/>
      <c r="DTT74" s="799"/>
      <c r="DTU74" s="800"/>
      <c r="DTV74" s="800"/>
      <c r="DTW74" s="800"/>
      <c r="DTX74" s="800"/>
      <c r="DTY74" s="800"/>
      <c r="DTZ74" s="705"/>
      <c r="DUA74" s="799"/>
      <c r="DUB74" s="800"/>
      <c r="DUC74" s="800"/>
      <c r="DUD74" s="800"/>
      <c r="DUE74" s="800"/>
      <c r="DUF74" s="800"/>
      <c r="DUG74" s="705"/>
      <c r="DUH74" s="799"/>
      <c r="DUI74" s="800"/>
      <c r="DUJ74" s="800"/>
      <c r="DUK74" s="800"/>
      <c r="DUL74" s="800"/>
      <c r="DUM74" s="800"/>
      <c r="DUN74" s="705"/>
      <c r="DUO74" s="799"/>
      <c r="DUP74" s="800"/>
      <c r="DUQ74" s="800"/>
      <c r="DUR74" s="800"/>
      <c r="DUS74" s="800"/>
      <c r="DUT74" s="800"/>
      <c r="DUU74" s="705"/>
      <c r="DUV74" s="799"/>
      <c r="DUW74" s="800"/>
      <c r="DUX74" s="800"/>
      <c r="DUY74" s="800"/>
      <c r="DUZ74" s="800"/>
      <c r="DVA74" s="800"/>
      <c r="DVB74" s="705"/>
      <c r="DVC74" s="799"/>
      <c r="DVD74" s="800"/>
      <c r="DVE74" s="800"/>
      <c r="DVF74" s="800"/>
      <c r="DVG74" s="800"/>
      <c r="DVH74" s="800"/>
      <c r="DVI74" s="705"/>
      <c r="DVJ74" s="799"/>
      <c r="DVK74" s="800"/>
      <c r="DVL74" s="800"/>
      <c r="DVM74" s="800"/>
      <c r="DVN74" s="800"/>
      <c r="DVO74" s="800"/>
      <c r="DVP74" s="705"/>
      <c r="DVQ74" s="799"/>
      <c r="DVR74" s="800"/>
      <c r="DVS74" s="800"/>
      <c r="DVT74" s="800"/>
      <c r="DVU74" s="800"/>
      <c r="DVV74" s="800"/>
      <c r="DVW74" s="705"/>
      <c r="DVX74" s="799"/>
      <c r="DVY74" s="800"/>
      <c r="DVZ74" s="800"/>
      <c r="DWA74" s="800"/>
      <c r="DWB74" s="800"/>
      <c r="DWC74" s="800"/>
      <c r="DWD74" s="705"/>
      <c r="DWE74" s="799"/>
      <c r="DWF74" s="800"/>
      <c r="DWG74" s="800"/>
      <c r="DWH74" s="800"/>
      <c r="DWI74" s="800"/>
      <c r="DWJ74" s="800"/>
      <c r="DWK74" s="705"/>
      <c r="DWL74" s="799"/>
      <c r="DWM74" s="800"/>
      <c r="DWN74" s="800"/>
      <c r="DWO74" s="800"/>
      <c r="DWP74" s="800"/>
      <c r="DWQ74" s="800"/>
      <c r="DWR74" s="705"/>
      <c r="DWS74" s="799"/>
      <c r="DWT74" s="800"/>
      <c r="DWU74" s="800"/>
      <c r="DWV74" s="800"/>
      <c r="DWW74" s="800"/>
      <c r="DWX74" s="800"/>
      <c r="DWY74" s="705"/>
      <c r="DWZ74" s="799"/>
      <c r="DXA74" s="800"/>
      <c r="DXB74" s="800"/>
      <c r="DXC74" s="800"/>
      <c r="DXD74" s="800"/>
      <c r="DXE74" s="800"/>
      <c r="DXF74" s="705"/>
      <c r="DXG74" s="799"/>
      <c r="DXH74" s="800"/>
      <c r="DXI74" s="800"/>
      <c r="DXJ74" s="800"/>
      <c r="DXK74" s="800"/>
      <c r="DXL74" s="800"/>
      <c r="DXM74" s="705"/>
      <c r="DXN74" s="799"/>
      <c r="DXO74" s="800"/>
      <c r="DXP74" s="800"/>
      <c r="DXQ74" s="800"/>
      <c r="DXR74" s="800"/>
      <c r="DXS74" s="800"/>
      <c r="DXT74" s="705"/>
      <c r="DXU74" s="799"/>
      <c r="DXV74" s="800"/>
      <c r="DXW74" s="800"/>
      <c r="DXX74" s="800"/>
      <c r="DXY74" s="800"/>
      <c r="DXZ74" s="800"/>
      <c r="DYA74" s="705"/>
      <c r="DYB74" s="799"/>
      <c r="DYC74" s="800"/>
      <c r="DYD74" s="800"/>
      <c r="DYE74" s="800"/>
      <c r="DYF74" s="800"/>
      <c r="DYG74" s="800"/>
      <c r="DYH74" s="705"/>
      <c r="DYI74" s="799"/>
      <c r="DYJ74" s="800"/>
      <c r="DYK74" s="800"/>
      <c r="DYL74" s="800"/>
      <c r="DYM74" s="800"/>
      <c r="DYN74" s="800"/>
      <c r="DYO74" s="705"/>
      <c r="DYP74" s="799"/>
      <c r="DYQ74" s="800"/>
      <c r="DYR74" s="800"/>
      <c r="DYS74" s="800"/>
      <c r="DYT74" s="800"/>
      <c r="DYU74" s="800"/>
      <c r="DYV74" s="705"/>
      <c r="DYW74" s="799"/>
      <c r="DYX74" s="800"/>
      <c r="DYY74" s="800"/>
      <c r="DYZ74" s="800"/>
      <c r="DZA74" s="800"/>
      <c r="DZB74" s="800"/>
      <c r="DZC74" s="705"/>
      <c r="DZD74" s="799"/>
      <c r="DZE74" s="800"/>
      <c r="DZF74" s="800"/>
      <c r="DZG74" s="800"/>
      <c r="DZH74" s="800"/>
      <c r="DZI74" s="800"/>
      <c r="DZJ74" s="705"/>
      <c r="DZK74" s="799"/>
      <c r="DZL74" s="800"/>
      <c r="DZM74" s="800"/>
      <c r="DZN74" s="800"/>
      <c r="DZO74" s="800"/>
      <c r="DZP74" s="800"/>
      <c r="DZQ74" s="705"/>
      <c r="DZR74" s="799"/>
      <c r="DZS74" s="800"/>
      <c r="DZT74" s="800"/>
      <c r="DZU74" s="800"/>
      <c r="DZV74" s="800"/>
      <c r="DZW74" s="800"/>
      <c r="DZX74" s="705"/>
      <c r="DZY74" s="799"/>
      <c r="DZZ74" s="800"/>
      <c r="EAA74" s="800"/>
      <c r="EAB74" s="800"/>
      <c r="EAC74" s="800"/>
      <c r="EAD74" s="800"/>
      <c r="EAE74" s="705"/>
      <c r="EAF74" s="799"/>
      <c r="EAG74" s="800"/>
      <c r="EAH74" s="800"/>
      <c r="EAI74" s="800"/>
      <c r="EAJ74" s="800"/>
      <c r="EAK74" s="800"/>
      <c r="EAL74" s="705"/>
      <c r="EAM74" s="799"/>
      <c r="EAN74" s="800"/>
      <c r="EAO74" s="800"/>
      <c r="EAP74" s="800"/>
      <c r="EAQ74" s="800"/>
      <c r="EAR74" s="800"/>
      <c r="EAS74" s="705"/>
      <c r="EAT74" s="799"/>
      <c r="EAU74" s="800"/>
      <c r="EAV74" s="800"/>
      <c r="EAW74" s="800"/>
      <c r="EAX74" s="800"/>
      <c r="EAY74" s="800"/>
      <c r="EAZ74" s="705"/>
      <c r="EBA74" s="799"/>
      <c r="EBB74" s="800"/>
      <c r="EBC74" s="800"/>
      <c r="EBD74" s="800"/>
      <c r="EBE74" s="800"/>
      <c r="EBF74" s="800"/>
      <c r="EBG74" s="705"/>
      <c r="EBH74" s="799"/>
      <c r="EBI74" s="800"/>
      <c r="EBJ74" s="800"/>
      <c r="EBK74" s="800"/>
      <c r="EBL74" s="800"/>
      <c r="EBM74" s="800"/>
      <c r="EBN74" s="705"/>
      <c r="EBO74" s="799"/>
      <c r="EBP74" s="800"/>
      <c r="EBQ74" s="800"/>
      <c r="EBR74" s="800"/>
      <c r="EBS74" s="800"/>
      <c r="EBT74" s="800"/>
      <c r="EBU74" s="705"/>
      <c r="EBV74" s="799"/>
      <c r="EBW74" s="800"/>
      <c r="EBX74" s="800"/>
      <c r="EBY74" s="800"/>
      <c r="EBZ74" s="800"/>
      <c r="ECA74" s="800"/>
      <c r="ECB74" s="705"/>
      <c r="ECC74" s="799"/>
      <c r="ECD74" s="800"/>
      <c r="ECE74" s="800"/>
      <c r="ECF74" s="800"/>
      <c r="ECG74" s="800"/>
      <c r="ECH74" s="800"/>
      <c r="ECI74" s="705"/>
      <c r="ECJ74" s="799"/>
      <c r="ECK74" s="800"/>
      <c r="ECL74" s="800"/>
      <c r="ECM74" s="800"/>
      <c r="ECN74" s="800"/>
      <c r="ECO74" s="800"/>
      <c r="ECP74" s="705"/>
      <c r="ECQ74" s="799"/>
      <c r="ECR74" s="800"/>
      <c r="ECS74" s="800"/>
      <c r="ECT74" s="800"/>
      <c r="ECU74" s="800"/>
      <c r="ECV74" s="800"/>
      <c r="ECW74" s="705"/>
      <c r="ECX74" s="799"/>
      <c r="ECY74" s="800"/>
      <c r="ECZ74" s="800"/>
      <c r="EDA74" s="800"/>
      <c r="EDB74" s="800"/>
      <c r="EDC74" s="800"/>
      <c r="EDD74" s="705"/>
      <c r="EDE74" s="799"/>
      <c r="EDF74" s="800"/>
      <c r="EDG74" s="800"/>
      <c r="EDH74" s="800"/>
      <c r="EDI74" s="800"/>
      <c r="EDJ74" s="800"/>
      <c r="EDK74" s="705"/>
      <c r="EDL74" s="799"/>
      <c r="EDM74" s="800"/>
      <c r="EDN74" s="800"/>
      <c r="EDO74" s="800"/>
      <c r="EDP74" s="800"/>
      <c r="EDQ74" s="800"/>
      <c r="EDR74" s="705"/>
      <c r="EDS74" s="799"/>
      <c r="EDT74" s="800"/>
      <c r="EDU74" s="800"/>
      <c r="EDV74" s="800"/>
      <c r="EDW74" s="800"/>
      <c r="EDX74" s="800"/>
      <c r="EDY74" s="705"/>
      <c r="EDZ74" s="799"/>
      <c r="EEA74" s="800"/>
      <c r="EEB74" s="800"/>
      <c r="EEC74" s="800"/>
      <c r="EED74" s="800"/>
      <c r="EEE74" s="800"/>
      <c r="EEF74" s="705"/>
      <c r="EEG74" s="799"/>
      <c r="EEH74" s="800"/>
      <c r="EEI74" s="800"/>
      <c r="EEJ74" s="800"/>
      <c r="EEK74" s="800"/>
      <c r="EEL74" s="800"/>
      <c r="EEM74" s="705"/>
      <c r="EEN74" s="799"/>
      <c r="EEO74" s="800"/>
      <c r="EEP74" s="800"/>
      <c r="EEQ74" s="800"/>
      <c r="EER74" s="800"/>
      <c r="EES74" s="800"/>
      <c r="EET74" s="705"/>
      <c r="EEU74" s="799"/>
      <c r="EEV74" s="800"/>
      <c r="EEW74" s="800"/>
      <c r="EEX74" s="800"/>
      <c r="EEY74" s="800"/>
      <c r="EEZ74" s="800"/>
      <c r="EFA74" s="705"/>
      <c r="EFB74" s="799"/>
      <c r="EFC74" s="800"/>
      <c r="EFD74" s="800"/>
      <c r="EFE74" s="800"/>
      <c r="EFF74" s="800"/>
      <c r="EFG74" s="800"/>
      <c r="EFH74" s="705"/>
      <c r="EFI74" s="799"/>
      <c r="EFJ74" s="800"/>
      <c r="EFK74" s="800"/>
      <c r="EFL74" s="800"/>
      <c r="EFM74" s="800"/>
      <c r="EFN74" s="800"/>
      <c r="EFO74" s="705"/>
      <c r="EFP74" s="799"/>
      <c r="EFQ74" s="800"/>
      <c r="EFR74" s="800"/>
      <c r="EFS74" s="800"/>
      <c r="EFT74" s="800"/>
      <c r="EFU74" s="800"/>
      <c r="EFV74" s="705"/>
      <c r="EFW74" s="799"/>
      <c r="EFX74" s="800"/>
      <c r="EFY74" s="800"/>
      <c r="EFZ74" s="800"/>
      <c r="EGA74" s="800"/>
      <c r="EGB74" s="800"/>
      <c r="EGC74" s="705"/>
      <c r="EGD74" s="799"/>
      <c r="EGE74" s="800"/>
      <c r="EGF74" s="800"/>
      <c r="EGG74" s="800"/>
      <c r="EGH74" s="800"/>
      <c r="EGI74" s="800"/>
      <c r="EGJ74" s="705"/>
      <c r="EGK74" s="799"/>
      <c r="EGL74" s="800"/>
      <c r="EGM74" s="800"/>
      <c r="EGN74" s="800"/>
      <c r="EGO74" s="800"/>
      <c r="EGP74" s="800"/>
      <c r="EGQ74" s="705"/>
      <c r="EGR74" s="799"/>
      <c r="EGS74" s="800"/>
      <c r="EGT74" s="800"/>
      <c r="EGU74" s="800"/>
      <c r="EGV74" s="800"/>
      <c r="EGW74" s="800"/>
      <c r="EGX74" s="705"/>
      <c r="EGY74" s="799"/>
      <c r="EGZ74" s="800"/>
      <c r="EHA74" s="800"/>
      <c r="EHB74" s="800"/>
      <c r="EHC74" s="800"/>
      <c r="EHD74" s="800"/>
      <c r="EHE74" s="705"/>
      <c r="EHF74" s="799"/>
      <c r="EHG74" s="800"/>
      <c r="EHH74" s="800"/>
      <c r="EHI74" s="800"/>
      <c r="EHJ74" s="800"/>
      <c r="EHK74" s="800"/>
      <c r="EHL74" s="705"/>
      <c r="EHM74" s="799"/>
      <c r="EHN74" s="800"/>
      <c r="EHO74" s="800"/>
      <c r="EHP74" s="800"/>
      <c r="EHQ74" s="800"/>
      <c r="EHR74" s="800"/>
      <c r="EHS74" s="705"/>
      <c r="EHT74" s="799"/>
      <c r="EHU74" s="800"/>
      <c r="EHV74" s="800"/>
      <c r="EHW74" s="800"/>
      <c r="EHX74" s="800"/>
      <c r="EHY74" s="800"/>
      <c r="EHZ74" s="705"/>
      <c r="EIA74" s="799"/>
      <c r="EIB74" s="800"/>
      <c r="EIC74" s="800"/>
      <c r="EID74" s="800"/>
      <c r="EIE74" s="800"/>
      <c r="EIF74" s="800"/>
      <c r="EIG74" s="705"/>
      <c r="EIH74" s="799"/>
      <c r="EII74" s="800"/>
      <c r="EIJ74" s="800"/>
      <c r="EIK74" s="800"/>
      <c r="EIL74" s="800"/>
      <c r="EIM74" s="800"/>
      <c r="EIN74" s="705"/>
      <c r="EIO74" s="799"/>
      <c r="EIP74" s="800"/>
      <c r="EIQ74" s="800"/>
      <c r="EIR74" s="800"/>
      <c r="EIS74" s="800"/>
      <c r="EIT74" s="800"/>
      <c r="EIU74" s="705"/>
      <c r="EIV74" s="799"/>
      <c r="EIW74" s="800"/>
      <c r="EIX74" s="800"/>
      <c r="EIY74" s="800"/>
      <c r="EIZ74" s="800"/>
      <c r="EJA74" s="800"/>
      <c r="EJB74" s="705"/>
      <c r="EJC74" s="799"/>
      <c r="EJD74" s="800"/>
      <c r="EJE74" s="800"/>
      <c r="EJF74" s="800"/>
      <c r="EJG74" s="800"/>
      <c r="EJH74" s="800"/>
      <c r="EJI74" s="705"/>
      <c r="EJJ74" s="799"/>
      <c r="EJK74" s="800"/>
      <c r="EJL74" s="800"/>
      <c r="EJM74" s="800"/>
      <c r="EJN74" s="800"/>
      <c r="EJO74" s="800"/>
      <c r="EJP74" s="705"/>
      <c r="EJQ74" s="799"/>
      <c r="EJR74" s="800"/>
      <c r="EJS74" s="800"/>
      <c r="EJT74" s="800"/>
      <c r="EJU74" s="800"/>
      <c r="EJV74" s="800"/>
      <c r="EJW74" s="705"/>
      <c r="EJX74" s="799"/>
      <c r="EJY74" s="800"/>
      <c r="EJZ74" s="800"/>
      <c r="EKA74" s="800"/>
      <c r="EKB74" s="800"/>
      <c r="EKC74" s="800"/>
      <c r="EKD74" s="705"/>
      <c r="EKE74" s="799"/>
      <c r="EKF74" s="800"/>
      <c r="EKG74" s="800"/>
      <c r="EKH74" s="800"/>
      <c r="EKI74" s="800"/>
      <c r="EKJ74" s="800"/>
      <c r="EKK74" s="705"/>
      <c r="EKL74" s="799"/>
      <c r="EKM74" s="800"/>
      <c r="EKN74" s="800"/>
      <c r="EKO74" s="800"/>
      <c r="EKP74" s="800"/>
      <c r="EKQ74" s="800"/>
      <c r="EKR74" s="705"/>
      <c r="EKS74" s="799"/>
      <c r="EKT74" s="800"/>
      <c r="EKU74" s="800"/>
      <c r="EKV74" s="800"/>
      <c r="EKW74" s="800"/>
      <c r="EKX74" s="800"/>
      <c r="EKY74" s="705"/>
      <c r="EKZ74" s="799"/>
      <c r="ELA74" s="800"/>
      <c r="ELB74" s="800"/>
      <c r="ELC74" s="800"/>
      <c r="ELD74" s="800"/>
      <c r="ELE74" s="800"/>
      <c r="ELF74" s="705"/>
      <c r="ELG74" s="799"/>
      <c r="ELH74" s="800"/>
      <c r="ELI74" s="800"/>
      <c r="ELJ74" s="800"/>
      <c r="ELK74" s="800"/>
      <c r="ELL74" s="800"/>
      <c r="ELM74" s="705"/>
      <c r="ELN74" s="799"/>
      <c r="ELO74" s="800"/>
      <c r="ELP74" s="800"/>
      <c r="ELQ74" s="800"/>
      <c r="ELR74" s="800"/>
      <c r="ELS74" s="800"/>
      <c r="ELT74" s="705"/>
      <c r="ELU74" s="799"/>
      <c r="ELV74" s="800"/>
      <c r="ELW74" s="800"/>
      <c r="ELX74" s="800"/>
      <c r="ELY74" s="800"/>
      <c r="ELZ74" s="800"/>
      <c r="EMA74" s="705"/>
      <c r="EMB74" s="799"/>
      <c r="EMC74" s="800"/>
      <c r="EMD74" s="800"/>
      <c r="EME74" s="800"/>
      <c r="EMF74" s="800"/>
      <c r="EMG74" s="800"/>
      <c r="EMH74" s="705"/>
      <c r="EMI74" s="799"/>
      <c r="EMJ74" s="800"/>
      <c r="EMK74" s="800"/>
      <c r="EML74" s="800"/>
      <c r="EMM74" s="800"/>
      <c r="EMN74" s="800"/>
      <c r="EMO74" s="705"/>
      <c r="EMP74" s="799"/>
      <c r="EMQ74" s="800"/>
      <c r="EMR74" s="800"/>
      <c r="EMS74" s="800"/>
      <c r="EMT74" s="800"/>
      <c r="EMU74" s="800"/>
      <c r="EMV74" s="705"/>
      <c r="EMW74" s="799"/>
      <c r="EMX74" s="800"/>
      <c r="EMY74" s="800"/>
      <c r="EMZ74" s="800"/>
      <c r="ENA74" s="800"/>
      <c r="ENB74" s="800"/>
      <c r="ENC74" s="705"/>
      <c r="END74" s="799"/>
      <c r="ENE74" s="800"/>
      <c r="ENF74" s="800"/>
      <c r="ENG74" s="800"/>
      <c r="ENH74" s="800"/>
      <c r="ENI74" s="800"/>
      <c r="ENJ74" s="705"/>
      <c r="ENK74" s="799"/>
      <c r="ENL74" s="800"/>
      <c r="ENM74" s="800"/>
      <c r="ENN74" s="800"/>
      <c r="ENO74" s="800"/>
      <c r="ENP74" s="800"/>
      <c r="ENQ74" s="705"/>
      <c r="ENR74" s="799"/>
      <c r="ENS74" s="800"/>
      <c r="ENT74" s="800"/>
      <c r="ENU74" s="800"/>
      <c r="ENV74" s="800"/>
      <c r="ENW74" s="800"/>
      <c r="ENX74" s="705"/>
      <c r="ENY74" s="799"/>
      <c r="ENZ74" s="800"/>
      <c r="EOA74" s="800"/>
      <c r="EOB74" s="800"/>
      <c r="EOC74" s="800"/>
      <c r="EOD74" s="800"/>
      <c r="EOE74" s="705"/>
      <c r="EOF74" s="799"/>
      <c r="EOG74" s="800"/>
      <c r="EOH74" s="800"/>
      <c r="EOI74" s="800"/>
      <c r="EOJ74" s="800"/>
      <c r="EOK74" s="800"/>
      <c r="EOL74" s="705"/>
      <c r="EOM74" s="799"/>
      <c r="EON74" s="800"/>
      <c r="EOO74" s="800"/>
      <c r="EOP74" s="800"/>
      <c r="EOQ74" s="800"/>
      <c r="EOR74" s="800"/>
      <c r="EOS74" s="705"/>
      <c r="EOT74" s="799"/>
      <c r="EOU74" s="800"/>
      <c r="EOV74" s="800"/>
      <c r="EOW74" s="800"/>
      <c r="EOX74" s="800"/>
      <c r="EOY74" s="800"/>
      <c r="EOZ74" s="705"/>
      <c r="EPA74" s="799"/>
      <c r="EPB74" s="800"/>
      <c r="EPC74" s="800"/>
      <c r="EPD74" s="800"/>
      <c r="EPE74" s="800"/>
      <c r="EPF74" s="800"/>
      <c r="EPG74" s="705"/>
      <c r="EPH74" s="799"/>
      <c r="EPI74" s="800"/>
      <c r="EPJ74" s="800"/>
      <c r="EPK74" s="800"/>
      <c r="EPL74" s="800"/>
      <c r="EPM74" s="800"/>
      <c r="EPN74" s="705"/>
      <c r="EPO74" s="799"/>
      <c r="EPP74" s="800"/>
      <c r="EPQ74" s="800"/>
      <c r="EPR74" s="800"/>
      <c r="EPS74" s="800"/>
      <c r="EPT74" s="800"/>
      <c r="EPU74" s="705"/>
      <c r="EPV74" s="799"/>
      <c r="EPW74" s="800"/>
      <c r="EPX74" s="800"/>
      <c r="EPY74" s="800"/>
      <c r="EPZ74" s="800"/>
      <c r="EQA74" s="800"/>
      <c r="EQB74" s="705"/>
      <c r="EQC74" s="799"/>
      <c r="EQD74" s="800"/>
      <c r="EQE74" s="800"/>
      <c r="EQF74" s="800"/>
      <c r="EQG74" s="800"/>
      <c r="EQH74" s="800"/>
      <c r="EQI74" s="705"/>
      <c r="EQJ74" s="799"/>
      <c r="EQK74" s="800"/>
      <c r="EQL74" s="800"/>
      <c r="EQM74" s="800"/>
      <c r="EQN74" s="800"/>
      <c r="EQO74" s="800"/>
      <c r="EQP74" s="705"/>
      <c r="EQQ74" s="799"/>
      <c r="EQR74" s="800"/>
      <c r="EQS74" s="800"/>
      <c r="EQT74" s="800"/>
      <c r="EQU74" s="800"/>
      <c r="EQV74" s="800"/>
      <c r="EQW74" s="705"/>
      <c r="EQX74" s="799"/>
      <c r="EQY74" s="800"/>
      <c r="EQZ74" s="800"/>
      <c r="ERA74" s="800"/>
      <c r="ERB74" s="800"/>
      <c r="ERC74" s="800"/>
      <c r="ERD74" s="705"/>
      <c r="ERE74" s="799"/>
      <c r="ERF74" s="800"/>
      <c r="ERG74" s="800"/>
      <c r="ERH74" s="800"/>
      <c r="ERI74" s="800"/>
      <c r="ERJ74" s="800"/>
      <c r="ERK74" s="705"/>
      <c r="ERL74" s="799"/>
      <c r="ERM74" s="800"/>
      <c r="ERN74" s="800"/>
      <c r="ERO74" s="800"/>
      <c r="ERP74" s="800"/>
      <c r="ERQ74" s="800"/>
      <c r="ERR74" s="705"/>
      <c r="ERS74" s="799"/>
      <c r="ERT74" s="800"/>
      <c r="ERU74" s="800"/>
      <c r="ERV74" s="800"/>
      <c r="ERW74" s="800"/>
      <c r="ERX74" s="800"/>
      <c r="ERY74" s="705"/>
      <c r="ERZ74" s="799"/>
      <c r="ESA74" s="800"/>
      <c r="ESB74" s="800"/>
      <c r="ESC74" s="800"/>
      <c r="ESD74" s="800"/>
      <c r="ESE74" s="800"/>
      <c r="ESF74" s="705"/>
      <c r="ESG74" s="799"/>
      <c r="ESH74" s="800"/>
      <c r="ESI74" s="800"/>
      <c r="ESJ74" s="800"/>
      <c r="ESK74" s="800"/>
      <c r="ESL74" s="800"/>
      <c r="ESM74" s="705"/>
      <c r="ESN74" s="799"/>
      <c r="ESO74" s="800"/>
      <c r="ESP74" s="800"/>
      <c r="ESQ74" s="800"/>
      <c r="ESR74" s="800"/>
      <c r="ESS74" s="800"/>
      <c r="EST74" s="705"/>
      <c r="ESU74" s="799"/>
      <c r="ESV74" s="800"/>
      <c r="ESW74" s="800"/>
      <c r="ESX74" s="800"/>
      <c r="ESY74" s="800"/>
      <c r="ESZ74" s="800"/>
      <c r="ETA74" s="705"/>
      <c r="ETB74" s="799"/>
      <c r="ETC74" s="800"/>
      <c r="ETD74" s="800"/>
      <c r="ETE74" s="800"/>
      <c r="ETF74" s="800"/>
      <c r="ETG74" s="800"/>
      <c r="ETH74" s="705"/>
      <c r="ETI74" s="799"/>
      <c r="ETJ74" s="800"/>
      <c r="ETK74" s="800"/>
      <c r="ETL74" s="800"/>
      <c r="ETM74" s="800"/>
      <c r="ETN74" s="800"/>
      <c r="ETO74" s="705"/>
      <c r="ETP74" s="799"/>
      <c r="ETQ74" s="800"/>
      <c r="ETR74" s="800"/>
      <c r="ETS74" s="800"/>
      <c r="ETT74" s="800"/>
      <c r="ETU74" s="800"/>
      <c r="ETV74" s="705"/>
      <c r="ETW74" s="799"/>
      <c r="ETX74" s="800"/>
      <c r="ETY74" s="800"/>
      <c r="ETZ74" s="800"/>
      <c r="EUA74" s="800"/>
      <c r="EUB74" s="800"/>
      <c r="EUC74" s="705"/>
      <c r="EUD74" s="799"/>
      <c r="EUE74" s="800"/>
      <c r="EUF74" s="800"/>
      <c r="EUG74" s="800"/>
      <c r="EUH74" s="800"/>
      <c r="EUI74" s="800"/>
      <c r="EUJ74" s="705"/>
      <c r="EUK74" s="799"/>
      <c r="EUL74" s="800"/>
      <c r="EUM74" s="800"/>
      <c r="EUN74" s="800"/>
      <c r="EUO74" s="800"/>
      <c r="EUP74" s="800"/>
      <c r="EUQ74" s="705"/>
      <c r="EUR74" s="799"/>
      <c r="EUS74" s="800"/>
      <c r="EUT74" s="800"/>
      <c r="EUU74" s="800"/>
      <c r="EUV74" s="800"/>
      <c r="EUW74" s="800"/>
      <c r="EUX74" s="705"/>
      <c r="EUY74" s="799"/>
      <c r="EUZ74" s="800"/>
      <c r="EVA74" s="800"/>
      <c r="EVB74" s="800"/>
      <c r="EVC74" s="800"/>
      <c r="EVD74" s="800"/>
      <c r="EVE74" s="705"/>
      <c r="EVF74" s="799"/>
      <c r="EVG74" s="800"/>
      <c r="EVH74" s="800"/>
      <c r="EVI74" s="800"/>
      <c r="EVJ74" s="800"/>
      <c r="EVK74" s="800"/>
      <c r="EVL74" s="705"/>
      <c r="EVM74" s="799"/>
      <c r="EVN74" s="800"/>
      <c r="EVO74" s="800"/>
      <c r="EVP74" s="800"/>
      <c r="EVQ74" s="800"/>
      <c r="EVR74" s="800"/>
      <c r="EVS74" s="705"/>
      <c r="EVT74" s="799"/>
      <c r="EVU74" s="800"/>
      <c r="EVV74" s="800"/>
      <c r="EVW74" s="800"/>
      <c r="EVX74" s="800"/>
      <c r="EVY74" s="800"/>
      <c r="EVZ74" s="705"/>
      <c r="EWA74" s="799"/>
      <c r="EWB74" s="800"/>
      <c r="EWC74" s="800"/>
      <c r="EWD74" s="800"/>
      <c r="EWE74" s="800"/>
      <c r="EWF74" s="800"/>
      <c r="EWG74" s="705"/>
      <c r="EWH74" s="799"/>
      <c r="EWI74" s="800"/>
      <c r="EWJ74" s="800"/>
      <c r="EWK74" s="800"/>
      <c r="EWL74" s="800"/>
      <c r="EWM74" s="800"/>
      <c r="EWN74" s="705"/>
      <c r="EWO74" s="799"/>
      <c r="EWP74" s="800"/>
      <c r="EWQ74" s="800"/>
      <c r="EWR74" s="800"/>
      <c r="EWS74" s="800"/>
      <c r="EWT74" s="800"/>
      <c r="EWU74" s="705"/>
      <c r="EWV74" s="799"/>
      <c r="EWW74" s="800"/>
      <c r="EWX74" s="800"/>
      <c r="EWY74" s="800"/>
      <c r="EWZ74" s="800"/>
      <c r="EXA74" s="800"/>
      <c r="EXB74" s="705"/>
      <c r="EXC74" s="799"/>
      <c r="EXD74" s="800"/>
      <c r="EXE74" s="800"/>
      <c r="EXF74" s="800"/>
      <c r="EXG74" s="800"/>
      <c r="EXH74" s="800"/>
      <c r="EXI74" s="705"/>
      <c r="EXJ74" s="799"/>
      <c r="EXK74" s="800"/>
      <c r="EXL74" s="800"/>
      <c r="EXM74" s="800"/>
      <c r="EXN74" s="800"/>
      <c r="EXO74" s="800"/>
      <c r="EXP74" s="705"/>
      <c r="EXQ74" s="799"/>
      <c r="EXR74" s="800"/>
      <c r="EXS74" s="800"/>
      <c r="EXT74" s="800"/>
      <c r="EXU74" s="800"/>
      <c r="EXV74" s="800"/>
      <c r="EXW74" s="705"/>
      <c r="EXX74" s="799"/>
      <c r="EXY74" s="800"/>
      <c r="EXZ74" s="800"/>
      <c r="EYA74" s="800"/>
      <c r="EYB74" s="800"/>
      <c r="EYC74" s="800"/>
      <c r="EYD74" s="705"/>
      <c r="EYE74" s="799"/>
      <c r="EYF74" s="800"/>
      <c r="EYG74" s="800"/>
      <c r="EYH74" s="800"/>
      <c r="EYI74" s="800"/>
      <c r="EYJ74" s="800"/>
      <c r="EYK74" s="705"/>
      <c r="EYL74" s="799"/>
      <c r="EYM74" s="800"/>
      <c r="EYN74" s="800"/>
      <c r="EYO74" s="800"/>
      <c r="EYP74" s="800"/>
      <c r="EYQ74" s="800"/>
      <c r="EYR74" s="705"/>
      <c r="EYS74" s="799"/>
      <c r="EYT74" s="800"/>
      <c r="EYU74" s="800"/>
      <c r="EYV74" s="800"/>
      <c r="EYW74" s="800"/>
      <c r="EYX74" s="800"/>
      <c r="EYY74" s="705"/>
      <c r="EYZ74" s="799"/>
      <c r="EZA74" s="800"/>
      <c r="EZB74" s="800"/>
      <c r="EZC74" s="800"/>
      <c r="EZD74" s="800"/>
      <c r="EZE74" s="800"/>
      <c r="EZF74" s="705"/>
      <c r="EZG74" s="799"/>
      <c r="EZH74" s="800"/>
      <c r="EZI74" s="800"/>
      <c r="EZJ74" s="800"/>
      <c r="EZK74" s="800"/>
      <c r="EZL74" s="800"/>
      <c r="EZM74" s="705"/>
      <c r="EZN74" s="799"/>
      <c r="EZO74" s="800"/>
      <c r="EZP74" s="800"/>
      <c r="EZQ74" s="800"/>
      <c r="EZR74" s="800"/>
      <c r="EZS74" s="800"/>
      <c r="EZT74" s="705"/>
      <c r="EZU74" s="799"/>
      <c r="EZV74" s="800"/>
      <c r="EZW74" s="800"/>
      <c r="EZX74" s="800"/>
      <c r="EZY74" s="800"/>
      <c r="EZZ74" s="800"/>
      <c r="FAA74" s="705"/>
      <c r="FAB74" s="799"/>
      <c r="FAC74" s="800"/>
      <c r="FAD74" s="800"/>
      <c r="FAE74" s="800"/>
      <c r="FAF74" s="800"/>
      <c r="FAG74" s="800"/>
      <c r="FAH74" s="705"/>
      <c r="FAI74" s="799"/>
      <c r="FAJ74" s="800"/>
      <c r="FAK74" s="800"/>
      <c r="FAL74" s="800"/>
      <c r="FAM74" s="800"/>
      <c r="FAN74" s="800"/>
      <c r="FAO74" s="705"/>
      <c r="FAP74" s="799"/>
      <c r="FAQ74" s="800"/>
      <c r="FAR74" s="800"/>
      <c r="FAS74" s="800"/>
      <c r="FAT74" s="800"/>
      <c r="FAU74" s="800"/>
      <c r="FAV74" s="705"/>
      <c r="FAW74" s="799"/>
      <c r="FAX74" s="800"/>
      <c r="FAY74" s="800"/>
      <c r="FAZ74" s="800"/>
      <c r="FBA74" s="800"/>
      <c r="FBB74" s="800"/>
      <c r="FBC74" s="705"/>
      <c r="FBD74" s="799"/>
      <c r="FBE74" s="800"/>
      <c r="FBF74" s="800"/>
      <c r="FBG74" s="800"/>
      <c r="FBH74" s="800"/>
      <c r="FBI74" s="800"/>
      <c r="FBJ74" s="705"/>
      <c r="FBK74" s="799"/>
      <c r="FBL74" s="800"/>
      <c r="FBM74" s="800"/>
      <c r="FBN74" s="800"/>
      <c r="FBO74" s="800"/>
      <c r="FBP74" s="800"/>
      <c r="FBQ74" s="705"/>
      <c r="FBR74" s="799"/>
      <c r="FBS74" s="800"/>
      <c r="FBT74" s="800"/>
      <c r="FBU74" s="800"/>
      <c r="FBV74" s="800"/>
      <c r="FBW74" s="800"/>
      <c r="FBX74" s="705"/>
      <c r="FBY74" s="799"/>
      <c r="FBZ74" s="800"/>
      <c r="FCA74" s="800"/>
      <c r="FCB74" s="800"/>
      <c r="FCC74" s="800"/>
      <c r="FCD74" s="800"/>
      <c r="FCE74" s="705"/>
      <c r="FCF74" s="799"/>
      <c r="FCG74" s="800"/>
      <c r="FCH74" s="800"/>
      <c r="FCI74" s="800"/>
      <c r="FCJ74" s="800"/>
      <c r="FCK74" s="800"/>
      <c r="FCL74" s="705"/>
      <c r="FCM74" s="799"/>
      <c r="FCN74" s="800"/>
      <c r="FCO74" s="800"/>
      <c r="FCP74" s="800"/>
      <c r="FCQ74" s="800"/>
      <c r="FCR74" s="800"/>
      <c r="FCS74" s="705"/>
      <c r="FCT74" s="799"/>
      <c r="FCU74" s="800"/>
      <c r="FCV74" s="800"/>
      <c r="FCW74" s="800"/>
      <c r="FCX74" s="800"/>
      <c r="FCY74" s="800"/>
      <c r="FCZ74" s="705"/>
      <c r="FDA74" s="799"/>
      <c r="FDB74" s="800"/>
      <c r="FDC74" s="800"/>
      <c r="FDD74" s="800"/>
      <c r="FDE74" s="800"/>
      <c r="FDF74" s="800"/>
      <c r="FDG74" s="705"/>
      <c r="FDH74" s="799"/>
      <c r="FDI74" s="800"/>
      <c r="FDJ74" s="800"/>
      <c r="FDK74" s="800"/>
      <c r="FDL74" s="800"/>
      <c r="FDM74" s="800"/>
      <c r="FDN74" s="705"/>
      <c r="FDO74" s="799"/>
      <c r="FDP74" s="800"/>
      <c r="FDQ74" s="800"/>
      <c r="FDR74" s="800"/>
      <c r="FDS74" s="800"/>
      <c r="FDT74" s="800"/>
      <c r="FDU74" s="705"/>
      <c r="FDV74" s="799"/>
      <c r="FDW74" s="800"/>
      <c r="FDX74" s="800"/>
      <c r="FDY74" s="800"/>
      <c r="FDZ74" s="800"/>
      <c r="FEA74" s="800"/>
      <c r="FEB74" s="705"/>
      <c r="FEC74" s="799"/>
      <c r="FED74" s="800"/>
      <c r="FEE74" s="800"/>
      <c r="FEF74" s="800"/>
      <c r="FEG74" s="800"/>
      <c r="FEH74" s="800"/>
      <c r="FEI74" s="705"/>
      <c r="FEJ74" s="799"/>
      <c r="FEK74" s="800"/>
      <c r="FEL74" s="800"/>
      <c r="FEM74" s="800"/>
      <c r="FEN74" s="800"/>
      <c r="FEO74" s="800"/>
      <c r="FEP74" s="705"/>
      <c r="FEQ74" s="799"/>
      <c r="FER74" s="800"/>
      <c r="FES74" s="800"/>
      <c r="FET74" s="800"/>
      <c r="FEU74" s="800"/>
      <c r="FEV74" s="800"/>
      <c r="FEW74" s="705"/>
      <c r="FEX74" s="799"/>
      <c r="FEY74" s="800"/>
      <c r="FEZ74" s="800"/>
      <c r="FFA74" s="800"/>
      <c r="FFB74" s="800"/>
      <c r="FFC74" s="800"/>
      <c r="FFD74" s="705"/>
      <c r="FFE74" s="799"/>
      <c r="FFF74" s="800"/>
      <c r="FFG74" s="800"/>
      <c r="FFH74" s="800"/>
      <c r="FFI74" s="800"/>
      <c r="FFJ74" s="800"/>
      <c r="FFK74" s="705"/>
      <c r="FFL74" s="799"/>
      <c r="FFM74" s="800"/>
      <c r="FFN74" s="800"/>
      <c r="FFO74" s="800"/>
      <c r="FFP74" s="800"/>
      <c r="FFQ74" s="800"/>
      <c r="FFR74" s="705"/>
      <c r="FFS74" s="799"/>
      <c r="FFT74" s="800"/>
      <c r="FFU74" s="800"/>
      <c r="FFV74" s="800"/>
      <c r="FFW74" s="800"/>
      <c r="FFX74" s="800"/>
      <c r="FFY74" s="705"/>
      <c r="FFZ74" s="799"/>
      <c r="FGA74" s="800"/>
      <c r="FGB74" s="800"/>
      <c r="FGC74" s="800"/>
      <c r="FGD74" s="800"/>
      <c r="FGE74" s="800"/>
      <c r="FGF74" s="705"/>
      <c r="FGG74" s="799"/>
      <c r="FGH74" s="800"/>
      <c r="FGI74" s="800"/>
      <c r="FGJ74" s="800"/>
      <c r="FGK74" s="800"/>
      <c r="FGL74" s="800"/>
      <c r="FGM74" s="705"/>
      <c r="FGN74" s="799"/>
      <c r="FGO74" s="800"/>
      <c r="FGP74" s="800"/>
      <c r="FGQ74" s="800"/>
      <c r="FGR74" s="800"/>
      <c r="FGS74" s="800"/>
      <c r="FGT74" s="705"/>
      <c r="FGU74" s="799"/>
      <c r="FGV74" s="800"/>
      <c r="FGW74" s="800"/>
      <c r="FGX74" s="800"/>
      <c r="FGY74" s="800"/>
      <c r="FGZ74" s="800"/>
      <c r="FHA74" s="705"/>
      <c r="FHB74" s="799"/>
      <c r="FHC74" s="800"/>
      <c r="FHD74" s="800"/>
      <c r="FHE74" s="800"/>
      <c r="FHF74" s="800"/>
      <c r="FHG74" s="800"/>
      <c r="FHH74" s="705"/>
      <c r="FHI74" s="799"/>
      <c r="FHJ74" s="800"/>
      <c r="FHK74" s="800"/>
      <c r="FHL74" s="800"/>
      <c r="FHM74" s="800"/>
      <c r="FHN74" s="800"/>
      <c r="FHO74" s="705"/>
      <c r="FHP74" s="799"/>
      <c r="FHQ74" s="800"/>
      <c r="FHR74" s="800"/>
      <c r="FHS74" s="800"/>
      <c r="FHT74" s="800"/>
      <c r="FHU74" s="800"/>
      <c r="FHV74" s="705"/>
      <c r="FHW74" s="799"/>
      <c r="FHX74" s="800"/>
      <c r="FHY74" s="800"/>
      <c r="FHZ74" s="800"/>
      <c r="FIA74" s="800"/>
      <c r="FIB74" s="800"/>
      <c r="FIC74" s="705"/>
      <c r="FID74" s="799"/>
      <c r="FIE74" s="800"/>
      <c r="FIF74" s="800"/>
      <c r="FIG74" s="800"/>
      <c r="FIH74" s="800"/>
      <c r="FII74" s="800"/>
      <c r="FIJ74" s="705"/>
      <c r="FIK74" s="799"/>
      <c r="FIL74" s="800"/>
      <c r="FIM74" s="800"/>
      <c r="FIN74" s="800"/>
      <c r="FIO74" s="800"/>
      <c r="FIP74" s="800"/>
      <c r="FIQ74" s="705"/>
      <c r="FIR74" s="799"/>
      <c r="FIS74" s="800"/>
      <c r="FIT74" s="800"/>
      <c r="FIU74" s="800"/>
      <c r="FIV74" s="800"/>
      <c r="FIW74" s="800"/>
      <c r="FIX74" s="705"/>
      <c r="FIY74" s="799"/>
      <c r="FIZ74" s="800"/>
      <c r="FJA74" s="800"/>
      <c r="FJB74" s="800"/>
      <c r="FJC74" s="800"/>
      <c r="FJD74" s="800"/>
      <c r="FJE74" s="705"/>
      <c r="FJF74" s="799"/>
      <c r="FJG74" s="800"/>
      <c r="FJH74" s="800"/>
      <c r="FJI74" s="800"/>
      <c r="FJJ74" s="800"/>
      <c r="FJK74" s="800"/>
      <c r="FJL74" s="705"/>
      <c r="FJM74" s="799"/>
      <c r="FJN74" s="800"/>
      <c r="FJO74" s="800"/>
      <c r="FJP74" s="800"/>
      <c r="FJQ74" s="800"/>
      <c r="FJR74" s="800"/>
      <c r="FJS74" s="705"/>
      <c r="FJT74" s="799"/>
      <c r="FJU74" s="800"/>
      <c r="FJV74" s="800"/>
      <c r="FJW74" s="800"/>
      <c r="FJX74" s="800"/>
      <c r="FJY74" s="800"/>
      <c r="FJZ74" s="705"/>
      <c r="FKA74" s="799"/>
      <c r="FKB74" s="800"/>
      <c r="FKC74" s="800"/>
      <c r="FKD74" s="800"/>
      <c r="FKE74" s="800"/>
      <c r="FKF74" s="800"/>
      <c r="FKG74" s="705"/>
      <c r="FKH74" s="799"/>
      <c r="FKI74" s="800"/>
      <c r="FKJ74" s="800"/>
      <c r="FKK74" s="800"/>
      <c r="FKL74" s="800"/>
      <c r="FKM74" s="800"/>
      <c r="FKN74" s="705"/>
      <c r="FKO74" s="799"/>
      <c r="FKP74" s="800"/>
      <c r="FKQ74" s="800"/>
      <c r="FKR74" s="800"/>
      <c r="FKS74" s="800"/>
      <c r="FKT74" s="800"/>
      <c r="FKU74" s="705"/>
      <c r="FKV74" s="799"/>
      <c r="FKW74" s="800"/>
      <c r="FKX74" s="800"/>
      <c r="FKY74" s="800"/>
      <c r="FKZ74" s="800"/>
      <c r="FLA74" s="800"/>
      <c r="FLB74" s="705"/>
      <c r="FLC74" s="799"/>
      <c r="FLD74" s="800"/>
      <c r="FLE74" s="800"/>
      <c r="FLF74" s="800"/>
      <c r="FLG74" s="800"/>
      <c r="FLH74" s="800"/>
      <c r="FLI74" s="705"/>
      <c r="FLJ74" s="799"/>
      <c r="FLK74" s="800"/>
      <c r="FLL74" s="800"/>
      <c r="FLM74" s="800"/>
      <c r="FLN74" s="800"/>
      <c r="FLO74" s="800"/>
      <c r="FLP74" s="705"/>
      <c r="FLQ74" s="799"/>
      <c r="FLR74" s="800"/>
      <c r="FLS74" s="800"/>
      <c r="FLT74" s="800"/>
      <c r="FLU74" s="800"/>
      <c r="FLV74" s="800"/>
      <c r="FLW74" s="705"/>
      <c r="FLX74" s="799"/>
      <c r="FLY74" s="800"/>
      <c r="FLZ74" s="800"/>
      <c r="FMA74" s="800"/>
      <c r="FMB74" s="800"/>
      <c r="FMC74" s="800"/>
      <c r="FMD74" s="705"/>
      <c r="FME74" s="799"/>
      <c r="FMF74" s="800"/>
      <c r="FMG74" s="800"/>
      <c r="FMH74" s="800"/>
      <c r="FMI74" s="800"/>
      <c r="FMJ74" s="800"/>
      <c r="FMK74" s="705"/>
      <c r="FML74" s="799"/>
      <c r="FMM74" s="800"/>
      <c r="FMN74" s="800"/>
      <c r="FMO74" s="800"/>
      <c r="FMP74" s="800"/>
      <c r="FMQ74" s="800"/>
      <c r="FMR74" s="705"/>
      <c r="FMS74" s="799"/>
      <c r="FMT74" s="800"/>
      <c r="FMU74" s="800"/>
      <c r="FMV74" s="800"/>
      <c r="FMW74" s="800"/>
      <c r="FMX74" s="800"/>
      <c r="FMY74" s="705"/>
      <c r="FMZ74" s="799"/>
      <c r="FNA74" s="800"/>
      <c r="FNB74" s="800"/>
      <c r="FNC74" s="800"/>
      <c r="FND74" s="800"/>
      <c r="FNE74" s="800"/>
      <c r="FNF74" s="705"/>
      <c r="FNG74" s="799"/>
      <c r="FNH74" s="800"/>
      <c r="FNI74" s="800"/>
      <c r="FNJ74" s="800"/>
      <c r="FNK74" s="800"/>
      <c r="FNL74" s="800"/>
      <c r="FNM74" s="705"/>
      <c r="FNN74" s="799"/>
      <c r="FNO74" s="800"/>
      <c r="FNP74" s="800"/>
      <c r="FNQ74" s="800"/>
      <c r="FNR74" s="800"/>
      <c r="FNS74" s="800"/>
      <c r="FNT74" s="705"/>
      <c r="FNU74" s="799"/>
      <c r="FNV74" s="800"/>
      <c r="FNW74" s="800"/>
      <c r="FNX74" s="800"/>
      <c r="FNY74" s="800"/>
      <c r="FNZ74" s="800"/>
      <c r="FOA74" s="705"/>
      <c r="FOB74" s="799"/>
      <c r="FOC74" s="800"/>
      <c r="FOD74" s="800"/>
      <c r="FOE74" s="800"/>
      <c r="FOF74" s="800"/>
      <c r="FOG74" s="800"/>
      <c r="FOH74" s="705"/>
      <c r="FOI74" s="799"/>
      <c r="FOJ74" s="800"/>
      <c r="FOK74" s="800"/>
      <c r="FOL74" s="800"/>
      <c r="FOM74" s="800"/>
      <c r="FON74" s="800"/>
      <c r="FOO74" s="705"/>
      <c r="FOP74" s="799"/>
      <c r="FOQ74" s="800"/>
      <c r="FOR74" s="800"/>
      <c r="FOS74" s="800"/>
      <c r="FOT74" s="800"/>
      <c r="FOU74" s="800"/>
      <c r="FOV74" s="705"/>
      <c r="FOW74" s="799"/>
      <c r="FOX74" s="800"/>
      <c r="FOY74" s="800"/>
      <c r="FOZ74" s="800"/>
      <c r="FPA74" s="800"/>
      <c r="FPB74" s="800"/>
      <c r="FPC74" s="705"/>
      <c r="FPD74" s="799"/>
      <c r="FPE74" s="800"/>
      <c r="FPF74" s="800"/>
      <c r="FPG74" s="800"/>
      <c r="FPH74" s="800"/>
      <c r="FPI74" s="800"/>
      <c r="FPJ74" s="705"/>
      <c r="FPK74" s="799"/>
      <c r="FPL74" s="800"/>
      <c r="FPM74" s="800"/>
      <c r="FPN74" s="800"/>
      <c r="FPO74" s="800"/>
      <c r="FPP74" s="800"/>
      <c r="FPQ74" s="705"/>
      <c r="FPR74" s="799"/>
      <c r="FPS74" s="800"/>
      <c r="FPT74" s="800"/>
      <c r="FPU74" s="800"/>
      <c r="FPV74" s="800"/>
      <c r="FPW74" s="800"/>
      <c r="FPX74" s="705"/>
      <c r="FPY74" s="799"/>
      <c r="FPZ74" s="800"/>
      <c r="FQA74" s="800"/>
      <c r="FQB74" s="800"/>
      <c r="FQC74" s="800"/>
      <c r="FQD74" s="800"/>
      <c r="FQE74" s="705"/>
      <c r="FQF74" s="799"/>
      <c r="FQG74" s="800"/>
      <c r="FQH74" s="800"/>
      <c r="FQI74" s="800"/>
      <c r="FQJ74" s="800"/>
      <c r="FQK74" s="800"/>
      <c r="FQL74" s="705"/>
      <c r="FQM74" s="799"/>
      <c r="FQN74" s="800"/>
      <c r="FQO74" s="800"/>
      <c r="FQP74" s="800"/>
      <c r="FQQ74" s="800"/>
      <c r="FQR74" s="800"/>
      <c r="FQS74" s="705"/>
      <c r="FQT74" s="799"/>
      <c r="FQU74" s="800"/>
      <c r="FQV74" s="800"/>
      <c r="FQW74" s="800"/>
      <c r="FQX74" s="800"/>
      <c r="FQY74" s="800"/>
      <c r="FQZ74" s="705"/>
      <c r="FRA74" s="799"/>
      <c r="FRB74" s="800"/>
      <c r="FRC74" s="800"/>
      <c r="FRD74" s="800"/>
      <c r="FRE74" s="800"/>
      <c r="FRF74" s="800"/>
      <c r="FRG74" s="705"/>
      <c r="FRH74" s="799"/>
      <c r="FRI74" s="800"/>
      <c r="FRJ74" s="800"/>
      <c r="FRK74" s="800"/>
      <c r="FRL74" s="800"/>
      <c r="FRM74" s="800"/>
      <c r="FRN74" s="705"/>
      <c r="FRO74" s="799"/>
      <c r="FRP74" s="800"/>
      <c r="FRQ74" s="800"/>
      <c r="FRR74" s="800"/>
      <c r="FRS74" s="800"/>
      <c r="FRT74" s="800"/>
      <c r="FRU74" s="705"/>
      <c r="FRV74" s="799"/>
      <c r="FRW74" s="800"/>
      <c r="FRX74" s="800"/>
      <c r="FRY74" s="800"/>
      <c r="FRZ74" s="800"/>
      <c r="FSA74" s="800"/>
      <c r="FSB74" s="705"/>
      <c r="FSC74" s="799"/>
      <c r="FSD74" s="800"/>
      <c r="FSE74" s="800"/>
      <c r="FSF74" s="800"/>
      <c r="FSG74" s="800"/>
      <c r="FSH74" s="800"/>
      <c r="FSI74" s="705"/>
      <c r="FSJ74" s="799"/>
      <c r="FSK74" s="800"/>
      <c r="FSL74" s="800"/>
      <c r="FSM74" s="800"/>
      <c r="FSN74" s="800"/>
      <c r="FSO74" s="800"/>
      <c r="FSP74" s="705"/>
      <c r="FSQ74" s="799"/>
      <c r="FSR74" s="800"/>
      <c r="FSS74" s="800"/>
      <c r="FST74" s="800"/>
      <c r="FSU74" s="800"/>
      <c r="FSV74" s="800"/>
      <c r="FSW74" s="705"/>
      <c r="FSX74" s="799"/>
      <c r="FSY74" s="800"/>
      <c r="FSZ74" s="800"/>
      <c r="FTA74" s="800"/>
      <c r="FTB74" s="800"/>
      <c r="FTC74" s="800"/>
      <c r="FTD74" s="705"/>
      <c r="FTE74" s="799"/>
      <c r="FTF74" s="800"/>
      <c r="FTG74" s="800"/>
      <c r="FTH74" s="800"/>
      <c r="FTI74" s="800"/>
      <c r="FTJ74" s="800"/>
      <c r="FTK74" s="705"/>
      <c r="FTL74" s="799"/>
      <c r="FTM74" s="800"/>
      <c r="FTN74" s="800"/>
      <c r="FTO74" s="800"/>
      <c r="FTP74" s="800"/>
      <c r="FTQ74" s="800"/>
      <c r="FTR74" s="705"/>
      <c r="FTS74" s="799"/>
      <c r="FTT74" s="800"/>
      <c r="FTU74" s="800"/>
      <c r="FTV74" s="800"/>
      <c r="FTW74" s="800"/>
      <c r="FTX74" s="800"/>
      <c r="FTY74" s="705"/>
      <c r="FTZ74" s="799"/>
      <c r="FUA74" s="800"/>
      <c r="FUB74" s="800"/>
      <c r="FUC74" s="800"/>
      <c r="FUD74" s="800"/>
      <c r="FUE74" s="800"/>
      <c r="FUF74" s="705"/>
      <c r="FUG74" s="799"/>
      <c r="FUH74" s="800"/>
      <c r="FUI74" s="800"/>
      <c r="FUJ74" s="800"/>
      <c r="FUK74" s="800"/>
      <c r="FUL74" s="800"/>
      <c r="FUM74" s="705"/>
      <c r="FUN74" s="799"/>
      <c r="FUO74" s="800"/>
      <c r="FUP74" s="800"/>
      <c r="FUQ74" s="800"/>
      <c r="FUR74" s="800"/>
      <c r="FUS74" s="800"/>
      <c r="FUT74" s="705"/>
      <c r="FUU74" s="799"/>
      <c r="FUV74" s="800"/>
      <c r="FUW74" s="800"/>
      <c r="FUX74" s="800"/>
      <c r="FUY74" s="800"/>
      <c r="FUZ74" s="800"/>
      <c r="FVA74" s="705"/>
      <c r="FVB74" s="799"/>
      <c r="FVC74" s="800"/>
      <c r="FVD74" s="800"/>
      <c r="FVE74" s="800"/>
      <c r="FVF74" s="800"/>
      <c r="FVG74" s="800"/>
      <c r="FVH74" s="705"/>
      <c r="FVI74" s="799"/>
      <c r="FVJ74" s="800"/>
      <c r="FVK74" s="800"/>
      <c r="FVL74" s="800"/>
      <c r="FVM74" s="800"/>
      <c r="FVN74" s="800"/>
      <c r="FVO74" s="705"/>
      <c r="FVP74" s="799"/>
      <c r="FVQ74" s="800"/>
      <c r="FVR74" s="800"/>
      <c r="FVS74" s="800"/>
      <c r="FVT74" s="800"/>
      <c r="FVU74" s="800"/>
      <c r="FVV74" s="705"/>
      <c r="FVW74" s="799"/>
      <c r="FVX74" s="800"/>
      <c r="FVY74" s="800"/>
      <c r="FVZ74" s="800"/>
      <c r="FWA74" s="800"/>
      <c r="FWB74" s="800"/>
      <c r="FWC74" s="705"/>
      <c r="FWD74" s="799"/>
      <c r="FWE74" s="800"/>
      <c r="FWF74" s="800"/>
      <c r="FWG74" s="800"/>
      <c r="FWH74" s="800"/>
      <c r="FWI74" s="800"/>
      <c r="FWJ74" s="705"/>
      <c r="FWK74" s="799"/>
      <c r="FWL74" s="800"/>
      <c r="FWM74" s="800"/>
      <c r="FWN74" s="800"/>
      <c r="FWO74" s="800"/>
      <c r="FWP74" s="800"/>
      <c r="FWQ74" s="705"/>
      <c r="FWR74" s="799"/>
      <c r="FWS74" s="800"/>
      <c r="FWT74" s="800"/>
      <c r="FWU74" s="800"/>
      <c r="FWV74" s="800"/>
      <c r="FWW74" s="800"/>
      <c r="FWX74" s="705"/>
      <c r="FWY74" s="799"/>
      <c r="FWZ74" s="800"/>
      <c r="FXA74" s="800"/>
      <c r="FXB74" s="800"/>
      <c r="FXC74" s="800"/>
      <c r="FXD74" s="800"/>
      <c r="FXE74" s="705"/>
      <c r="FXF74" s="799"/>
      <c r="FXG74" s="800"/>
      <c r="FXH74" s="800"/>
      <c r="FXI74" s="800"/>
      <c r="FXJ74" s="800"/>
      <c r="FXK74" s="800"/>
      <c r="FXL74" s="705"/>
      <c r="FXM74" s="799"/>
      <c r="FXN74" s="800"/>
      <c r="FXO74" s="800"/>
      <c r="FXP74" s="800"/>
      <c r="FXQ74" s="800"/>
      <c r="FXR74" s="800"/>
      <c r="FXS74" s="705"/>
      <c r="FXT74" s="799"/>
      <c r="FXU74" s="800"/>
      <c r="FXV74" s="800"/>
      <c r="FXW74" s="800"/>
      <c r="FXX74" s="800"/>
      <c r="FXY74" s="800"/>
      <c r="FXZ74" s="705"/>
      <c r="FYA74" s="799"/>
      <c r="FYB74" s="800"/>
      <c r="FYC74" s="800"/>
      <c r="FYD74" s="800"/>
      <c r="FYE74" s="800"/>
      <c r="FYF74" s="800"/>
      <c r="FYG74" s="705"/>
      <c r="FYH74" s="799"/>
      <c r="FYI74" s="800"/>
      <c r="FYJ74" s="800"/>
      <c r="FYK74" s="800"/>
      <c r="FYL74" s="800"/>
      <c r="FYM74" s="800"/>
      <c r="FYN74" s="705"/>
      <c r="FYO74" s="799"/>
      <c r="FYP74" s="800"/>
      <c r="FYQ74" s="800"/>
      <c r="FYR74" s="800"/>
      <c r="FYS74" s="800"/>
      <c r="FYT74" s="800"/>
      <c r="FYU74" s="705"/>
      <c r="FYV74" s="799"/>
      <c r="FYW74" s="800"/>
      <c r="FYX74" s="800"/>
      <c r="FYY74" s="800"/>
      <c r="FYZ74" s="800"/>
      <c r="FZA74" s="800"/>
      <c r="FZB74" s="705"/>
      <c r="FZC74" s="799"/>
      <c r="FZD74" s="800"/>
      <c r="FZE74" s="800"/>
      <c r="FZF74" s="800"/>
      <c r="FZG74" s="800"/>
      <c r="FZH74" s="800"/>
      <c r="FZI74" s="705"/>
      <c r="FZJ74" s="799"/>
      <c r="FZK74" s="800"/>
      <c r="FZL74" s="800"/>
      <c r="FZM74" s="800"/>
      <c r="FZN74" s="800"/>
      <c r="FZO74" s="800"/>
      <c r="FZP74" s="705"/>
      <c r="FZQ74" s="799"/>
      <c r="FZR74" s="800"/>
      <c r="FZS74" s="800"/>
      <c r="FZT74" s="800"/>
      <c r="FZU74" s="800"/>
      <c r="FZV74" s="800"/>
      <c r="FZW74" s="705"/>
      <c r="FZX74" s="799"/>
      <c r="FZY74" s="800"/>
      <c r="FZZ74" s="800"/>
      <c r="GAA74" s="800"/>
      <c r="GAB74" s="800"/>
      <c r="GAC74" s="800"/>
      <c r="GAD74" s="705"/>
      <c r="GAE74" s="799"/>
      <c r="GAF74" s="800"/>
      <c r="GAG74" s="800"/>
      <c r="GAH74" s="800"/>
      <c r="GAI74" s="800"/>
      <c r="GAJ74" s="800"/>
      <c r="GAK74" s="705"/>
      <c r="GAL74" s="799"/>
      <c r="GAM74" s="800"/>
      <c r="GAN74" s="800"/>
      <c r="GAO74" s="800"/>
      <c r="GAP74" s="800"/>
      <c r="GAQ74" s="800"/>
      <c r="GAR74" s="705"/>
      <c r="GAS74" s="799"/>
      <c r="GAT74" s="800"/>
      <c r="GAU74" s="800"/>
      <c r="GAV74" s="800"/>
      <c r="GAW74" s="800"/>
      <c r="GAX74" s="800"/>
      <c r="GAY74" s="705"/>
      <c r="GAZ74" s="799"/>
      <c r="GBA74" s="800"/>
      <c r="GBB74" s="800"/>
      <c r="GBC74" s="800"/>
      <c r="GBD74" s="800"/>
      <c r="GBE74" s="800"/>
      <c r="GBF74" s="705"/>
      <c r="GBG74" s="799"/>
      <c r="GBH74" s="800"/>
      <c r="GBI74" s="800"/>
      <c r="GBJ74" s="800"/>
      <c r="GBK74" s="800"/>
      <c r="GBL74" s="800"/>
      <c r="GBM74" s="705"/>
      <c r="GBN74" s="799"/>
      <c r="GBO74" s="800"/>
      <c r="GBP74" s="800"/>
      <c r="GBQ74" s="800"/>
      <c r="GBR74" s="800"/>
      <c r="GBS74" s="800"/>
      <c r="GBT74" s="705"/>
      <c r="GBU74" s="799"/>
      <c r="GBV74" s="800"/>
      <c r="GBW74" s="800"/>
      <c r="GBX74" s="800"/>
      <c r="GBY74" s="800"/>
      <c r="GBZ74" s="800"/>
      <c r="GCA74" s="705"/>
      <c r="GCB74" s="799"/>
      <c r="GCC74" s="800"/>
      <c r="GCD74" s="800"/>
      <c r="GCE74" s="800"/>
      <c r="GCF74" s="800"/>
      <c r="GCG74" s="800"/>
      <c r="GCH74" s="705"/>
      <c r="GCI74" s="799"/>
      <c r="GCJ74" s="800"/>
      <c r="GCK74" s="800"/>
      <c r="GCL74" s="800"/>
      <c r="GCM74" s="800"/>
      <c r="GCN74" s="800"/>
      <c r="GCO74" s="705"/>
      <c r="GCP74" s="799"/>
      <c r="GCQ74" s="800"/>
      <c r="GCR74" s="800"/>
      <c r="GCS74" s="800"/>
      <c r="GCT74" s="800"/>
      <c r="GCU74" s="800"/>
      <c r="GCV74" s="705"/>
      <c r="GCW74" s="799"/>
      <c r="GCX74" s="800"/>
      <c r="GCY74" s="800"/>
      <c r="GCZ74" s="800"/>
      <c r="GDA74" s="800"/>
      <c r="GDB74" s="800"/>
      <c r="GDC74" s="705"/>
      <c r="GDD74" s="799"/>
      <c r="GDE74" s="800"/>
      <c r="GDF74" s="800"/>
      <c r="GDG74" s="800"/>
      <c r="GDH74" s="800"/>
      <c r="GDI74" s="800"/>
      <c r="GDJ74" s="705"/>
      <c r="GDK74" s="799"/>
      <c r="GDL74" s="800"/>
      <c r="GDM74" s="800"/>
      <c r="GDN74" s="800"/>
      <c r="GDO74" s="800"/>
      <c r="GDP74" s="800"/>
      <c r="GDQ74" s="705"/>
      <c r="GDR74" s="799"/>
      <c r="GDS74" s="800"/>
      <c r="GDT74" s="800"/>
      <c r="GDU74" s="800"/>
      <c r="GDV74" s="800"/>
      <c r="GDW74" s="800"/>
      <c r="GDX74" s="705"/>
      <c r="GDY74" s="799"/>
      <c r="GDZ74" s="800"/>
      <c r="GEA74" s="800"/>
      <c r="GEB74" s="800"/>
      <c r="GEC74" s="800"/>
      <c r="GED74" s="800"/>
      <c r="GEE74" s="705"/>
      <c r="GEF74" s="799"/>
      <c r="GEG74" s="800"/>
      <c r="GEH74" s="800"/>
      <c r="GEI74" s="800"/>
      <c r="GEJ74" s="800"/>
      <c r="GEK74" s="800"/>
      <c r="GEL74" s="705"/>
      <c r="GEM74" s="799"/>
      <c r="GEN74" s="800"/>
      <c r="GEO74" s="800"/>
      <c r="GEP74" s="800"/>
      <c r="GEQ74" s="800"/>
      <c r="GER74" s="800"/>
      <c r="GES74" s="705"/>
      <c r="GET74" s="799"/>
      <c r="GEU74" s="800"/>
      <c r="GEV74" s="800"/>
      <c r="GEW74" s="800"/>
      <c r="GEX74" s="800"/>
      <c r="GEY74" s="800"/>
      <c r="GEZ74" s="705"/>
      <c r="GFA74" s="799"/>
      <c r="GFB74" s="800"/>
      <c r="GFC74" s="800"/>
      <c r="GFD74" s="800"/>
      <c r="GFE74" s="800"/>
      <c r="GFF74" s="800"/>
      <c r="GFG74" s="705"/>
      <c r="GFH74" s="799"/>
      <c r="GFI74" s="800"/>
      <c r="GFJ74" s="800"/>
      <c r="GFK74" s="800"/>
      <c r="GFL74" s="800"/>
      <c r="GFM74" s="800"/>
      <c r="GFN74" s="705"/>
      <c r="GFO74" s="799"/>
      <c r="GFP74" s="800"/>
      <c r="GFQ74" s="800"/>
      <c r="GFR74" s="800"/>
      <c r="GFS74" s="800"/>
      <c r="GFT74" s="800"/>
      <c r="GFU74" s="705"/>
      <c r="GFV74" s="799"/>
      <c r="GFW74" s="800"/>
      <c r="GFX74" s="800"/>
      <c r="GFY74" s="800"/>
      <c r="GFZ74" s="800"/>
      <c r="GGA74" s="800"/>
      <c r="GGB74" s="705"/>
      <c r="GGC74" s="799"/>
      <c r="GGD74" s="800"/>
      <c r="GGE74" s="800"/>
      <c r="GGF74" s="800"/>
      <c r="GGG74" s="800"/>
      <c r="GGH74" s="800"/>
      <c r="GGI74" s="705"/>
      <c r="GGJ74" s="799"/>
      <c r="GGK74" s="800"/>
      <c r="GGL74" s="800"/>
      <c r="GGM74" s="800"/>
      <c r="GGN74" s="800"/>
      <c r="GGO74" s="800"/>
      <c r="GGP74" s="705"/>
      <c r="GGQ74" s="799"/>
      <c r="GGR74" s="800"/>
      <c r="GGS74" s="800"/>
      <c r="GGT74" s="800"/>
      <c r="GGU74" s="800"/>
      <c r="GGV74" s="800"/>
      <c r="GGW74" s="705"/>
      <c r="GGX74" s="799"/>
      <c r="GGY74" s="800"/>
      <c r="GGZ74" s="800"/>
      <c r="GHA74" s="800"/>
      <c r="GHB74" s="800"/>
      <c r="GHC74" s="800"/>
      <c r="GHD74" s="705"/>
      <c r="GHE74" s="799"/>
      <c r="GHF74" s="800"/>
      <c r="GHG74" s="800"/>
      <c r="GHH74" s="800"/>
      <c r="GHI74" s="800"/>
      <c r="GHJ74" s="800"/>
      <c r="GHK74" s="705"/>
      <c r="GHL74" s="799"/>
      <c r="GHM74" s="800"/>
      <c r="GHN74" s="800"/>
      <c r="GHO74" s="800"/>
      <c r="GHP74" s="800"/>
      <c r="GHQ74" s="800"/>
      <c r="GHR74" s="705"/>
      <c r="GHS74" s="799"/>
      <c r="GHT74" s="800"/>
      <c r="GHU74" s="800"/>
      <c r="GHV74" s="800"/>
      <c r="GHW74" s="800"/>
      <c r="GHX74" s="800"/>
      <c r="GHY74" s="705"/>
      <c r="GHZ74" s="799"/>
      <c r="GIA74" s="800"/>
      <c r="GIB74" s="800"/>
      <c r="GIC74" s="800"/>
      <c r="GID74" s="800"/>
      <c r="GIE74" s="800"/>
      <c r="GIF74" s="705"/>
      <c r="GIG74" s="799"/>
      <c r="GIH74" s="800"/>
      <c r="GII74" s="800"/>
      <c r="GIJ74" s="800"/>
      <c r="GIK74" s="800"/>
      <c r="GIL74" s="800"/>
      <c r="GIM74" s="705"/>
      <c r="GIN74" s="799"/>
      <c r="GIO74" s="800"/>
      <c r="GIP74" s="800"/>
      <c r="GIQ74" s="800"/>
      <c r="GIR74" s="800"/>
      <c r="GIS74" s="800"/>
      <c r="GIT74" s="705"/>
      <c r="GIU74" s="799"/>
      <c r="GIV74" s="800"/>
      <c r="GIW74" s="800"/>
      <c r="GIX74" s="800"/>
      <c r="GIY74" s="800"/>
      <c r="GIZ74" s="800"/>
      <c r="GJA74" s="705"/>
      <c r="GJB74" s="799"/>
      <c r="GJC74" s="800"/>
      <c r="GJD74" s="800"/>
      <c r="GJE74" s="800"/>
      <c r="GJF74" s="800"/>
      <c r="GJG74" s="800"/>
      <c r="GJH74" s="705"/>
      <c r="GJI74" s="799"/>
      <c r="GJJ74" s="800"/>
      <c r="GJK74" s="800"/>
      <c r="GJL74" s="800"/>
      <c r="GJM74" s="800"/>
      <c r="GJN74" s="800"/>
      <c r="GJO74" s="705"/>
      <c r="GJP74" s="799"/>
      <c r="GJQ74" s="800"/>
      <c r="GJR74" s="800"/>
      <c r="GJS74" s="800"/>
      <c r="GJT74" s="800"/>
      <c r="GJU74" s="800"/>
      <c r="GJV74" s="705"/>
      <c r="GJW74" s="799"/>
      <c r="GJX74" s="800"/>
      <c r="GJY74" s="800"/>
      <c r="GJZ74" s="800"/>
      <c r="GKA74" s="800"/>
      <c r="GKB74" s="800"/>
      <c r="GKC74" s="705"/>
      <c r="GKD74" s="799"/>
      <c r="GKE74" s="800"/>
      <c r="GKF74" s="800"/>
      <c r="GKG74" s="800"/>
      <c r="GKH74" s="800"/>
      <c r="GKI74" s="800"/>
      <c r="GKJ74" s="705"/>
      <c r="GKK74" s="799"/>
      <c r="GKL74" s="800"/>
      <c r="GKM74" s="800"/>
      <c r="GKN74" s="800"/>
      <c r="GKO74" s="800"/>
      <c r="GKP74" s="800"/>
      <c r="GKQ74" s="705"/>
      <c r="GKR74" s="799"/>
      <c r="GKS74" s="800"/>
      <c r="GKT74" s="800"/>
      <c r="GKU74" s="800"/>
      <c r="GKV74" s="800"/>
      <c r="GKW74" s="800"/>
      <c r="GKX74" s="705"/>
      <c r="GKY74" s="799"/>
      <c r="GKZ74" s="800"/>
      <c r="GLA74" s="800"/>
      <c r="GLB74" s="800"/>
      <c r="GLC74" s="800"/>
      <c r="GLD74" s="800"/>
      <c r="GLE74" s="705"/>
      <c r="GLF74" s="799"/>
      <c r="GLG74" s="800"/>
      <c r="GLH74" s="800"/>
      <c r="GLI74" s="800"/>
      <c r="GLJ74" s="800"/>
      <c r="GLK74" s="800"/>
      <c r="GLL74" s="705"/>
      <c r="GLM74" s="799"/>
      <c r="GLN74" s="800"/>
      <c r="GLO74" s="800"/>
      <c r="GLP74" s="800"/>
      <c r="GLQ74" s="800"/>
      <c r="GLR74" s="800"/>
      <c r="GLS74" s="705"/>
      <c r="GLT74" s="799"/>
      <c r="GLU74" s="800"/>
      <c r="GLV74" s="800"/>
      <c r="GLW74" s="800"/>
      <c r="GLX74" s="800"/>
      <c r="GLY74" s="800"/>
      <c r="GLZ74" s="705"/>
      <c r="GMA74" s="799"/>
      <c r="GMB74" s="800"/>
      <c r="GMC74" s="800"/>
      <c r="GMD74" s="800"/>
      <c r="GME74" s="800"/>
      <c r="GMF74" s="800"/>
      <c r="GMG74" s="705"/>
      <c r="GMH74" s="799"/>
      <c r="GMI74" s="800"/>
      <c r="GMJ74" s="800"/>
      <c r="GMK74" s="800"/>
      <c r="GML74" s="800"/>
      <c r="GMM74" s="800"/>
      <c r="GMN74" s="705"/>
      <c r="GMO74" s="799"/>
      <c r="GMP74" s="800"/>
      <c r="GMQ74" s="800"/>
      <c r="GMR74" s="800"/>
      <c r="GMS74" s="800"/>
      <c r="GMT74" s="800"/>
      <c r="GMU74" s="705"/>
      <c r="GMV74" s="799"/>
      <c r="GMW74" s="800"/>
      <c r="GMX74" s="800"/>
      <c r="GMY74" s="800"/>
      <c r="GMZ74" s="800"/>
      <c r="GNA74" s="800"/>
      <c r="GNB74" s="705"/>
      <c r="GNC74" s="799"/>
      <c r="GND74" s="800"/>
      <c r="GNE74" s="800"/>
      <c r="GNF74" s="800"/>
      <c r="GNG74" s="800"/>
      <c r="GNH74" s="800"/>
      <c r="GNI74" s="705"/>
      <c r="GNJ74" s="799"/>
      <c r="GNK74" s="800"/>
      <c r="GNL74" s="800"/>
      <c r="GNM74" s="800"/>
      <c r="GNN74" s="800"/>
      <c r="GNO74" s="800"/>
      <c r="GNP74" s="705"/>
      <c r="GNQ74" s="799"/>
      <c r="GNR74" s="800"/>
      <c r="GNS74" s="800"/>
      <c r="GNT74" s="800"/>
      <c r="GNU74" s="800"/>
      <c r="GNV74" s="800"/>
      <c r="GNW74" s="705"/>
      <c r="GNX74" s="799"/>
      <c r="GNY74" s="800"/>
      <c r="GNZ74" s="800"/>
      <c r="GOA74" s="800"/>
      <c r="GOB74" s="800"/>
      <c r="GOC74" s="800"/>
      <c r="GOD74" s="705"/>
      <c r="GOE74" s="799"/>
      <c r="GOF74" s="800"/>
      <c r="GOG74" s="800"/>
      <c r="GOH74" s="800"/>
      <c r="GOI74" s="800"/>
      <c r="GOJ74" s="800"/>
      <c r="GOK74" s="705"/>
      <c r="GOL74" s="799"/>
      <c r="GOM74" s="800"/>
      <c r="GON74" s="800"/>
      <c r="GOO74" s="800"/>
      <c r="GOP74" s="800"/>
      <c r="GOQ74" s="800"/>
      <c r="GOR74" s="705"/>
      <c r="GOS74" s="799"/>
      <c r="GOT74" s="800"/>
      <c r="GOU74" s="800"/>
      <c r="GOV74" s="800"/>
      <c r="GOW74" s="800"/>
      <c r="GOX74" s="800"/>
      <c r="GOY74" s="705"/>
      <c r="GOZ74" s="799"/>
      <c r="GPA74" s="800"/>
      <c r="GPB74" s="800"/>
      <c r="GPC74" s="800"/>
      <c r="GPD74" s="800"/>
      <c r="GPE74" s="800"/>
      <c r="GPF74" s="705"/>
      <c r="GPG74" s="799"/>
      <c r="GPH74" s="800"/>
      <c r="GPI74" s="800"/>
      <c r="GPJ74" s="800"/>
      <c r="GPK74" s="800"/>
      <c r="GPL74" s="800"/>
      <c r="GPM74" s="705"/>
      <c r="GPN74" s="799"/>
      <c r="GPO74" s="800"/>
      <c r="GPP74" s="800"/>
      <c r="GPQ74" s="800"/>
      <c r="GPR74" s="800"/>
      <c r="GPS74" s="800"/>
      <c r="GPT74" s="705"/>
      <c r="GPU74" s="799"/>
      <c r="GPV74" s="800"/>
      <c r="GPW74" s="800"/>
      <c r="GPX74" s="800"/>
      <c r="GPY74" s="800"/>
      <c r="GPZ74" s="800"/>
      <c r="GQA74" s="705"/>
      <c r="GQB74" s="799"/>
      <c r="GQC74" s="800"/>
      <c r="GQD74" s="800"/>
      <c r="GQE74" s="800"/>
      <c r="GQF74" s="800"/>
      <c r="GQG74" s="800"/>
      <c r="GQH74" s="705"/>
      <c r="GQI74" s="799"/>
      <c r="GQJ74" s="800"/>
      <c r="GQK74" s="800"/>
      <c r="GQL74" s="800"/>
      <c r="GQM74" s="800"/>
      <c r="GQN74" s="800"/>
      <c r="GQO74" s="705"/>
      <c r="GQP74" s="799"/>
      <c r="GQQ74" s="800"/>
      <c r="GQR74" s="800"/>
      <c r="GQS74" s="800"/>
      <c r="GQT74" s="800"/>
      <c r="GQU74" s="800"/>
      <c r="GQV74" s="705"/>
      <c r="GQW74" s="799"/>
      <c r="GQX74" s="800"/>
      <c r="GQY74" s="800"/>
      <c r="GQZ74" s="800"/>
      <c r="GRA74" s="800"/>
      <c r="GRB74" s="800"/>
      <c r="GRC74" s="705"/>
      <c r="GRD74" s="799"/>
      <c r="GRE74" s="800"/>
      <c r="GRF74" s="800"/>
      <c r="GRG74" s="800"/>
      <c r="GRH74" s="800"/>
      <c r="GRI74" s="800"/>
      <c r="GRJ74" s="705"/>
      <c r="GRK74" s="799"/>
      <c r="GRL74" s="800"/>
      <c r="GRM74" s="800"/>
      <c r="GRN74" s="800"/>
      <c r="GRO74" s="800"/>
      <c r="GRP74" s="800"/>
      <c r="GRQ74" s="705"/>
      <c r="GRR74" s="799"/>
      <c r="GRS74" s="800"/>
      <c r="GRT74" s="800"/>
      <c r="GRU74" s="800"/>
      <c r="GRV74" s="800"/>
      <c r="GRW74" s="800"/>
      <c r="GRX74" s="705"/>
      <c r="GRY74" s="799"/>
      <c r="GRZ74" s="800"/>
      <c r="GSA74" s="800"/>
      <c r="GSB74" s="800"/>
      <c r="GSC74" s="800"/>
      <c r="GSD74" s="800"/>
      <c r="GSE74" s="705"/>
      <c r="GSF74" s="799"/>
      <c r="GSG74" s="800"/>
      <c r="GSH74" s="800"/>
      <c r="GSI74" s="800"/>
      <c r="GSJ74" s="800"/>
      <c r="GSK74" s="800"/>
      <c r="GSL74" s="705"/>
      <c r="GSM74" s="799"/>
      <c r="GSN74" s="800"/>
      <c r="GSO74" s="800"/>
      <c r="GSP74" s="800"/>
      <c r="GSQ74" s="800"/>
      <c r="GSR74" s="800"/>
      <c r="GSS74" s="705"/>
      <c r="GST74" s="799"/>
      <c r="GSU74" s="800"/>
      <c r="GSV74" s="800"/>
      <c r="GSW74" s="800"/>
      <c r="GSX74" s="800"/>
      <c r="GSY74" s="800"/>
      <c r="GSZ74" s="705"/>
      <c r="GTA74" s="799"/>
      <c r="GTB74" s="800"/>
      <c r="GTC74" s="800"/>
      <c r="GTD74" s="800"/>
      <c r="GTE74" s="800"/>
      <c r="GTF74" s="800"/>
      <c r="GTG74" s="705"/>
      <c r="GTH74" s="799"/>
      <c r="GTI74" s="800"/>
      <c r="GTJ74" s="800"/>
      <c r="GTK74" s="800"/>
      <c r="GTL74" s="800"/>
      <c r="GTM74" s="800"/>
      <c r="GTN74" s="705"/>
      <c r="GTO74" s="799"/>
      <c r="GTP74" s="800"/>
      <c r="GTQ74" s="800"/>
      <c r="GTR74" s="800"/>
      <c r="GTS74" s="800"/>
      <c r="GTT74" s="800"/>
      <c r="GTU74" s="705"/>
      <c r="GTV74" s="799"/>
      <c r="GTW74" s="800"/>
      <c r="GTX74" s="800"/>
      <c r="GTY74" s="800"/>
      <c r="GTZ74" s="800"/>
      <c r="GUA74" s="800"/>
      <c r="GUB74" s="705"/>
      <c r="GUC74" s="799"/>
      <c r="GUD74" s="800"/>
      <c r="GUE74" s="800"/>
      <c r="GUF74" s="800"/>
      <c r="GUG74" s="800"/>
      <c r="GUH74" s="800"/>
      <c r="GUI74" s="705"/>
      <c r="GUJ74" s="799"/>
      <c r="GUK74" s="800"/>
      <c r="GUL74" s="800"/>
      <c r="GUM74" s="800"/>
      <c r="GUN74" s="800"/>
      <c r="GUO74" s="800"/>
      <c r="GUP74" s="705"/>
      <c r="GUQ74" s="799"/>
      <c r="GUR74" s="800"/>
      <c r="GUS74" s="800"/>
      <c r="GUT74" s="800"/>
      <c r="GUU74" s="800"/>
      <c r="GUV74" s="800"/>
      <c r="GUW74" s="705"/>
      <c r="GUX74" s="799"/>
      <c r="GUY74" s="800"/>
      <c r="GUZ74" s="800"/>
      <c r="GVA74" s="800"/>
      <c r="GVB74" s="800"/>
      <c r="GVC74" s="800"/>
      <c r="GVD74" s="705"/>
      <c r="GVE74" s="799"/>
      <c r="GVF74" s="800"/>
      <c r="GVG74" s="800"/>
      <c r="GVH74" s="800"/>
      <c r="GVI74" s="800"/>
      <c r="GVJ74" s="800"/>
      <c r="GVK74" s="705"/>
      <c r="GVL74" s="799"/>
      <c r="GVM74" s="800"/>
      <c r="GVN74" s="800"/>
      <c r="GVO74" s="800"/>
      <c r="GVP74" s="800"/>
      <c r="GVQ74" s="800"/>
      <c r="GVR74" s="705"/>
      <c r="GVS74" s="799"/>
      <c r="GVT74" s="800"/>
      <c r="GVU74" s="800"/>
      <c r="GVV74" s="800"/>
      <c r="GVW74" s="800"/>
      <c r="GVX74" s="800"/>
      <c r="GVY74" s="705"/>
      <c r="GVZ74" s="799"/>
      <c r="GWA74" s="800"/>
      <c r="GWB74" s="800"/>
      <c r="GWC74" s="800"/>
      <c r="GWD74" s="800"/>
      <c r="GWE74" s="800"/>
      <c r="GWF74" s="705"/>
      <c r="GWG74" s="799"/>
      <c r="GWH74" s="800"/>
      <c r="GWI74" s="800"/>
      <c r="GWJ74" s="800"/>
      <c r="GWK74" s="800"/>
      <c r="GWL74" s="800"/>
      <c r="GWM74" s="705"/>
      <c r="GWN74" s="799"/>
      <c r="GWO74" s="800"/>
      <c r="GWP74" s="800"/>
      <c r="GWQ74" s="800"/>
      <c r="GWR74" s="800"/>
      <c r="GWS74" s="800"/>
      <c r="GWT74" s="705"/>
      <c r="GWU74" s="799"/>
      <c r="GWV74" s="800"/>
      <c r="GWW74" s="800"/>
      <c r="GWX74" s="800"/>
      <c r="GWY74" s="800"/>
      <c r="GWZ74" s="800"/>
      <c r="GXA74" s="705"/>
      <c r="GXB74" s="799"/>
      <c r="GXC74" s="800"/>
      <c r="GXD74" s="800"/>
      <c r="GXE74" s="800"/>
      <c r="GXF74" s="800"/>
      <c r="GXG74" s="800"/>
      <c r="GXH74" s="705"/>
      <c r="GXI74" s="799"/>
      <c r="GXJ74" s="800"/>
      <c r="GXK74" s="800"/>
      <c r="GXL74" s="800"/>
      <c r="GXM74" s="800"/>
      <c r="GXN74" s="800"/>
      <c r="GXO74" s="705"/>
      <c r="GXP74" s="799"/>
      <c r="GXQ74" s="800"/>
      <c r="GXR74" s="800"/>
      <c r="GXS74" s="800"/>
      <c r="GXT74" s="800"/>
      <c r="GXU74" s="800"/>
      <c r="GXV74" s="705"/>
      <c r="GXW74" s="799"/>
      <c r="GXX74" s="800"/>
      <c r="GXY74" s="800"/>
      <c r="GXZ74" s="800"/>
      <c r="GYA74" s="800"/>
      <c r="GYB74" s="800"/>
      <c r="GYC74" s="705"/>
      <c r="GYD74" s="799"/>
      <c r="GYE74" s="800"/>
      <c r="GYF74" s="800"/>
      <c r="GYG74" s="800"/>
      <c r="GYH74" s="800"/>
      <c r="GYI74" s="800"/>
      <c r="GYJ74" s="705"/>
      <c r="GYK74" s="799"/>
      <c r="GYL74" s="800"/>
      <c r="GYM74" s="800"/>
      <c r="GYN74" s="800"/>
      <c r="GYO74" s="800"/>
      <c r="GYP74" s="800"/>
      <c r="GYQ74" s="705"/>
      <c r="GYR74" s="799"/>
      <c r="GYS74" s="800"/>
      <c r="GYT74" s="800"/>
      <c r="GYU74" s="800"/>
      <c r="GYV74" s="800"/>
      <c r="GYW74" s="800"/>
      <c r="GYX74" s="705"/>
      <c r="GYY74" s="799"/>
      <c r="GYZ74" s="800"/>
      <c r="GZA74" s="800"/>
      <c r="GZB74" s="800"/>
      <c r="GZC74" s="800"/>
      <c r="GZD74" s="800"/>
      <c r="GZE74" s="705"/>
      <c r="GZF74" s="799"/>
      <c r="GZG74" s="800"/>
      <c r="GZH74" s="800"/>
      <c r="GZI74" s="800"/>
      <c r="GZJ74" s="800"/>
      <c r="GZK74" s="800"/>
      <c r="GZL74" s="705"/>
      <c r="GZM74" s="799"/>
      <c r="GZN74" s="800"/>
      <c r="GZO74" s="800"/>
      <c r="GZP74" s="800"/>
      <c r="GZQ74" s="800"/>
      <c r="GZR74" s="800"/>
      <c r="GZS74" s="705"/>
      <c r="GZT74" s="799"/>
      <c r="GZU74" s="800"/>
      <c r="GZV74" s="800"/>
      <c r="GZW74" s="800"/>
      <c r="GZX74" s="800"/>
      <c r="GZY74" s="800"/>
      <c r="GZZ74" s="705"/>
      <c r="HAA74" s="799"/>
      <c r="HAB74" s="800"/>
      <c r="HAC74" s="800"/>
      <c r="HAD74" s="800"/>
      <c r="HAE74" s="800"/>
      <c r="HAF74" s="800"/>
      <c r="HAG74" s="705"/>
      <c r="HAH74" s="799"/>
      <c r="HAI74" s="800"/>
      <c r="HAJ74" s="800"/>
      <c r="HAK74" s="800"/>
      <c r="HAL74" s="800"/>
      <c r="HAM74" s="800"/>
      <c r="HAN74" s="705"/>
      <c r="HAO74" s="799"/>
      <c r="HAP74" s="800"/>
      <c r="HAQ74" s="800"/>
      <c r="HAR74" s="800"/>
      <c r="HAS74" s="800"/>
      <c r="HAT74" s="800"/>
      <c r="HAU74" s="705"/>
      <c r="HAV74" s="799"/>
      <c r="HAW74" s="800"/>
      <c r="HAX74" s="800"/>
      <c r="HAY74" s="800"/>
      <c r="HAZ74" s="800"/>
      <c r="HBA74" s="800"/>
      <c r="HBB74" s="705"/>
      <c r="HBC74" s="799"/>
      <c r="HBD74" s="800"/>
      <c r="HBE74" s="800"/>
      <c r="HBF74" s="800"/>
      <c r="HBG74" s="800"/>
      <c r="HBH74" s="800"/>
      <c r="HBI74" s="705"/>
      <c r="HBJ74" s="799"/>
      <c r="HBK74" s="800"/>
      <c r="HBL74" s="800"/>
      <c r="HBM74" s="800"/>
      <c r="HBN74" s="800"/>
      <c r="HBO74" s="800"/>
      <c r="HBP74" s="705"/>
      <c r="HBQ74" s="799"/>
      <c r="HBR74" s="800"/>
      <c r="HBS74" s="800"/>
      <c r="HBT74" s="800"/>
      <c r="HBU74" s="800"/>
      <c r="HBV74" s="800"/>
      <c r="HBW74" s="705"/>
      <c r="HBX74" s="799"/>
      <c r="HBY74" s="800"/>
      <c r="HBZ74" s="800"/>
      <c r="HCA74" s="800"/>
      <c r="HCB74" s="800"/>
      <c r="HCC74" s="800"/>
      <c r="HCD74" s="705"/>
      <c r="HCE74" s="799"/>
      <c r="HCF74" s="800"/>
      <c r="HCG74" s="800"/>
      <c r="HCH74" s="800"/>
      <c r="HCI74" s="800"/>
      <c r="HCJ74" s="800"/>
      <c r="HCK74" s="705"/>
      <c r="HCL74" s="799"/>
      <c r="HCM74" s="800"/>
      <c r="HCN74" s="800"/>
      <c r="HCO74" s="800"/>
      <c r="HCP74" s="800"/>
      <c r="HCQ74" s="800"/>
      <c r="HCR74" s="705"/>
      <c r="HCS74" s="799"/>
      <c r="HCT74" s="800"/>
      <c r="HCU74" s="800"/>
      <c r="HCV74" s="800"/>
      <c r="HCW74" s="800"/>
      <c r="HCX74" s="800"/>
      <c r="HCY74" s="705"/>
      <c r="HCZ74" s="799"/>
      <c r="HDA74" s="800"/>
      <c r="HDB74" s="800"/>
      <c r="HDC74" s="800"/>
      <c r="HDD74" s="800"/>
      <c r="HDE74" s="800"/>
      <c r="HDF74" s="705"/>
      <c r="HDG74" s="799"/>
      <c r="HDH74" s="800"/>
      <c r="HDI74" s="800"/>
      <c r="HDJ74" s="800"/>
      <c r="HDK74" s="800"/>
      <c r="HDL74" s="800"/>
      <c r="HDM74" s="705"/>
      <c r="HDN74" s="799"/>
      <c r="HDO74" s="800"/>
      <c r="HDP74" s="800"/>
      <c r="HDQ74" s="800"/>
      <c r="HDR74" s="800"/>
      <c r="HDS74" s="800"/>
      <c r="HDT74" s="705"/>
      <c r="HDU74" s="799"/>
      <c r="HDV74" s="800"/>
      <c r="HDW74" s="800"/>
      <c r="HDX74" s="800"/>
      <c r="HDY74" s="800"/>
      <c r="HDZ74" s="800"/>
      <c r="HEA74" s="705"/>
      <c r="HEB74" s="799"/>
      <c r="HEC74" s="800"/>
      <c r="HED74" s="800"/>
      <c r="HEE74" s="800"/>
      <c r="HEF74" s="800"/>
      <c r="HEG74" s="800"/>
      <c r="HEH74" s="705"/>
      <c r="HEI74" s="799"/>
      <c r="HEJ74" s="800"/>
      <c r="HEK74" s="800"/>
      <c r="HEL74" s="800"/>
      <c r="HEM74" s="800"/>
      <c r="HEN74" s="800"/>
      <c r="HEO74" s="705"/>
      <c r="HEP74" s="799"/>
      <c r="HEQ74" s="800"/>
      <c r="HER74" s="800"/>
      <c r="HES74" s="800"/>
      <c r="HET74" s="800"/>
      <c r="HEU74" s="800"/>
      <c r="HEV74" s="705"/>
      <c r="HEW74" s="799"/>
      <c r="HEX74" s="800"/>
      <c r="HEY74" s="800"/>
      <c r="HEZ74" s="800"/>
      <c r="HFA74" s="800"/>
      <c r="HFB74" s="800"/>
      <c r="HFC74" s="705"/>
      <c r="HFD74" s="799"/>
      <c r="HFE74" s="800"/>
      <c r="HFF74" s="800"/>
      <c r="HFG74" s="800"/>
      <c r="HFH74" s="800"/>
      <c r="HFI74" s="800"/>
      <c r="HFJ74" s="705"/>
      <c r="HFK74" s="799"/>
      <c r="HFL74" s="800"/>
      <c r="HFM74" s="800"/>
      <c r="HFN74" s="800"/>
      <c r="HFO74" s="800"/>
      <c r="HFP74" s="800"/>
      <c r="HFQ74" s="705"/>
      <c r="HFR74" s="799"/>
      <c r="HFS74" s="800"/>
      <c r="HFT74" s="800"/>
      <c r="HFU74" s="800"/>
      <c r="HFV74" s="800"/>
      <c r="HFW74" s="800"/>
      <c r="HFX74" s="705"/>
      <c r="HFY74" s="799"/>
      <c r="HFZ74" s="800"/>
      <c r="HGA74" s="800"/>
      <c r="HGB74" s="800"/>
      <c r="HGC74" s="800"/>
      <c r="HGD74" s="800"/>
      <c r="HGE74" s="705"/>
      <c r="HGF74" s="799"/>
      <c r="HGG74" s="800"/>
      <c r="HGH74" s="800"/>
      <c r="HGI74" s="800"/>
      <c r="HGJ74" s="800"/>
      <c r="HGK74" s="800"/>
      <c r="HGL74" s="705"/>
      <c r="HGM74" s="799"/>
      <c r="HGN74" s="800"/>
      <c r="HGO74" s="800"/>
      <c r="HGP74" s="800"/>
      <c r="HGQ74" s="800"/>
      <c r="HGR74" s="800"/>
      <c r="HGS74" s="705"/>
      <c r="HGT74" s="799"/>
      <c r="HGU74" s="800"/>
      <c r="HGV74" s="800"/>
      <c r="HGW74" s="800"/>
      <c r="HGX74" s="800"/>
      <c r="HGY74" s="800"/>
      <c r="HGZ74" s="705"/>
      <c r="HHA74" s="799"/>
      <c r="HHB74" s="800"/>
      <c r="HHC74" s="800"/>
      <c r="HHD74" s="800"/>
      <c r="HHE74" s="800"/>
      <c r="HHF74" s="800"/>
      <c r="HHG74" s="705"/>
      <c r="HHH74" s="799"/>
      <c r="HHI74" s="800"/>
      <c r="HHJ74" s="800"/>
      <c r="HHK74" s="800"/>
      <c r="HHL74" s="800"/>
      <c r="HHM74" s="800"/>
      <c r="HHN74" s="705"/>
      <c r="HHO74" s="799"/>
      <c r="HHP74" s="800"/>
      <c r="HHQ74" s="800"/>
      <c r="HHR74" s="800"/>
      <c r="HHS74" s="800"/>
      <c r="HHT74" s="800"/>
      <c r="HHU74" s="705"/>
      <c r="HHV74" s="799"/>
      <c r="HHW74" s="800"/>
      <c r="HHX74" s="800"/>
      <c r="HHY74" s="800"/>
      <c r="HHZ74" s="800"/>
      <c r="HIA74" s="800"/>
      <c r="HIB74" s="705"/>
      <c r="HIC74" s="799"/>
      <c r="HID74" s="800"/>
      <c r="HIE74" s="800"/>
      <c r="HIF74" s="800"/>
      <c r="HIG74" s="800"/>
      <c r="HIH74" s="800"/>
      <c r="HII74" s="705"/>
      <c r="HIJ74" s="799"/>
      <c r="HIK74" s="800"/>
      <c r="HIL74" s="800"/>
      <c r="HIM74" s="800"/>
      <c r="HIN74" s="800"/>
      <c r="HIO74" s="800"/>
      <c r="HIP74" s="705"/>
      <c r="HIQ74" s="799"/>
      <c r="HIR74" s="800"/>
      <c r="HIS74" s="800"/>
      <c r="HIT74" s="800"/>
      <c r="HIU74" s="800"/>
      <c r="HIV74" s="800"/>
      <c r="HIW74" s="705"/>
      <c r="HIX74" s="799"/>
      <c r="HIY74" s="800"/>
      <c r="HIZ74" s="800"/>
      <c r="HJA74" s="800"/>
      <c r="HJB74" s="800"/>
      <c r="HJC74" s="800"/>
      <c r="HJD74" s="705"/>
      <c r="HJE74" s="799"/>
      <c r="HJF74" s="800"/>
      <c r="HJG74" s="800"/>
      <c r="HJH74" s="800"/>
      <c r="HJI74" s="800"/>
      <c r="HJJ74" s="800"/>
      <c r="HJK74" s="705"/>
      <c r="HJL74" s="799"/>
      <c r="HJM74" s="800"/>
      <c r="HJN74" s="800"/>
      <c r="HJO74" s="800"/>
      <c r="HJP74" s="800"/>
      <c r="HJQ74" s="800"/>
      <c r="HJR74" s="705"/>
      <c r="HJS74" s="799"/>
      <c r="HJT74" s="800"/>
      <c r="HJU74" s="800"/>
      <c r="HJV74" s="800"/>
      <c r="HJW74" s="800"/>
      <c r="HJX74" s="800"/>
      <c r="HJY74" s="705"/>
      <c r="HJZ74" s="799"/>
      <c r="HKA74" s="800"/>
      <c r="HKB74" s="800"/>
      <c r="HKC74" s="800"/>
      <c r="HKD74" s="800"/>
      <c r="HKE74" s="800"/>
      <c r="HKF74" s="705"/>
      <c r="HKG74" s="799"/>
      <c r="HKH74" s="800"/>
      <c r="HKI74" s="800"/>
      <c r="HKJ74" s="800"/>
      <c r="HKK74" s="800"/>
      <c r="HKL74" s="800"/>
      <c r="HKM74" s="705"/>
      <c r="HKN74" s="799"/>
      <c r="HKO74" s="800"/>
      <c r="HKP74" s="800"/>
      <c r="HKQ74" s="800"/>
      <c r="HKR74" s="800"/>
      <c r="HKS74" s="800"/>
      <c r="HKT74" s="705"/>
      <c r="HKU74" s="799"/>
      <c r="HKV74" s="800"/>
      <c r="HKW74" s="800"/>
      <c r="HKX74" s="800"/>
      <c r="HKY74" s="800"/>
      <c r="HKZ74" s="800"/>
      <c r="HLA74" s="705"/>
      <c r="HLB74" s="799"/>
      <c r="HLC74" s="800"/>
      <c r="HLD74" s="800"/>
      <c r="HLE74" s="800"/>
      <c r="HLF74" s="800"/>
      <c r="HLG74" s="800"/>
      <c r="HLH74" s="705"/>
      <c r="HLI74" s="799"/>
      <c r="HLJ74" s="800"/>
      <c r="HLK74" s="800"/>
      <c r="HLL74" s="800"/>
      <c r="HLM74" s="800"/>
      <c r="HLN74" s="800"/>
      <c r="HLO74" s="705"/>
      <c r="HLP74" s="799"/>
      <c r="HLQ74" s="800"/>
      <c r="HLR74" s="800"/>
      <c r="HLS74" s="800"/>
      <c r="HLT74" s="800"/>
      <c r="HLU74" s="800"/>
      <c r="HLV74" s="705"/>
      <c r="HLW74" s="799"/>
      <c r="HLX74" s="800"/>
      <c r="HLY74" s="800"/>
      <c r="HLZ74" s="800"/>
      <c r="HMA74" s="800"/>
      <c r="HMB74" s="800"/>
      <c r="HMC74" s="705"/>
      <c r="HMD74" s="799"/>
      <c r="HME74" s="800"/>
      <c r="HMF74" s="800"/>
      <c r="HMG74" s="800"/>
      <c r="HMH74" s="800"/>
      <c r="HMI74" s="800"/>
      <c r="HMJ74" s="705"/>
      <c r="HMK74" s="799"/>
      <c r="HML74" s="800"/>
      <c r="HMM74" s="800"/>
      <c r="HMN74" s="800"/>
      <c r="HMO74" s="800"/>
      <c r="HMP74" s="800"/>
      <c r="HMQ74" s="705"/>
      <c r="HMR74" s="799"/>
      <c r="HMS74" s="800"/>
      <c r="HMT74" s="800"/>
      <c r="HMU74" s="800"/>
      <c r="HMV74" s="800"/>
      <c r="HMW74" s="800"/>
      <c r="HMX74" s="705"/>
      <c r="HMY74" s="799"/>
      <c r="HMZ74" s="800"/>
      <c r="HNA74" s="800"/>
      <c r="HNB74" s="800"/>
      <c r="HNC74" s="800"/>
      <c r="HND74" s="800"/>
      <c r="HNE74" s="705"/>
      <c r="HNF74" s="799"/>
      <c r="HNG74" s="800"/>
      <c r="HNH74" s="800"/>
      <c r="HNI74" s="800"/>
      <c r="HNJ74" s="800"/>
      <c r="HNK74" s="800"/>
      <c r="HNL74" s="705"/>
      <c r="HNM74" s="799"/>
      <c r="HNN74" s="800"/>
      <c r="HNO74" s="800"/>
      <c r="HNP74" s="800"/>
      <c r="HNQ74" s="800"/>
      <c r="HNR74" s="800"/>
      <c r="HNS74" s="705"/>
      <c r="HNT74" s="799"/>
      <c r="HNU74" s="800"/>
      <c r="HNV74" s="800"/>
      <c r="HNW74" s="800"/>
      <c r="HNX74" s="800"/>
      <c r="HNY74" s="800"/>
      <c r="HNZ74" s="705"/>
      <c r="HOA74" s="799"/>
      <c r="HOB74" s="800"/>
      <c r="HOC74" s="800"/>
      <c r="HOD74" s="800"/>
      <c r="HOE74" s="800"/>
      <c r="HOF74" s="800"/>
      <c r="HOG74" s="705"/>
      <c r="HOH74" s="799"/>
      <c r="HOI74" s="800"/>
      <c r="HOJ74" s="800"/>
      <c r="HOK74" s="800"/>
      <c r="HOL74" s="800"/>
      <c r="HOM74" s="800"/>
      <c r="HON74" s="705"/>
      <c r="HOO74" s="799"/>
      <c r="HOP74" s="800"/>
      <c r="HOQ74" s="800"/>
      <c r="HOR74" s="800"/>
      <c r="HOS74" s="800"/>
      <c r="HOT74" s="800"/>
      <c r="HOU74" s="705"/>
      <c r="HOV74" s="799"/>
      <c r="HOW74" s="800"/>
      <c r="HOX74" s="800"/>
      <c r="HOY74" s="800"/>
      <c r="HOZ74" s="800"/>
      <c r="HPA74" s="800"/>
      <c r="HPB74" s="705"/>
      <c r="HPC74" s="799"/>
      <c r="HPD74" s="800"/>
      <c r="HPE74" s="800"/>
      <c r="HPF74" s="800"/>
      <c r="HPG74" s="800"/>
      <c r="HPH74" s="800"/>
      <c r="HPI74" s="705"/>
      <c r="HPJ74" s="799"/>
      <c r="HPK74" s="800"/>
      <c r="HPL74" s="800"/>
      <c r="HPM74" s="800"/>
      <c r="HPN74" s="800"/>
      <c r="HPO74" s="800"/>
      <c r="HPP74" s="705"/>
      <c r="HPQ74" s="799"/>
      <c r="HPR74" s="800"/>
      <c r="HPS74" s="800"/>
      <c r="HPT74" s="800"/>
      <c r="HPU74" s="800"/>
      <c r="HPV74" s="800"/>
      <c r="HPW74" s="705"/>
      <c r="HPX74" s="799"/>
      <c r="HPY74" s="800"/>
      <c r="HPZ74" s="800"/>
      <c r="HQA74" s="800"/>
      <c r="HQB74" s="800"/>
      <c r="HQC74" s="800"/>
      <c r="HQD74" s="705"/>
      <c r="HQE74" s="799"/>
      <c r="HQF74" s="800"/>
      <c r="HQG74" s="800"/>
      <c r="HQH74" s="800"/>
      <c r="HQI74" s="800"/>
      <c r="HQJ74" s="800"/>
      <c r="HQK74" s="705"/>
      <c r="HQL74" s="799"/>
      <c r="HQM74" s="800"/>
      <c r="HQN74" s="800"/>
      <c r="HQO74" s="800"/>
      <c r="HQP74" s="800"/>
      <c r="HQQ74" s="800"/>
      <c r="HQR74" s="705"/>
      <c r="HQS74" s="799"/>
      <c r="HQT74" s="800"/>
      <c r="HQU74" s="800"/>
      <c r="HQV74" s="800"/>
      <c r="HQW74" s="800"/>
      <c r="HQX74" s="800"/>
      <c r="HQY74" s="705"/>
      <c r="HQZ74" s="799"/>
      <c r="HRA74" s="800"/>
      <c r="HRB74" s="800"/>
      <c r="HRC74" s="800"/>
      <c r="HRD74" s="800"/>
      <c r="HRE74" s="800"/>
      <c r="HRF74" s="705"/>
      <c r="HRG74" s="799"/>
      <c r="HRH74" s="800"/>
      <c r="HRI74" s="800"/>
      <c r="HRJ74" s="800"/>
      <c r="HRK74" s="800"/>
      <c r="HRL74" s="800"/>
      <c r="HRM74" s="705"/>
      <c r="HRN74" s="799"/>
      <c r="HRO74" s="800"/>
      <c r="HRP74" s="800"/>
      <c r="HRQ74" s="800"/>
      <c r="HRR74" s="800"/>
      <c r="HRS74" s="800"/>
      <c r="HRT74" s="705"/>
      <c r="HRU74" s="799"/>
      <c r="HRV74" s="800"/>
      <c r="HRW74" s="800"/>
      <c r="HRX74" s="800"/>
      <c r="HRY74" s="800"/>
      <c r="HRZ74" s="800"/>
      <c r="HSA74" s="705"/>
      <c r="HSB74" s="799"/>
      <c r="HSC74" s="800"/>
      <c r="HSD74" s="800"/>
      <c r="HSE74" s="800"/>
      <c r="HSF74" s="800"/>
      <c r="HSG74" s="800"/>
      <c r="HSH74" s="705"/>
      <c r="HSI74" s="799"/>
      <c r="HSJ74" s="800"/>
      <c r="HSK74" s="800"/>
      <c r="HSL74" s="800"/>
      <c r="HSM74" s="800"/>
      <c r="HSN74" s="800"/>
      <c r="HSO74" s="705"/>
      <c r="HSP74" s="799"/>
      <c r="HSQ74" s="800"/>
      <c r="HSR74" s="800"/>
      <c r="HSS74" s="800"/>
      <c r="HST74" s="800"/>
      <c r="HSU74" s="800"/>
      <c r="HSV74" s="705"/>
      <c r="HSW74" s="799"/>
      <c r="HSX74" s="800"/>
      <c r="HSY74" s="800"/>
      <c r="HSZ74" s="800"/>
      <c r="HTA74" s="800"/>
      <c r="HTB74" s="800"/>
      <c r="HTC74" s="705"/>
      <c r="HTD74" s="799"/>
      <c r="HTE74" s="800"/>
      <c r="HTF74" s="800"/>
      <c r="HTG74" s="800"/>
      <c r="HTH74" s="800"/>
      <c r="HTI74" s="800"/>
      <c r="HTJ74" s="705"/>
      <c r="HTK74" s="799"/>
      <c r="HTL74" s="800"/>
      <c r="HTM74" s="800"/>
      <c r="HTN74" s="800"/>
      <c r="HTO74" s="800"/>
      <c r="HTP74" s="800"/>
      <c r="HTQ74" s="705"/>
      <c r="HTR74" s="799"/>
      <c r="HTS74" s="800"/>
      <c r="HTT74" s="800"/>
      <c r="HTU74" s="800"/>
      <c r="HTV74" s="800"/>
      <c r="HTW74" s="800"/>
      <c r="HTX74" s="705"/>
      <c r="HTY74" s="799"/>
      <c r="HTZ74" s="800"/>
      <c r="HUA74" s="800"/>
      <c r="HUB74" s="800"/>
      <c r="HUC74" s="800"/>
      <c r="HUD74" s="800"/>
      <c r="HUE74" s="705"/>
      <c r="HUF74" s="799"/>
      <c r="HUG74" s="800"/>
      <c r="HUH74" s="800"/>
      <c r="HUI74" s="800"/>
      <c r="HUJ74" s="800"/>
      <c r="HUK74" s="800"/>
      <c r="HUL74" s="705"/>
      <c r="HUM74" s="799"/>
      <c r="HUN74" s="800"/>
      <c r="HUO74" s="800"/>
      <c r="HUP74" s="800"/>
      <c r="HUQ74" s="800"/>
      <c r="HUR74" s="800"/>
      <c r="HUS74" s="705"/>
      <c r="HUT74" s="799"/>
      <c r="HUU74" s="800"/>
      <c r="HUV74" s="800"/>
      <c r="HUW74" s="800"/>
      <c r="HUX74" s="800"/>
      <c r="HUY74" s="800"/>
      <c r="HUZ74" s="705"/>
      <c r="HVA74" s="799"/>
      <c r="HVB74" s="800"/>
      <c r="HVC74" s="800"/>
      <c r="HVD74" s="800"/>
      <c r="HVE74" s="800"/>
      <c r="HVF74" s="800"/>
      <c r="HVG74" s="705"/>
      <c r="HVH74" s="799"/>
      <c r="HVI74" s="800"/>
      <c r="HVJ74" s="800"/>
      <c r="HVK74" s="800"/>
      <c r="HVL74" s="800"/>
      <c r="HVM74" s="800"/>
      <c r="HVN74" s="705"/>
      <c r="HVO74" s="799"/>
      <c r="HVP74" s="800"/>
      <c r="HVQ74" s="800"/>
      <c r="HVR74" s="800"/>
      <c r="HVS74" s="800"/>
      <c r="HVT74" s="800"/>
      <c r="HVU74" s="705"/>
      <c r="HVV74" s="799"/>
      <c r="HVW74" s="800"/>
      <c r="HVX74" s="800"/>
      <c r="HVY74" s="800"/>
      <c r="HVZ74" s="800"/>
      <c r="HWA74" s="800"/>
      <c r="HWB74" s="705"/>
      <c r="HWC74" s="799"/>
      <c r="HWD74" s="800"/>
      <c r="HWE74" s="800"/>
      <c r="HWF74" s="800"/>
      <c r="HWG74" s="800"/>
      <c r="HWH74" s="800"/>
      <c r="HWI74" s="705"/>
      <c r="HWJ74" s="799"/>
      <c r="HWK74" s="800"/>
      <c r="HWL74" s="800"/>
      <c r="HWM74" s="800"/>
      <c r="HWN74" s="800"/>
      <c r="HWO74" s="800"/>
      <c r="HWP74" s="705"/>
      <c r="HWQ74" s="799"/>
      <c r="HWR74" s="800"/>
      <c r="HWS74" s="800"/>
      <c r="HWT74" s="800"/>
      <c r="HWU74" s="800"/>
      <c r="HWV74" s="800"/>
      <c r="HWW74" s="705"/>
      <c r="HWX74" s="799"/>
      <c r="HWY74" s="800"/>
      <c r="HWZ74" s="800"/>
      <c r="HXA74" s="800"/>
      <c r="HXB74" s="800"/>
      <c r="HXC74" s="800"/>
      <c r="HXD74" s="705"/>
      <c r="HXE74" s="799"/>
      <c r="HXF74" s="800"/>
      <c r="HXG74" s="800"/>
      <c r="HXH74" s="800"/>
      <c r="HXI74" s="800"/>
      <c r="HXJ74" s="800"/>
      <c r="HXK74" s="705"/>
      <c r="HXL74" s="799"/>
      <c r="HXM74" s="800"/>
      <c r="HXN74" s="800"/>
      <c r="HXO74" s="800"/>
      <c r="HXP74" s="800"/>
      <c r="HXQ74" s="800"/>
      <c r="HXR74" s="705"/>
      <c r="HXS74" s="799"/>
      <c r="HXT74" s="800"/>
      <c r="HXU74" s="800"/>
      <c r="HXV74" s="800"/>
      <c r="HXW74" s="800"/>
      <c r="HXX74" s="800"/>
      <c r="HXY74" s="705"/>
      <c r="HXZ74" s="799"/>
      <c r="HYA74" s="800"/>
      <c r="HYB74" s="800"/>
      <c r="HYC74" s="800"/>
      <c r="HYD74" s="800"/>
      <c r="HYE74" s="800"/>
      <c r="HYF74" s="705"/>
      <c r="HYG74" s="799"/>
      <c r="HYH74" s="800"/>
      <c r="HYI74" s="800"/>
      <c r="HYJ74" s="800"/>
      <c r="HYK74" s="800"/>
      <c r="HYL74" s="800"/>
      <c r="HYM74" s="705"/>
      <c r="HYN74" s="799"/>
      <c r="HYO74" s="800"/>
      <c r="HYP74" s="800"/>
      <c r="HYQ74" s="800"/>
      <c r="HYR74" s="800"/>
      <c r="HYS74" s="800"/>
      <c r="HYT74" s="705"/>
      <c r="HYU74" s="799"/>
      <c r="HYV74" s="800"/>
      <c r="HYW74" s="800"/>
      <c r="HYX74" s="800"/>
      <c r="HYY74" s="800"/>
      <c r="HYZ74" s="800"/>
      <c r="HZA74" s="705"/>
      <c r="HZB74" s="799"/>
      <c r="HZC74" s="800"/>
      <c r="HZD74" s="800"/>
      <c r="HZE74" s="800"/>
      <c r="HZF74" s="800"/>
      <c r="HZG74" s="800"/>
      <c r="HZH74" s="705"/>
      <c r="HZI74" s="799"/>
      <c r="HZJ74" s="800"/>
      <c r="HZK74" s="800"/>
      <c r="HZL74" s="800"/>
      <c r="HZM74" s="800"/>
      <c r="HZN74" s="800"/>
      <c r="HZO74" s="705"/>
      <c r="HZP74" s="799"/>
      <c r="HZQ74" s="800"/>
      <c r="HZR74" s="800"/>
      <c r="HZS74" s="800"/>
      <c r="HZT74" s="800"/>
      <c r="HZU74" s="800"/>
      <c r="HZV74" s="705"/>
      <c r="HZW74" s="799"/>
      <c r="HZX74" s="800"/>
      <c r="HZY74" s="800"/>
      <c r="HZZ74" s="800"/>
      <c r="IAA74" s="800"/>
      <c r="IAB74" s="800"/>
      <c r="IAC74" s="705"/>
      <c r="IAD74" s="799"/>
      <c r="IAE74" s="800"/>
      <c r="IAF74" s="800"/>
      <c r="IAG74" s="800"/>
      <c r="IAH74" s="800"/>
      <c r="IAI74" s="800"/>
      <c r="IAJ74" s="705"/>
      <c r="IAK74" s="799"/>
      <c r="IAL74" s="800"/>
      <c r="IAM74" s="800"/>
      <c r="IAN74" s="800"/>
      <c r="IAO74" s="800"/>
      <c r="IAP74" s="800"/>
      <c r="IAQ74" s="705"/>
      <c r="IAR74" s="799"/>
      <c r="IAS74" s="800"/>
      <c r="IAT74" s="800"/>
      <c r="IAU74" s="800"/>
      <c r="IAV74" s="800"/>
      <c r="IAW74" s="800"/>
      <c r="IAX74" s="705"/>
      <c r="IAY74" s="799"/>
      <c r="IAZ74" s="800"/>
      <c r="IBA74" s="800"/>
      <c r="IBB74" s="800"/>
      <c r="IBC74" s="800"/>
      <c r="IBD74" s="800"/>
      <c r="IBE74" s="705"/>
      <c r="IBF74" s="799"/>
      <c r="IBG74" s="800"/>
      <c r="IBH74" s="800"/>
      <c r="IBI74" s="800"/>
      <c r="IBJ74" s="800"/>
      <c r="IBK74" s="800"/>
      <c r="IBL74" s="705"/>
      <c r="IBM74" s="799"/>
      <c r="IBN74" s="800"/>
      <c r="IBO74" s="800"/>
      <c r="IBP74" s="800"/>
      <c r="IBQ74" s="800"/>
      <c r="IBR74" s="800"/>
      <c r="IBS74" s="705"/>
      <c r="IBT74" s="799"/>
      <c r="IBU74" s="800"/>
      <c r="IBV74" s="800"/>
      <c r="IBW74" s="800"/>
      <c r="IBX74" s="800"/>
      <c r="IBY74" s="800"/>
      <c r="IBZ74" s="705"/>
      <c r="ICA74" s="799"/>
      <c r="ICB74" s="800"/>
      <c r="ICC74" s="800"/>
      <c r="ICD74" s="800"/>
      <c r="ICE74" s="800"/>
      <c r="ICF74" s="800"/>
      <c r="ICG74" s="705"/>
      <c r="ICH74" s="799"/>
      <c r="ICI74" s="800"/>
      <c r="ICJ74" s="800"/>
      <c r="ICK74" s="800"/>
      <c r="ICL74" s="800"/>
      <c r="ICM74" s="800"/>
      <c r="ICN74" s="705"/>
      <c r="ICO74" s="799"/>
      <c r="ICP74" s="800"/>
      <c r="ICQ74" s="800"/>
      <c r="ICR74" s="800"/>
      <c r="ICS74" s="800"/>
      <c r="ICT74" s="800"/>
      <c r="ICU74" s="705"/>
      <c r="ICV74" s="799"/>
      <c r="ICW74" s="800"/>
      <c r="ICX74" s="800"/>
      <c r="ICY74" s="800"/>
      <c r="ICZ74" s="800"/>
      <c r="IDA74" s="800"/>
      <c r="IDB74" s="705"/>
      <c r="IDC74" s="799"/>
      <c r="IDD74" s="800"/>
      <c r="IDE74" s="800"/>
      <c r="IDF74" s="800"/>
      <c r="IDG74" s="800"/>
      <c r="IDH74" s="800"/>
      <c r="IDI74" s="705"/>
      <c r="IDJ74" s="799"/>
      <c r="IDK74" s="800"/>
      <c r="IDL74" s="800"/>
      <c r="IDM74" s="800"/>
      <c r="IDN74" s="800"/>
      <c r="IDO74" s="800"/>
      <c r="IDP74" s="705"/>
      <c r="IDQ74" s="799"/>
      <c r="IDR74" s="800"/>
      <c r="IDS74" s="800"/>
      <c r="IDT74" s="800"/>
      <c r="IDU74" s="800"/>
      <c r="IDV74" s="800"/>
      <c r="IDW74" s="705"/>
      <c r="IDX74" s="799"/>
      <c r="IDY74" s="800"/>
      <c r="IDZ74" s="800"/>
      <c r="IEA74" s="800"/>
      <c r="IEB74" s="800"/>
      <c r="IEC74" s="800"/>
      <c r="IED74" s="705"/>
      <c r="IEE74" s="799"/>
      <c r="IEF74" s="800"/>
      <c r="IEG74" s="800"/>
      <c r="IEH74" s="800"/>
      <c r="IEI74" s="800"/>
      <c r="IEJ74" s="800"/>
      <c r="IEK74" s="705"/>
      <c r="IEL74" s="799"/>
      <c r="IEM74" s="800"/>
      <c r="IEN74" s="800"/>
      <c r="IEO74" s="800"/>
      <c r="IEP74" s="800"/>
      <c r="IEQ74" s="800"/>
      <c r="IER74" s="705"/>
      <c r="IES74" s="799"/>
      <c r="IET74" s="800"/>
      <c r="IEU74" s="800"/>
      <c r="IEV74" s="800"/>
      <c r="IEW74" s="800"/>
      <c r="IEX74" s="800"/>
      <c r="IEY74" s="705"/>
      <c r="IEZ74" s="799"/>
      <c r="IFA74" s="800"/>
      <c r="IFB74" s="800"/>
      <c r="IFC74" s="800"/>
      <c r="IFD74" s="800"/>
      <c r="IFE74" s="800"/>
      <c r="IFF74" s="705"/>
      <c r="IFG74" s="799"/>
      <c r="IFH74" s="800"/>
      <c r="IFI74" s="800"/>
      <c r="IFJ74" s="800"/>
      <c r="IFK74" s="800"/>
      <c r="IFL74" s="800"/>
      <c r="IFM74" s="705"/>
      <c r="IFN74" s="799"/>
      <c r="IFO74" s="800"/>
      <c r="IFP74" s="800"/>
      <c r="IFQ74" s="800"/>
      <c r="IFR74" s="800"/>
      <c r="IFS74" s="800"/>
      <c r="IFT74" s="705"/>
      <c r="IFU74" s="799"/>
      <c r="IFV74" s="800"/>
      <c r="IFW74" s="800"/>
      <c r="IFX74" s="800"/>
      <c r="IFY74" s="800"/>
      <c r="IFZ74" s="800"/>
      <c r="IGA74" s="705"/>
      <c r="IGB74" s="799"/>
      <c r="IGC74" s="800"/>
      <c r="IGD74" s="800"/>
      <c r="IGE74" s="800"/>
      <c r="IGF74" s="800"/>
      <c r="IGG74" s="800"/>
      <c r="IGH74" s="705"/>
      <c r="IGI74" s="799"/>
      <c r="IGJ74" s="800"/>
      <c r="IGK74" s="800"/>
      <c r="IGL74" s="800"/>
      <c r="IGM74" s="800"/>
      <c r="IGN74" s="800"/>
      <c r="IGO74" s="705"/>
      <c r="IGP74" s="799"/>
      <c r="IGQ74" s="800"/>
      <c r="IGR74" s="800"/>
      <c r="IGS74" s="800"/>
      <c r="IGT74" s="800"/>
      <c r="IGU74" s="800"/>
      <c r="IGV74" s="705"/>
      <c r="IGW74" s="799"/>
      <c r="IGX74" s="800"/>
      <c r="IGY74" s="800"/>
      <c r="IGZ74" s="800"/>
      <c r="IHA74" s="800"/>
      <c r="IHB74" s="800"/>
      <c r="IHC74" s="705"/>
      <c r="IHD74" s="799"/>
      <c r="IHE74" s="800"/>
      <c r="IHF74" s="800"/>
      <c r="IHG74" s="800"/>
      <c r="IHH74" s="800"/>
      <c r="IHI74" s="800"/>
      <c r="IHJ74" s="705"/>
      <c r="IHK74" s="799"/>
      <c r="IHL74" s="800"/>
      <c r="IHM74" s="800"/>
      <c r="IHN74" s="800"/>
      <c r="IHO74" s="800"/>
      <c r="IHP74" s="800"/>
      <c r="IHQ74" s="705"/>
      <c r="IHR74" s="799"/>
      <c r="IHS74" s="800"/>
      <c r="IHT74" s="800"/>
      <c r="IHU74" s="800"/>
      <c r="IHV74" s="800"/>
      <c r="IHW74" s="800"/>
      <c r="IHX74" s="705"/>
      <c r="IHY74" s="799"/>
      <c r="IHZ74" s="800"/>
      <c r="IIA74" s="800"/>
      <c r="IIB74" s="800"/>
      <c r="IIC74" s="800"/>
      <c r="IID74" s="800"/>
      <c r="IIE74" s="705"/>
      <c r="IIF74" s="799"/>
      <c r="IIG74" s="800"/>
      <c r="IIH74" s="800"/>
      <c r="III74" s="800"/>
      <c r="IIJ74" s="800"/>
      <c r="IIK74" s="800"/>
      <c r="IIL74" s="705"/>
      <c r="IIM74" s="799"/>
      <c r="IIN74" s="800"/>
      <c r="IIO74" s="800"/>
      <c r="IIP74" s="800"/>
      <c r="IIQ74" s="800"/>
      <c r="IIR74" s="800"/>
      <c r="IIS74" s="705"/>
      <c r="IIT74" s="799"/>
      <c r="IIU74" s="800"/>
      <c r="IIV74" s="800"/>
      <c r="IIW74" s="800"/>
      <c r="IIX74" s="800"/>
      <c r="IIY74" s="800"/>
      <c r="IIZ74" s="705"/>
      <c r="IJA74" s="799"/>
      <c r="IJB74" s="800"/>
      <c r="IJC74" s="800"/>
      <c r="IJD74" s="800"/>
      <c r="IJE74" s="800"/>
      <c r="IJF74" s="800"/>
      <c r="IJG74" s="705"/>
      <c r="IJH74" s="799"/>
      <c r="IJI74" s="800"/>
      <c r="IJJ74" s="800"/>
      <c r="IJK74" s="800"/>
      <c r="IJL74" s="800"/>
      <c r="IJM74" s="800"/>
      <c r="IJN74" s="705"/>
      <c r="IJO74" s="799"/>
      <c r="IJP74" s="800"/>
      <c r="IJQ74" s="800"/>
      <c r="IJR74" s="800"/>
      <c r="IJS74" s="800"/>
      <c r="IJT74" s="800"/>
      <c r="IJU74" s="705"/>
      <c r="IJV74" s="799"/>
      <c r="IJW74" s="800"/>
      <c r="IJX74" s="800"/>
      <c r="IJY74" s="800"/>
      <c r="IJZ74" s="800"/>
      <c r="IKA74" s="800"/>
      <c r="IKB74" s="705"/>
      <c r="IKC74" s="799"/>
      <c r="IKD74" s="800"/>
      <c r="IKE74" s="800"/>
      <c r="IKF74" s="800"/>
      <c r="IKG74" s="800"/>
      <c r="IKH74" s="800"/>
      <c r="IKI74" s="705"/>
      <c r="IKJ74" s="799"/>
      <c r="IKK74" s="800"/>
      <c r="IKL74" s="800"/>
      <c r="IKM74" s="800"/>
      <c r="IKN74" s="800"/>
      <c r="IKO74" s="800"/>
      <c r="IKP74" s="705"/>
      <c r="IKQ74" s="799"/>
      <c r="IKR74" s="800"/>
      <c r="IKS74" s="800"/>
      <c r="IKT74" s="800"/>
      <c r="IKU74" s="800"/>
      <c r="IKV74" s="800"/>
      <c r="IKW74" s="705"/>
      <c r="IKX74" s="799"/>
      <c r="IKY74" s="800"/>
      <c r="IKZ74" s="800"/>
      <c r="ILA74" s="800"/>
      <c r="ILB74" s="800"/>
      <c r="ILC74" s="800"/>
      <c r="ILD74" s="705"/>
      <c r="ILE74" s="799"/>
      <c r="ILF74" s="800"/>
      <c r="ILG74" s="800"/>
      <c r="ILH74" s="800"/>
      <c r="ILI74" s="800"/>
      <c r="ILJ74" s="800"/>
      <c r="ILK74" s="705"/>
      <c r="ILL74" s="799"/>
      <c r="ILM74" s="800"/>
      <c r="ILN74" s="800"/>
      <c r="ILO74" s="800"/>
      <c r="ILP74" s="800"/>
      <c r="ILQ74" s="800"/>
      <c r="ILR74" s="705"/>
      <c r="ILS74" s="799"/>
      <c r="ILT74" s="800"/>
      <c r="ILU74" s="800"/>
      <c r="ILV74" s="800"/>
      <c r="ILW74" s="800"/>
      <c r="ILX74" s="800"/>
      <c r="ILY74" s="705"/>
      <c r="ILZ74" s="799"/>
      <c r="IMA74" s="800"/>
      <c r="IMB74" s="800"/>
      <c r="IMC74" s="800"/>
      <c r="IMD74" s="800"/>
      <c r="IME74" s="800"/>
      <c r="IMF74" s="705"/>
      <c r="IMG74" s="799"/>
      <c r="IMH74" s="800"/>
      <c r="IMI74" s="800"/>
      <c r="IMJ74" s="800"/>
      <c r="IMK74" s="800"/>
      <c r="IML74" s="800"/>
      <c r="IMM74" s="705"/>
      <c r="IMN74" s="799"/>
      <c r="IMO74" s="800"/>
      <c r="IMP74" s="800"/>
      <c r="IMQ74" s="800"/>
      <c r="IMR74" s="800"/>
      <c r="IMS74" s="800"/>
      <c r="IMT74" s="705"/>
      <c r="IMU74" s="799"/>
      <c r="IMV74" s="800"/>
      <c r="IMW74" s="800"/>
      <c r="IMX74" s="800"/>
      <c r="IMY74" s="800"/>
      <c r="IMZ74" s="800"/>
      <c r="INA74" s="705"/>
      <c r="INB74" s="799"/>
      <c r="INC74" s="800"/>
      <c r="IND74" s="800"/>
      <c r="INE74" s="800"/>
      <c r="INF74" s="800"/>
      <c r="ING74" s="800"/>
      <c r="INH74" s="705"/>
      <c r="INI74" s="799"/>
      <c r="INJ74" s="800"/>
      <c r="INK74" s="800"/>
      <c r="INL74" s="800"/>
      <c r="INM74" s="800"/>
      <c r="INN74" s="800"/>
      <c r="INO74" s="705"/>
      <c r="INP74" s="799"/>
      <c r="INQ74" s="800"/>
      <c r="INR74" s="800"/>
      <c r="INS74" s="800"/>
      <c r="INT74" s="800"/>
      <c r="INU74" s="800"/>
      <c r="INV74" s="705"/>
      <c r="INW74" s="799"/>
      <c r="INX74" s="800"/>
      <c r="INY74" s="800"/>
      <c r="INZ74" s="800"/>
      <c r="IOA74" s="800"/>
      <c r="IOB74" s="800"/>
      <c r="IOC74" s="705"/>
      <c r="IOD74" s="799"/>
      <c r="IOE74" s="800"/>
      <c r="IOF74" s="800"/>
      <c r="IOG74" s="800"/>
      <c r="IOH74" s="800"/>
      <c r="IOI74" s="800"/>
      <c r="IOJ74" s="705"/>
      <c r="IOK74" s="799"/>
      <c r="IOL74" s="800"/>
      <c r="IOM74" s="800"/>
      <c r="ION74" s="800"/>
      <c r="IOO74" s="800"/>
      <c r="IOP74" s="800"/>
      <c r="IOQ74" s="705"/>
      <c r="IOR74" s="799"/>
      <c r="IOS74" s="800"/>
      <c r="IOT74" s="800"/>
      <c r="IOU74" s="800"/>
      <c r="IOV74" s="800"/>
      <c r="IOW74" s="800"/>
      <c r="IOX74" s="705"/>
      <c r="IOY74" s="799"/>
      <c r="IOZ74" s="800"/>
      <c r="IPA74" s="800"/>
      <c r="IPB74" s="800"/>
      <c r="IPC74" s="800"/>
      <c r="IPD74" s="800"/>
      <c r="IPE74" s="705"/>
      <c r="IPF74" s="799"/>
      <c r="IPG74" s="800"/>
      <c r="IPH74" s="800"/>
      <c r="IPI74" s="800"/>
      <c r="IPJ74" s="800"/>
      <c r="IPK74" s="800"/>
      <c r="IPL74" s="705"/>
      <c r="IPM74" s="799"/>
      <c r="IPN74" s="800"/>
      <c r="IPO74" s="800"/>
      <c r="IPP74" s="800"/>
      <c r="IPQ74" s="800"/>
      <c r="IPR74" s="800"/>
      <c r="IPS74" s="705"/>
      <c r="IPT74" s="799"/>
      <c r="IPU74" s="800"/>
      <c r="IPV74" s="800"/>
      <c r="IPW74" s="800"/>
      <c r="IPX74" s="800"/>
      <c r="IPY74" s="800"/>
      <c r="IPZ74" s="705"/>
      <c r="IQA74" s="799"/>
      <c r="IQB74" s="800"/>
      <c r="IQC74" s="800"/>
      <c r="IQD74" s="800"/>
      <c r="IQE74" s="800"/>
      <c r="IQF74" s="800"/>
      <c r="IQG74" s="705"/>
      <c r="IQH74" s="799"/>
      <c r="IQI74" s="800"/>
      <c r="IQJ74" s="800"/>
      <c r="IQK74" s="800"/>
      <c r="IQL74" s="800"/>
      <c r="IQM74" s="800"/>
      <c r="IQN74" s="705"/>
      <c r="IQO74" s="799"/>
      <c r="IQP74" s="800"/>
      <c r="IQQ74" s="800"/>
      <c r="IQR74" s="800"/>
      <c r="IQS74" s="800"/>
      <c r="IQT74" s="800"/>
      <c r="IQU74" s="705"/>
      <c r="IQV74" s="799"/>
      <c r="IQW74" s="800"/>
      <c r="IQX74" s="800"/>
      <c r="IQY74" s="800"/>
      <c r="IQZ74" s="800"/>
      <c r="IRA74" s="800"/>
      <c r="IRB74" s="705"/>
      <c r="IRC74" s="799"/>
      <c r="IRD74" s="800"/>
      <c r="IRE74" s="800"/>
      <c r="IRF74" s="800"/>
      <c r="IRG74" s="800"/>
      <c r="IRH74" s="800"/>
      <c r="IRI74" s="705"/>
      <c r="IRJ74" s="799"/>
      <c r="IRK74" s="800"/>
      <c r="IRL74" s="800"/>
      <c r="IRM74" s="800"/>
      <c r="IRN74" s="800"/>
      <c r="IRO74" s="800"/>
      <c r="IRP74" s="705"/>
      <c r="IRQ74" s="799"/>
      <c r="IRR74" s="800"/>
      <c r="IRS74" s="800"/>
      <c r="IRT74" s="800"/>
      <c r="IRU74" s="800"/>
      <c r="IRV74" s="800"/>
      <c r="IRW74" s="705"/>
      <c r="IRX74" s="799"/>
      <c r="IRY74" s="800"/>
      <c r="IRZ74" s="800"/>
      <c r="ISA74" s="800"/>
      <c r="ISB74" s="800"/>
      <c r="ISC74" s="800"/>
      <c r="ISD74" s="705"/>
      <c r="ISE74" s="799"/>
      <c r="ISF74" s="800"/>
      <c r="ISG74" s="800"/>
      <c r="ISH74" s="800"/>
      <c r="ISI74" s="800"/>
      <c r="ISJ74" s="800"/>
      <c r="ISK74" s="705"/>
      <c r="ISL74" s="799"/>
      <c r="ISM74" s="800"/>
      <c r="ISN74" s="800"/>
      <c r="ISO74" s="800"/>
      <c r="ISP74" s="800"/>
      <c r="ISQ74" s="800"/>
      <c r="ISR74" s="705"/>
      <c r="ISS74" s="799"/>
      <c r="IST74" s="800"/>
      <c r="ISU74" s="800"/>
      <c r="ISV74" s="800"/>
      <c r="ISW74" s="800"/>
      <c r="ISX74" s="800"/>
      <c r="ISY74" s="705"/>
      <c r="ISZ74" s="799"/>
      <c r="ITA74" s="800"/>
      <c r="ITB74" s="800"/>
      <c r="ITC74" s="800"/>
      <c r="ITD74" s="800"/>
      <c r="ITE74" s="800"/>
      <c r="ITF74" s="705"/>
      <c r="ITG74" s="799"/>
      <c r="ITH74" s="800"/>
      <c r="ITI74" s="800"/>
      <c r="ITJ74" s="800"/>
      <c r="ITK74" s="800"/>
      <c r="ITL74" s="800"/>
      <c r="ITM74" s="705"/>
      <c r="ITN74" s="799"/>
      <c r="ITO74" s="800"/>
      <c r="ITP74" s="800"/>
      <c r="ITQ74" s="800"/>
      <c r="ITR74" s="800"/>
      <c r="ITS74" s="800"/>
      <c r="ITT74" s="705"/>
      <c r="ITU74" s="799"/>
      <c r="ITV74" s="800"/>
      <c r="ITW74" s="800"/>
      <c r="ITX74" s="800"/>
      <c r="ITY74" s="800"/>
      <c r="ITZ74" s="800"/>
      <c r="IUA74" s="705"/>
      <c r="IUB74" s="799"/>
      <c r="IUC74" s="800"/>
      <c r="IUD74" s="800"/>
      <c r="IUE74" s="800"/>
      <c r="IUF74" s="800"/>
      <c r="IUG74" s="800"/>
      <c r="IUH74" s="705"/>
      <c r="IUI74" s="799"/>
      <c r="IUJ74" s="800"/>
      <c r="IUK74" s="800"/>
      <c r="IUL74" s="800"/>
      <c r="IUM74" s="800"/>
      <c r="IUN74" s="800"/>
      <c r="IUO74" s="705"/>
      <c r="IUP74" s="799"/>
      <c r="IUQ74" s="800"/>
      <c r="IUR74" s="800"/>
      <c r="IUS74" s="800"/>
      <c r="IUT74" s="800"/>
      <c r="IUU74" s="800"/>
      <c r="IUV74" s="705"/>
      <c r="IUW74" s="799"/>
      <c r="IUX74" s="800"/>
      <c r="IUY74" s="800"/>
      <c r="IUZ74" s="800"/>
      <c r="IVA74" s="800"/>
      <c r="IVB74" s="800"/>
      <c r="IVC74" s="705"/>
      <c r="IVD74" s="799"/>
      <c r="IVE74" s="800"/>
      <c r="IVF74" s="800"/>
      <c r="IVG74" s="800"/>
      <c r="IVH74" s="800"/>
      <c r="IVI74" s="800"/>
      <c r="IVJ74" s="705"/>
      <c r="IVK74" s="799"/>
      <c r="IVL74" s="800"/>
      <c r="IVM74" s="800"/>
      <c r="IVN74" s="800"/>
      <c r="IVO74" s="800"/>
      <c r="IVP74" s="800"/>
      <c r="IVQ74" s="705"/>
      <c r="IVR74" s="799"/>
      <c r="IVS74" s="800"/>
      <c r="IVT74" s="800"/>
      <c r="IVU74" s="800"/>
      <c r="IVV74" s="800"/>
      <c r="IVW74" s="800"/>
      <c r="IVX74" s="705"/>
      <c r="IVY74" s="799"/>
      <c r="IVZ74" s="800"/>
      <c r="IWA74" s="800"/>
      <c r="IWB74" s="800"/>
      <c r="IWC74" s="800"/>
      <c r="IWD74" s="800"/>
      <c r="IWE74" s="705"/>
      <c r="IWF74" s="799"/>
      <c r="IWG74" s="800"/>
      <c r="IWH74" s="800"/>
      <c r="IWI74" s="800"/>
      <c r="IWJ74" s="800"/>
      <c r="IWK74" s="800"/>
      <c r="IWL74" s="705"/>
      <c r="IWM74" s="799"/>
      <c r="IWN74" s="800"/>
      <c r="IWO74" s="800"/>
      <c r="IWP74" s="800"/>
      <c r="IWQ74" s="800"/>
      <c r="IWR74" s="800"/>
      <c r="IWS74" s="705"/>
      <c r="IWT74" s="799"/>
      <c r="IWU74" s="800"/>
      <c r="IWV74" s="800"/>
      <c r="IWW74" s="800"/>
      <c r="IWX74" s="800"/>
      <c r="IWY74" s="800"/>
      <c r="IWZ74" s="705"/>
      <c r="IXA74" s="799"/>
      <c r="IXB74" s="800"/>
      <c r="IXC74" s="800"/>
      <c r="IXD74" s="800"/>
      <c r="IXE74" s="800"/>
      <c r="IXF74" s="800"/>
      <c r="IXG74" s="705"/>
      <c r="IXH74" s="799"/>
      <c r="IXI74" s="800"/>
      <c r="IXJ74" s="800"/>
      <c r="IXK74" s="800"/>
      <c r="IXL74" s="800"/>
      <c r="IXM74" s="800"/>
      <c r="IXN74" s="705"/>
      <c r="IXO74" s="799"/>
      <c r="IXP74" s="800"/>
      <c r="IXQ74" s="800"/>
      <c r="IXR74" s="800"/>
      <c r="IXS74" s="800"/>
      <c r="IXT74" s="800"/>
      <c r="IXU74" s="705"/>
      <c r="IXV74" s="799"/>
      <c r="IXW74" s="800"/>
      <c r="IXX74" s="800"/>
      <c r="IXY74" s="800"/>
      <c r="IXZ74" s="800"/>
      <c r="IYA74" s="800"/>
      <c r="IYB74" s="705"/>
      <c r="IYC74" s="799"/>
      <c r="IYD74" s="800"/>
      <c r="IYE74" s="800"/>
      <c r="IYF74" s="800"/>
      <c r="IYG74" s="800"/>
      <c r="IYH74" s="800"/>
      <c r="IYI74" s="705"/>
      <c r="IYJ74" s="799"/>
      <c r="IYK74" s="800"/>
      <c r="IYL74" s="800"/>
      <c r="IYM74" s="800"/>
      <c r="IYN74" s="800"/>
      <c r="IYO74" s="800"/>
      <c r="IYP74" s="705"/>
      <c r="IYQ74" s="799"/>
      <c r="IYR74" s="800"/>
      <c r="IYS74" s="800"/>
      <c r="IYT74" s="800"/>
      <c r="IYU74" s="800"/>
      <c r="IYV74" s="800"/>
      <c r="IYW74" s="705"/>
      <c r="IYX74" s="799"/>
      <c r="IYY74" s="800"/>
      <c r="IYZ74" s="800"/>
      <c r="IZA74" s="800"/>
      <c r="IZB74" s="800"/>
      <c r="IZC74" s="800"/>
      <c r="IZD74" s="705"/>
      <c r="IZE74" s="799"/>
      <c r="IZF74" s="800"/>
      <c r="IZG74" s="800"/>
      <c r="IZH74" s="800"/>
      <c r="IZI74" s="800"/>
      <c r="IZJ74" s="800"/>
      <c r="IZK74" s="705"/>
      <c r="IZL74" s="799"/>
      <c r="IZM74" s="800"/>
      <c r="IZN74" s="800"/>
      <c r="IZO74" s="800"/>
      <c r="IZP74" s="800"/>
      <c r="IZQ74" s="800"/>
      <c r="IZR74" s="705"/>
      <c r="IZS74" s="799"/>
      <c r="IZT74" s="800"/>
      <c r="IZU74" s="800"/>
      <c r="IZV74" s="800"/>
      <c r="IZW74" s="800"/>
      <c r="IZX74" s="800"/>
      <c r="IZY74" s="705"/>
      <c r="IZZ74" s="799"/>
      <c r="JAA74" s="800"/>
      <c r="JAB74" s="800"/>
      <c r="JAC74" s="800"/>
      <c r="JAD74" s="800"/>
      <c r="JAE74" s="800"/>
      <c r="JAF74" s="705"/>
      <c r="JAG74" s="799"/>
      <c r="JAH74" s="800"/>
      <c r="JAI74" s="800"/>
      <c r="JAJ74" s="800"/>
      <c r="JAK74" s="800"/>
      <c r="JAL74" s="800"/>
      <c r="JAM74" s="705"/>
      <c r="JAN74" s="799"/>
      <c r="JAO74" s="800"/>
      <c r="JAP74" s="800"/>
      <c r="JAQ74" s="800"/>
      <c r="JAR74" s="800"/>
      <c r="JAS74" s="800"/>
      <c r="JAT74" s="705"/>
      <c r="JAU74" s="799"/>
      <c r="JAV74" s="800"/>
      <c r="JAW74" s="800"/>
      <c r="JAX74" s="800"/>
      <c r="JAY74" s="800"/>
      <c r="JAZ74" s="800"/>
      <c r="JBA74" s="705"/>
      <c r="JBB74" s="799"/>
      <c r="JBC74" s="800"/>
      <c r="JBD74" s="800"/>
      <c r="JBE74" s="800"/>
      <c r="JBF74" s="800"/>
      <c r="JBG74" s="800"/>
      <c r="JBH74" s="705"/>
      <c r="JBI74" s="799"/>
      <c r="JBJ74" s="800"/>
      <c r="JBK74" s="800"/>
      <c r="JBL74" s="800"/>
      <c r="JBM74" s="800"/>
      <c r="JBN74" s="800"/>
      <c r="JBO74" s="705"/>
      <c r="JBP74" s="799"/>
      <c r="JBQ74" s="800"/>
      <c r="JBR74" s="800"/>
      <c r="JBS74" s="800"/>
      <c r="JBT74" s="800"/>
      <c r="JBU74" s="800"/>
      <c r="JBV74" s="705"/>
      <c r="JBW74" s="799"/>
      <c r="JBX74" s="800"/>
      <c r="JBY74" s="800"/>
      <c r="JBZ74" s="800"/>
      <c r="JCA74" s="800"/>
      <c r="JCB74" s="800"/>
      <c r="JCC74" s="705"/>
      <c r="JCD74" s="799"/>
      <c r="JCE74" s="800"/>
      <c r="JCF74" s="800"/>
      <c r="JCG74" s="800"/>
      <c r="JCH74" s="800"/>
      <c r="JCI74" s="800"/>
      <c r="JCJ74" s="705"/>
      <c r="JCK74" s="799"/>
      <c r="JCL74" s="800"/>
      <c r="JCM74" s="800"/>
      <c r="JCN74" s="800"/>
      <c r="JCO74" s="800"/>
      <c r="JCP74" s="800"/>
      <c r="JCQ74" s="705"/>
      <c r="JCR74" s="799"/>
      <c r="JCS74" s="800"/>
      <c r="JCT74" s="800"/>
      <c r="JCU74" s="800"/>
      <c r="JCV74" s="800"/>
      <c r="JCW74" s="800"/>
      <c r="JCX74" s="705"/>
      <c r="JCY74" s="799"/>
      <c r="JCZ74" s="800"/>
      <c r="JDA74" s="800"/>
      <c r="JDB74" s="800"/>
      <c r="JDC74" s="800"/>
      <c r="JDD74" s="800"/>
      <c r="JDE74" s="705"/>
      <c r="JDF74" s="799"/>
      <c r="JDG74" s="800"/>
      <c r="JDH74" s="800"/>
      <c r="JDI74" s="800"/>
      <c r="JDJ74" s="800"/>
      <c r="JDK74" s="800"/>
      <c r="JDL74" s="705"/>
      <c r="JDM74" s="799"/>
      <c r="JDN74" s="800"/>
      <c r="JDO74" s="800"/>
      <c r="JDP74" s="800"/>
      <c r="JDQ74" s="800"/>
      <c r="JDR74" s="800"/>
      <c r="JDS74" s="705"/>
      <c r="JDT74" s="799"/>
      <c r="JDU74" s="800"/>
      <c r="JDV74" s="800"/>
      <c r="JDW74" s="800"/>
      <c r="JDX74" s="800"/>
      <c r="JDY74" s="800"/>
      <c r="JDZ74" s="705"/>
      <c r="JEA74" s="799"/>
      <c r="JEB74" s="800"/>
      <c r="JEC74" s="800"/>
      <c r="JED74" s="800"/>
      <c r="JEE74" s="800"/>
      <c r="JEF74" s="800"/>
      <c r="JEG74" s="705"/>
      <c r="JEH74" s="799"/>
      <c r="JEI74" s="800"/>
      <c r="JEJ74" s="800"/>
      <c r="JEK74" s="800"/>
      <c r="JEL74" s="800"/>
      <c r="JEM74" s="800"/>
      <c r="JEN74" s="705"/>
      <c r="JEO74" s="799"/>
      <c r="JEP74" s="800"/>
      <c r="JEQ74" s="800"/>
      <c r="JER74" s="800"/>
      <c r="JES74" s="800"/>
      <c r="JET74" s="800"/>
      <c r="JEU74" s="705"/>
      <c r="JEV74" s="799"/>
      <c r="JEW74" s="800"/>
      <c r="JEX74" s="800"/>
      <c r="JEY74" s="800"/>
      <c r="JEZ74" s="800"/>
      <c r="JFA74" s="800"/>
      <c r="JFB74" s="705"/>
      <c r="JFC74" s="799"/>
      <c r="JFD74" s="800"/>
      <c r="JFE74" s="800"/>
      <c r="JFF74" s="800"/>
      <c r="JFG74" s="800"/>
      <c r="JFH74" s="800"/>
      <c r="JFI74" s="705"/>
      <c r="JFJ74" s="799"/>
      <c r="JFK74" s="800"/>
      <c r="JFL74" s="800"/>
      <c r="JFM74" s="800"/>
      <c r="JFN74" s="800"/>
      <c r="JFO74" s="800"/>
      <c r="JFP74" s="705"/>
      <c r="JFQ74" s="799"/>
      <c r="JFR74" s="800"/>
      <c r="JFS74" s="800"/>
      <c r="JFT74" s="800"/>
      <c r="JFU74" s="800"/>
      <c r="JFV74" s="800"/>
      <c r="JFW74" s="705"/>
      <c r="JFX74" s="799"/>
      <c r="JFY74" s="800"/>
      <c r="JFZ74" s="800"/>
      <c r="JGA74" s="800"/>
      <c r="JGB74" s="800"/>
      <c r="JGC74" s="800"/>
      <c r="JGD74" s="705"/>
      <c r="JGE74" s="799"/>
      <c r="JGF74" s="800"/>
      <c r="JGG74" s="800"/>
      <c r="JGH74" s="800"/>
      <c r="JGI74" s="800"/>
      <c r="JGJ74" s="800"/>
      <c r="JGK74" s="705"/>
      <c r="JGL74" s="799"/>
      <c r="JGM74" s="800"/>
      <c r="JGN74" s="800"/>
      <c r="JGO74" s="800"/>
      <c r="JGP74" s="800"/>
      <c r="JGQ74" s="800"/>
      <c r="JGR74" s="705"/>
      <c r="JGS74" s="799"/>
      <c r="JGT74" s="800"/>
      <c r="JGU74" s="800"/>
      <c r="JGV74" s="800"/>
      <c r="JGW74" s="800"/>
      <c r="JGX74" s="800"/>
      <c r="JGY74" s="705"/>
      <c r="JGZ74" s="799"/>
      <c r="JHA74" s="800"/>
      <c r="JHB74" s="800"/>
      <c r="JHC74" s="800"/>
      <c r="JHD74" s="800"/>
      <c r="JHE74" s="800"/>
      <c r="JHF74" s="705"/>
      <c r="JHG74" s="799"/>
      <c r="JHH74" s="800"/>
      <c r="JHI74" s="800"/>
      <c r="JHJ74" s="800"/>
      <c r="JHK74" s="800"/>
      <c r="JHL74" s="800"/>
      <c r="JHM74" s="705"/>
      <c r="JHN74" s="799"/>
      <c r="JHO74" s="800"/>
      <c r="JHP74" s="800"/>
      <c r="JHQ74" s="800"/>
      <c r="JHR74" s="800"/>
      <c r="JHS74" s="800"/>
      <c r="JHT74" s="705"/>
      <c r="JHU74" s="799"/>
      <c r="JHV74" s="800"/>
      <c r="JHW74" s="800"/>
      <c r="JHX74" s="800"/>
      <c r="JHY74" s="800"/>
      <c r="JHZ74" s="800"/>
      <c r="JIA74" s="705"/>
      <c r="JIB74" s="799"/>
      <c r="JIC74" s="800"/>
      <c r="JID74" s="800"/>
      <c r="JIE74" s="800"/>
      <c r="JIF74" s="800"/>
      <c r="JIG74" s="800"/>
      <c r="JIH74" s="705"/>
      <c r="JII74" s="799"/>
      <c r="JIJ74" s="800"/>
      <c r="JIK74" s="800"/>
      <c r="JIL74" s="800"/>
      <c r="JIM74" s="800"/>
      <c r="JIN74" s="800"/>
      <c r="JIO74" s="705"/>
      <c r="JIP74" s="799"/>
      <c r="JIQ74" s="800"/>
      <c r="JIR74" s="800"/>
      <c r="JIS74" s="800"/>
      <c r="JIT74" s="800"/>
      <c r="JIU74" s="800"/>
      <c r="JIV74" s="705"/>
      <c r="JIW74" s="799"/>
      <c r="JIX74" s="800"/>
      <c r="JIY74" s="800"/>
      <c r="JIZ74" s="800"/>
      <c r="JJA74" s="800"/>
      <c r="JJB74" s="800"/>
      <c r="JJC74" s="705"/>
      <c r="JJD74" s="799"/>
      <c r="JJE74" s="800"/>
      <c r="JJF74" s="800"/>
      <c r="JJG74" s="800"/>
      <c r="JJH74" s="800"/>
      <c r="JJI74" s="800"/>
      <c r="JJJ74" s="705"/>
      <c r="JJK74" s="799"/>
      <c r="JJL74" s="800"/>
      <c r="JJM74" s="800"/>
      <c r="JJN74" s="800"/>
      <c r="JJO74" s="800"/>
      <c r="JJP74" s="800"/>
      <c r="JJQ74" s="705"/>
      <c r="JJR74" s="799"/>
      <c r="JJS74" s="800"/>
      <c r="JJT74" s="800"/>
      <c r="JJU74" s="800"/>
      <c r="JJV74" s="800"/>
      <c r="JJW74" s="800"/>
      <c r="JJX74" s="705"/>
      <c r="JJY74" s="799"/>
      <c r="JJZ74" s="800"/>
      <c r="JKA74" s="800"/>
      <c r="JKB74" s="800"/>
      <c r="JKC74" s="800"/>
      <c r="JKD74" s="800"/>
      <c r="JKE74" s="705"/>
      <c r="JKF74" s="799"/>
      <c r="JKG74" s="800"/>
      <c r="JKH74" s="800"/>
      <c r="JKI74" s="800"/>
      <c r="JKJ74" s="800"/>
      <c r="JKK74" s="800"/>
      <c r="JKL74" s="705"/>
      <c r="JKM74" s="799"/>
      <c r="JKN74" s="800"/>
      <c r="JKO74" s="800"/>
      <c r="JKP74" s="800"/>
      <c r="JKQ74" s="800"/>
      <c r="JKR74" s="800"/>
      <c r="JKS74" s="705"/>
      <c r="JKT74" s="799"/>
      <c r="JKU74" s="800"/>
      <c r="JKV74" s="800"/>
      <c r="JKW74" s="800"/>
      <c r="JKX74" s="800"/>
      <c r="JKY74" s="800"/>
      <c r="JKZ74" s="705"/>
      <c r="JLA74" s="799"/>
      <c r="JLB74" s="800"/>
      <c r="JLC74" s="800"/>
      <c r="JLD74" s="800"/>
      <c r="JLE74" s="800"/>
      <c r="JLF74" s="800"/>
      <c r="JLG74" s="705"/>
      <c r="JLH74" s="799"/>
      <c r="JLI74" s="800"/>
      <c r="JLJ74" s="800"/>
      <c r="JLK74" s="800"/>
      <c r="JLL74" s="800"/>
      <c r="JLM74" s="800"/>
      <c r="JLN74" s="705"/>
      <c r="JLO74" s="799"/>
      <c r="JLP74" s="800"/>
      <c r="JLQ74" s="800"/>
      <c r="JLR74" s="800"/>
      <c r="JLS74" s="800"/>
      <c r="JLT74" s="800"/>
      <c r="JLU74" s="705"/>
      <c r="JLV74" s="799"/>
      <c r="JLW74" s="800"/>
      <c r="JLX74" s="800"/>
      <c r="JLY74" s="800"/>
      <c r="JLZ74" s="800"/>
      <c r="JMA74" s="800"/>
      <c r="JMB74" s="705"/>
      <c r="JMC74" s="799"/>
      <c r="JMD74" s="800"/>
      <c r="JME74" s="800"/>
      <c r="JMF74" s="800"/>
      <c r="JMG74" s="800"/>
      <c r="JMH74" s="800"/>
      <c r="JMI74" s="705"/>
      <c r="JMJ74" s="799"/>
      <c r="JMK74" s="800"/>
      <c r="JML74" s="800"/>
      <c r="JMM74" s="800"/>
      <c r="JMN74" s="800"/>
      <c r="JMO74" s="800"/>
      <c r="JMP74" s="705"/>
      <c r="JMQ74" s="799"/>
      <c r="JMR74" s="800"/>
      <c r="JMS74" s="800"/>
      <c r="JMT74" s="800"/>
      <c r="JMU74" s="800"/>
      <c r="JMV74" s="800"/>
      <c r="JMW74" s="705"/>
      <c r="JMX74" s="799"/>
      <c r="JMY74" s="800"/>
      <c r="JMZ74" s="800"/>
      <c r="JNA74" s="800"/>
      <c r="JNB74" s="800"/>
      <c r="JNC74" s="800"/>
      <c r="JND74" s="705"/>
      <c r="JNE74" s="799"/>
      <c r="JNF74" s="800"/>
      <c r="JNG74" s="800"/>
      <c r="JNH74" s="800"/>
      <c r="JNI74" s="800"/>
      <c r="JNJ74" s="800"/>
      <c r="JNK74" s="705"/>
      <c r="JNL74" s="799"/>
      <c r="JNM74" s="800"/>
      <c r="JNN74" s="800"/>
      <c r="JNO74" s="800"/>
      <c r="JNP74" s="800"/>
      <c r="JNQ74" s="800"/>
      <c r="JNR74" s="705"/>
      <c r="JNS74" s="799"/>
      <c r="JNT74" s="800"/>
      <c r="JNU74" s="800"/>
      <c r="JNV74" s="800"/>
      <c r="JNW74" s="800"/>
      <c r="JNX74" s="800"/>
      <c r="JNY74" s="705"/>
      <c r="JNZ74" s="799"/>
      <c r="JOA74" s="800"/>
      <c r="JOB74" s="800"/>
      <c r="JOC74" s="800"/>
      <c r="JOD74" s="800"/>
      <c r="JOE74" s="800"/>
      <c r="JOF74" s="705"/>
      <c r="JOG74" s="799"/>
      <c r="JOH74" s="800"/>
      <c r="JOI74" s="800"/>
      <c r="JOJ74" s="800"/>
      <c r="JOK74" s="800"/>
      <c r="JOL74" s="800"/>
      <c r="JOM74" s="705"/>
      <c r="JON74" s="799"/>
      <c r="JOO74" s="800"/>
      <c r="JOP74" s="800"/>
      <c r="JOQ74" s="800"/>
      <c r="JOR74" s="800"/>
      <c r="JOS74" s="800"/>
      <c r="JOT74" s="705"/>
      <c r="JOU74" s="799"/>
      <c r="JOV74" s="800"/>
      <c r="JOW74" s="800"/>
      <c r="JOX74" s="800"/>
      <c r="JOY74" s="800"/>
      <c r="JOZ74" s="800"/>
      <c r="JPA74" s="705"/>
      <c r="JPB74" s="799"/>
      <c r="JPC74" s="800"/>
      <c r="JPD74" s="800"/>
      <c r="JPE74" s="800"/>
      <c r="JPF74" s="800"/>
      <c r="JPG74" s="800"/>
      <c r="JPH74" s="705"/>
      <c r="JPI74" s="799"/>
      <c r="JPJ74" s="800"/>
      <c r="JPK74" s="800"/>
      <c r="JPL74" s="800"/>
      <c r="JPM74" s="800"/>
      <c r="JPN74" s="800"/>
      <c r="JPO74" s="705"/>
      <c r="JPP74" s="799"/>
      <c r="JPQ74" s="800"/>
      <c r="JPR74" s="800"/>
      <c r="JPS74" s="800"/>
      <c r="JPT74" s="800"/>
      <c r="JPU74" s="800"/>
      <c r="JPV74" s="705"/>
      <c r="JPW74" s="799"/>
      <c r="JPX74" s="800"/>
      <c r="JPY74" s="800"/>
      <c r="JPZ74" s="800"/>
      <c r="JQA74" s="800"/>
      <c r="JQB74" s="800"/>
      <c r="JQC74" s="705"/>
      <c r="JQD74" s="799"/>
      <c r="JQE74" s="800"/>
      <c r="JQF74" s="800"/>
      <c r="JQG74" s="800"/>
      <c r="JQH74" s="800"/>
      <c r="JQI74" s="800"/>
      <c r="JQJ74" s="705"/>
      <c r="JQK74" s="799"/>
      <c r="JQL74" s="800"/>
      <c r="JQM74" s="800"/>
      <c r="JQN74" s="800"/>
      <c r="JQO74" s="800"/>
      <c r="JQP74" s="800"/>
      <c r="JQQ74" s="705"/>
      <c r="JQR74" s="799"/>
      <c r="JQS74" s="800"/>
      <c r="JQT74" s="800"/>
      <c r="JQU74" s="800"/>
      <c r="JQV74" s="800"/>
      <c r="JQW74" s="800"/>
      <c r="JQX74" s="705"/>
      <c r="JQY74" s="799"/>
      <c r="JQZ74" s="800"/>
      <c r="JRA74" s="800"/>
      <c r="JRB74" s="800"/>
      <c r="JRC74" s="800"/>
      <c r="JRD74" s="800"/>
      <c r="JRE74" s="705"/>
      <c r="JRF74" s="799"/>
      <c r="JRG74" s="800"/>
      <c r="JRH74" s="800"/>
      <c r="JRI74" s="800"/>
      <c r="JRJ74" s="800"/>
      <c r="JRK74" s="800"/>
      <c r="JRL74" s="705"/>
      <c r="JRM74" s="799"/>
      <c r="JRN74" s="800"/>
      <c r="JRO74" s="800"/>
      <c r="JRP74" s="800"/>
      <c r="JRQ74" s="800"/>
      <c r="JRR74" s="800"/>
      <c r="JRS74" s="705"/>
      <c r="JRT74" s="799"/>
      <c r="JRU74" s="800"/>
      <c r="JRV74" s="800"/>
      <c r="JRW74" s="800"/>
      <c r="JRX74" s="800"/>
      <c r="JRY74" s="800"/>
      <c r="JRZ74" s="705"/>
      <c r="JSA74" s="799"/>
      <c r="JSB74" s="800"/>
      <c r="JSC74" s="800"/>
      <c r="JSD74" s="800"/>
      <c r="JSE74" s="800"/>
      <c r="JSF74" s="800"/>
      <c r="JSG74" s="705"/>
      <c r="JSH74" s="799"/>
      <c r="JSI74" s="800"/>
      <c r="JSJ74" s="800"/>
      <c r="JSK74" s="800"/>
      <c r="JSL74" s="800"/>
      <c r="JSM74" s="800"/>
      <c r="JSN74" s="705"/>
      <c r="JSO74" s="799"/>
      <c r="JSP74" s="800"/>
      <c r="JSQ74" s="800"/>
      <c r="JSR74" s="800"/>
      <c r="JSS74" s="800"/>
      <c r="JST74" s="800"/>
      <c r="JSU74" s="705"/>
      <c r="JSV74" s="799"/>
      <c r="JSW74" s="800"/>
      <c r="JSX74" s="800"/>
      <c r="JSY74" s="800"/>
      <c r="JSZ74" s="800"/>
      <c r="JTA74" s="800"/>
      <c r="JTB74" s="705"/>
      <c r="JTC74" s="799"/>
      <c r="JTD74" s="800"/>
      <c r="JTE74" s="800"/>
      <c r="JTF74" s="800"/>
      <c r="JTG74" s="800"/>
      <c r="JTH74" s="800"/>
      <c r="JTI74" s="705"/>
      <c r="JTJ74" s="799"/>
      <c r="JTK74" s="800"/>
      <c r="JTL74" s="800"/>
      <c r="JTM74" s="800"/>
      <c r="JTN74" s="800"/>
      <c r="JTO74" s="800"/>
      <c r="JTP74" s="705"/>
      <c r="JTQ74" s="799"/>
      <c r="JTR74" s="800"/>
      <c r="JTS74" s="800"/>
      <c r="JTT74" s="800"/>
      <c r="JTU74" s="800"/>
      <c r="JTV74" s="800"/>
      <c r="JTW74" s="705"/>
      <c r="JTX74" s="799"/>
      <c r="JTY74" s="800"/>
      <c r="JTZ74" s="800"/>
      <c r="JUA74" s="800"/>
      <c r="JUB74" s="800"/>
      <c r="JUC74" s="800"/>
      <c r="JUD74" s="705"/>
      <c r="JUE74" s="799"/>
      <c r="JUF74" s="800"/>
      <c r="JUG74" s="800"/>
      <c r="JUH74" s="800"/>
      <c r="JUI74" s="800"/>
      <c r="JUJ74" s="800"/>
      <c r="JUK74" s="705"/>
      <c r="JUL74" s="799"/>
      <c r="JUM74" s="800"/>
      <c r="JUN74" s="800"/>
      <c r="JUO74" s="800"/>
      <c r="JUP74" s="800"/>
      <c r="JUQ74" s="800"/>
      <c r="JUR74" s="705"/>
      <c r="JUS74" s="799"/>
      <c r="JUT74" s="800"/>
      <c r="JUU74" s="800"/>
      <c r="JUV74" s="800"/>
      <c r="JUW74" s="800"/>
      <c r="JUX74" s="800"/>
      <c r="JUY74" s="705"/>
      <c r="JUZ74" s="799"/>
      <c r="JVA74" s="800"/>
      <c r="JVB74" s="800"/>
      <c r="JVC74" s="800"/>
      <c r="JVD74" s="800"/>
      <c r="JVE74" s="800"/>
      <c r="JVF74" s="705"/>
      <c r="JVG74" s="799"/>
      <c r="JVH74" s="800"/>
      <c r="JVI74" s="800"/>
      <c r="JVJ74" s="800"/>
      <c r="JVK74" s="800"/>
      <c r="JVL74" s="800"/>
      <c r="JVM74" s="705"/>
      <c r="JVN74" s="799"/>
      <c r="JVO74" s="800"/>
      <c r="JVP74" s="800"/>
      <c r="JVQ74" s="800"/>
      <c r="JVR74" s="800"/>
      <c r="JVS74" s="800"/>
      <c r="JVT74" s="705"/>
      <c r="JVU74" s="799"/>
      <c r="JVV74" s="800"/>
      <c r="JVW74" s="800"/>
      <c r="JVX74" s="800"/>
      <c r="JVY74" s="800"/>
      <c r="JVZ74" s="800"/>
      <c r="JWA74" s="705"/>
      <c r="JWB74" s="799"/>
      <c r="JWC74" s="800"/>
      <c r="JWD74" s="800"/>
      <c r="JWE74" s="800"/>
      <c r="JWF74" s="800"/>
      <c r="JWG74" s="800"/>
      <c r="JWH74" s="705"/>
      <c r="JWI74" s="799"/>
      <c r="JWJ74" s="800"/>
      <c r="JWK74" s="800"/>
      <c r="JWL74" s="800"/>
      <c r="JWM74" s="800"/>
      <c r="JWN74" s="800"/>
      <c r="JWO74" s="705"/>
      <c r="JWP74" s="799"/>
      <c r="JWQ74" s="800"/>
      <c r="JWR74" s="800"/>
      <c r="JWS74" s="800"/>
      <c r="JWT74" s="800"/>
      <c r="JWU74" s="800"/>
      <c r="JWV74" s="705"/>
      <c r="JWW74" s="799"/>
      <c r="JWX74" s="800"/>
      <c r="JWY74" s="800"/>
      <c r="JWZ74" s="800"/>
      <c r="JXA74" s="800"/>
      <c r="JXB74" s="800"/>
      <c r="JXC74" s="705"/>
      <c r="JXD74" s="799"/>
      <c r="JXE74" s="800"/>
      <c r="JXF74" s="800"/>
      <c r="JXG74" s="800"/>
      <c r="JXH74" s="800"/>
      <c r="JXI74" s="800"/>
      <c r="JXJ74" s="705"/>
      <c r="JXK74" s="799"/>
      <c r="JXL74" s="800"/>
      <c r="JXM74" s="800"/>
      <c r="JXN74" s="800"/>
      <c r="JXO74" s="800"/>
      <c r="JXP74" s="800"/>
      <c r="JXQ74" s="705"/>
      <c r="JXR74" s="799"/>
      <c r="JXS74" s="800"/>
      <c r="JXT74" s="800"/>
      <c r="JXU74" s="800"/>
      <c r="JXV74" s="800"/>
      <c r="JXW74" s="800"/>
      <c r="JXX74" s="705"/>
      <c r="JXY74" s="799"/>
      <c r="JXZ74" s="800"/>
      <c r="JYA74" s="800"/>
      <c r="JYB74" s="800"/>
      <c r="JYC74" s="800"/>
      <c r="JYD74" s="800"/>
      <c r="JYE74" s="705"/>
      <c r="JYF74" s="799"/>
      <c r="JYG74" s="800"/>
      <c r="JYH74" s="800"/>
      <c r="JYI74" s="800"/>
      <c r="JYJ74" s="800"/>
      <c r="JYK74" s="800"/>
      <c r="JYL74" s="705"/>
      <c r="JYM74" s="799"/>
      <c r="JYN74" s="800"/>
      <c r="JYO74" s="800"/>
      <c r="JYP74" s="800"/>
      <c r="JYQ74" s="800"/>
      <c r="JYR74" s="800"/>
      <c r="JYS74" s="705"/>
      <c r="JYT74" s="799"/>
      <c r="JYU74" s="800"/>
      <c r="JYV74" s="800"/>
      <c r="JYW74" s="800"/>
      <c r="JYX74" s="800"/>
      <c r="JYY74" s="800"/>
      <c r="JYZ74" s="705"/>
      <c r="JZA74" s="799"/>
      <c r="JZB74" s="800"/>
      <c r="JZC74" s="800"/>
      <c r="JZD74" s="800"/>
      <c r="JZE74" s="800"/>
      <c r="JZF74" s="800"/>
      <c r="JZG74" s="705"/>
      <c r="JZH74" s="799"/>
      <c r="JZI74" s="800"/>
      <c r="JZJ74" s="800"/>
      <c r="JZK74" s="800"/>
      <c r="JZL74" s="800"/>
      <c r="JZM74" s="800"/>
      <c r="JZN74" s="705"/>
      <c r="JZO74" s="799"/>
      <c r="JZP74" s="800"/>
      <c r="JZQ74" s="800"/>
      <c r="JZR74" s="800"/>
      <c r="JZS74" s="800"/>
      <c r="JZT74" s="800"/>
      <c r="JZU74" s="705"/>
      <c r="JZV74" s="799"/>
      <c r="JZW74" s="800"/>
      <c r="JZX74" s="800"/>
      <c r="JZY74" s="800"/>
      <c r="JZZ74" s="800"/>
      <c r="KAA74" s="800"/>
      <c r="KAB74" s="705"/>
      <c r="KAC74" s="799"/>
      <c r="KAD74" s="800"/>
      <c r="KAE74" s="800"/>
      <c r="KAF74" s="800"/>
      <c r="KAG74" s="800"/>
      <c r="KAH74" s="800"/>
      <c r="KAI74" s="705"/>
      <c r="KAJ74" s="799"/>
      <c r="KAK74" s="800"/>
      <c r="KAL74" s="800"/>
      <c r="KAM74" s="800"/>
      <c r="KAN74" s="800"/>
      <c r="KAO74" s="800"/>
      <c r="KAP74" s="705"/>
      <c r="KAQ74" s="799"/>
      <c r="KAR74" s="800"/>
      <c r="KAS74" s="800"/>
      <c r="KAT74" s="800"/>
      <c r="KAU74" s="800"/>
      <c r="KAV74" s="800"/>
      <c r="KAW74" s="705"/>
      <c r="KAX74" s="799"/>
      <c r="KAY74" s="800"/>
      <c r="KAZ74" s="800"/>
      <c r="KBA74" s="800"/>
      <c r="KBB74" s="800"/>
      <c r="KBC74" s="800"/>
      <c r="KBD74" s="705"/>
      <c r="KBE74" s="799"/>
      <c r="KBF74" s="800"/>
      <c r="KBG74" s="800"/>
      <c r="KBH74" s="800"/>
      <c r="KBI74" s="800"/>
      <c r="KBJ74" s="800"/>
      <c r="KBK74" s="705"/>
      <c r="KBL74" s="799"/>
      <c r="KBM74" s="800"/>
      <c r="KBN74" s="800"/>
      <c r="KBO74" s="800"/>
      <c r="KBP74" s="800"/>
      <c r="KBQ74" s="800"/>
      <c r="KBR74" s="705"/>
      <c r="KBS74" s="799"/>
      <c r="KBT74" s="800"/>
      <c r="KBU74" s="800"/>
      <c r="KBV74" s="800"/>
      <c r="KBW74" s="800"/>
      <c r="KBX74" s="800"/>
      <c r="KBY74" s="705"/>
      <c r="KBZ74" s="799"/>
      <c r="KCA74" s="800"/>
      <c r="KCB74" s="800"/>
      <c r="KCC74" s="800"/>
      <c r="KCD74" s="800"/>
      <c r="KCE74" s="800"/>
      <c r="KCF74" s="705"/>
      <c r="KCG74" s="799"/>
      <c r="KCH74" s="800"/>
      <c r="KCI74" s="800"/>
      <c r="KCJ74" s="800"/>
      <c r="KCK74" s="800"/>
      <c r="KCL74" s="800"/>
      <c r="KCM74" s="705"/>
      <c r="KCN74" s="799"/>
      <c r="KCO74" s="800"/>
      <c r="KCP74" s="800"/>
      <c r="KCQ74" s="800"/>
      <c r="KCR74" s="800"/>
      <c r="KCS74" s="800"/>
      <c r="KCT74" s="705"/>
      <c r="KCU74" s="799"/>
      <c r="KCV74" s="800"/>
      <c r="KCW74" s="800"/>
      <c r="KCX74" s="800"/>
      <c r="KCY74" s="800"/>
      <c r="KCZ74" s="800"/>
      <c r="KDA74" s="705"/>
      <c r="KDB74" s="799"/>
      <c r="KDC74" s="800"/>
      <c r="KDD74" s="800"/>
      <c r="KDE74" s="800"/>
      <c r="KDF74" s="800"/>
      <c r="KDG74" s="800"/>
      <c r="KDH74" s="705"/>
      <c r="KDI74" s="799"/>
      <c r="KDJ74" s="800"/>
      <c r="KDK74" s="800"/>
      <c r="KDL74" s="800"/>
      <c r="KDM74" s="800"/>
      <c r="KDN74" s="800"/>
      <c r="KDO74" s="705"/>
      <c r="KDP74" s="799"/>
      <c r="KDQ74" s="800"/>
      <c r="KDR74" s="800"/>
      <c r="KDS74" s="800"/>
      <c r="KDT74" s="800"/>
      <c r="KDU74" s="800"/>
      <c r="KDV74" s="705"/>
      <c r="KDW74" s="799"/>
      <c r="KDX74" s="800"/>
      <c r="KDY74" s="800"/>
      <c r="KDZ74" s="800"/>
      <c r="KEA74" s="800"/>
      <c r="KEB74" s="800"/>
      <c r="KEC74" s="705"/>
      <c r="KED74" s="799"/>
      <c r="KEE74" s="800"/>
      <c r="KEF74" s="800"/>
      <c r="KEG74" s="800"/>
      <c r="KEH74" s="800"/>
      <c r="KEI74" s="800"/>
      <c r="KEJ74" s="705"/>
      <c r="KEK74" s="799"/>
      <c r="KEL74" s="800"/>
      <c r="KEM74" s="800"/>
      <c r="KEN74" s="800"/>
      <c r="KEO74" s="800"/>
      <c r="KEP74" s="800"/>
      <c r="KEQ74" s="705"/>
      <c r="KER74" s="799"/>
      <c r="KES74" s="800"/>
      <c r="KET74" s="800"/>
      <c r="KEU74" s="800"/>
      <c r="KEV74" s="800"/>
      <c r="KEW74" s="800"/>
      <c r="KEX74" s="705"/>
      <c r="KEY74" s="799"/>
      <c r="KEZ74" s="800"/>
      <c r="KFA74" s="800"/>
      <c r="KFB74" s="800"/>
      <c r="KFC74" s="800"/>
      <c r="KFD74" s="800"/>
      <c r="KFE74" s="705"/>
      <c r="KFF74" s="799"/>
      <c r="KFG74" s="800"/>
      <c r="KFH74" s="800"/>
      <c r="KFI74" s="800"/>
      <c r="KFJ74" s="800"/>
      <c r="KFK74" s="800"/>
      <c r="KFL74" s="705"/>
      <c r="KFM74" s="799"/>
      <c r="KFN74" s="800"/>
      <c r="KFO74" s="800"/>
      <c r="KFP74" s="800"/>
      <c r="KFQ74" s="800"/>
      <c r="KFR74" s="800"/>
      <c r="KFS74" s="705"/>
      <c r="KFT74" s="799"/>
      <c r="KFU74" s="800"/>
      <c r="KFV74" s="800"/>
      <c r="KFW74" s="800"/>
      <c r="KFX74" s="800"/>
      <c r="KFY74" s="800"/>
      <c r="KFZ74" s="705"/>
      <c r="KGA74" s="799"/>
      <c r="KGB74" s="800"/>
      <c r="KGC74" s="800"/>
      <c r="KGD74" s="800"/>
      <c r="KGE74" s="800"/>
      <c r="KGF74" s="800"/>
      <c r="KGG74" s="705"/>
      <c r="KGH74" s="799"/>
      <c r="KGI74" s="800"/>
      <c r="KGJ74" s="800"/>
      <c r="KGK74" s="800"/>
      <c r="KGL74" s="800"/>
      <c r="KGM74" s="800"/>
      <c r="KGN74" s="705"/>
      <c r="KGO74" s="799"/>
      <c r="KGP74" s="800"/>
      <c r="KGQ74" s="800"/>
      <c r="KGR74" s="800"/>
      <c r="KGS74" s="800"/>
      <c r="KGT74" s="800"/>
      <c r="KGU74" s="705"/>
      <c r="KGV74" s="799"/>
      <c r="KGW74" s="800"/>
      <c r="KGX74" s="800"/>
      <c r="KGY74" s="800"/>
      <c r="KGZ74" s="800"/>
      <c r="KHA74" s="800"/>
      <c r="KHB74" s="705"/>
      <c r="KHC74" s="799"/>
      <c r="KHD74" s="800"/>
      <c r="KHE74" s="800"/>
      <c r="KHF74" s="800"/>
      <c r="KHG74" s="800"/>
      <c r="KHH74" s="800"/>
      <c r="KHI74" s="705"/>
      <c r="KHJ74" s="799"/>
      <c r="KHK74" s="800"/>
      <c r="KHL74" s="800"/>
      <c r="KHM74" s="800"/>
      <c r="KHN74" s="800"/>
      <c r="KHO74" s="800"/>
      <c r="KHP74" s="705"/>
      <c r="KHQ74" s="799"/>
      <c r="KHR74" s="800"/>
      <c r="KHS74" s="800"/>
      <c r="KHT74" s="800"/>
      <c r="KHU74" s="800"/>
      <c r="KHV74" s="800"/>
      <c r="KHW74" s="705"/>
      <c r="KHX74" s="799"/>
      <c r="KHY74" s="800"/>
      <c r="KHZ74" s="800"/>
      <c r="KIA74" s="800"/>
      <c r="KIB74" s="800"/>
      <c r="KIC74" s="800"/>
      <c r="KID74" s="705"/>
      <c r="KIE74" s="799"/>
      <c r="KIF74" s="800"/>
      <c r="KIG74" s="800"/>
      <c r="KIH74" s="800"/>
      <c r="KII74" s="800"/>
      <c r="KIJ74" s="800"/>
      <c r="KIK74" s="705"/>
      <c r="KIL74" s="799"/>
      <c r="KIM74" s="800"/>
      <c r="KIN74" s="800"/>
      <c r="KIO74" s="800"/>
      <c r="KIP74" s="800"/>
      <c r="KIQ74" s="800"/>
      <c r="KIR74" s="705"/>
      <c r="KIS74" s="799"/>
      <c r="KIT74" s="800"/>
      <c r="KIU74" s="800"/>
      <c r="KIV74" s="800"/>
      <c r="KIW74" s="800"/>
      <c r="KIX74" s="800"/>
      <c r="KIY74" s="705"/>
      <c r="KIZ74" s="799"/>
      <c r="KJA74" s="800"/>
      <c r="KJB74" s="800"/>
      <c r="KJC74" s="800"/>
      <c r="KJD74" s="800"/>
      <c r="KJE74" s="800"/>
      <c r="KJF74" s="705"/>
      <c r="KJG74" s="799"/>
      <c r="KJH74" s="800"/>
      <c r="KJI74" s="800"/>
      <c r="KJJ74" s="800"/>
      <c r="KJK74" s="800"/>
      <c r="KJL74" s="800"/>
      <c r="KJM74" s="705"/>
      <c r="KJN74" s="799"/>
      <c r="KJO74" s="800"/>
      <c r="KJP74" s="800"/>
      <c r="KJQ74" s="800"/>
      <c r="KJR74" s="800"/>
      <c r="KJS74" s="800"/>
      <c r="KJT74" s="705"/>
      <c r="KJU74" s="799"/>
      <c r="KJV74" s="800"/>
      <c r="KJW74" s="800"/>
      <c r="KJX74" s="800"/>
      <c r="KJY74" s="800"/>
      <c r="KJZ74" s="800"/>
      <c r="KKA74" s="705"/>
      <c r="KKB74" s="799"/>
      <c r="KKC74" s="800"/>
      <c r="KKD74" s="800"/>
      <c r="KKE74" s="800"/>
      <c r="KKF74" s="800"/>
      <c r="KKG74" s="800"/>
      <c r="KKH74" s="705"/>
      <c r="KKI74" s="799"/>
      <c r="KKJ74" s="800"/>
      <c r="KKK74" s="800"/>
      <c r="KKL74" s="800"/>
      <c r="KKM74" s="800"/>
      <c r="KKN74" s="800"/>
      <c r="KKO74" s="705"/>
      <c r="KKP74" s="799"/>
      <c r="KKQ74" s="800"/>
      <c r="KKR74" s="800"/>
      <c r="KKS74" s="800"/>
      <c r="KKT74" s="800"/>
      <c r="KKU74" s="800"/>
      <c r="KKV74" s="705"/>
      <c r="KKW74" s="799"/>
      <c r="KKX74" s="800"/>
      <c r="KKY74" s="800"/>
      <c r="KKZ74" s="800"/>
      <c r="KLA74" s="800"/>
      <c r="KLB74" s="800"/>
      <c r="KLC74" s="705"/>
      <c r="KLD74" s="799"/>
      <c r="KLE74" s="800"/>
      <c r="KLF74" s="800"/>
      <c r="KLG74" s="800"/>
      <c r="KLH74" s="800"/>
      <c r="KLI74" s="800"/>
      <c r="KLJ74" s="705"/>
      <c r="KLK74" s="799"/>
      <c r="KLL74" s="800"/>
      <c r="KLM74" s="800"/>
      <c r="KLN74" s="800"/>
      <c r="KLO74" s="800"/>
      <c r="KLP74" s="800"/>
      <c r="KLQ74" s="705"/>
      <c r="KLR74" s="799"/>
      <c r="KLS74" s="800"/>
      <c r="KLT74" s="800"/>
      <c r="KLU74" s="800"/>
      <c r="KLV74" s="800"/>
      <c r="KLW74" s="800"/>
      <c r="KLX74" s="705"/>
      <c r="KLY74" s="799"/>
      <c r="KLZ74" s="800"/>
      <c r="KMA74" s="800"/>
      <c r="KMB74" s="800"/>
      <c r="KMC74" s="800"/>
      <c r="KMD74" s="800"/>
      <c r="KME74" s="705"/>
      <c r="KMF74" s="799"/>
      <c r="KMG74" s="800"/>
      <c r="KMH74" s="800"/>
      <c r="KMI74" s="800"/>
      <c r="KMJ74" s="800"/>
      <c r="KMK74" s="800"/>
      <c r="KML74" s="705"/>
      <c r="KMM74" s="799"/>
      <c r="KMN74" s="800"/>
      <c r="KMO74" s="800"/>
      <c r="KMP74" s="800"/>
      <c r="KMQ74" s="800"/>
      <c r="KMR74" s="800"/>
      <c r="KMS74" s="705"/>
      <c r="KMT74" s="799"/>
      <c r="KMU74" s="800"/>
      <c r="KMV74" s="800"/>
      <c r="KMW74" s="800"/>
      <c r="KMX74" s="800"/>
      <c r="KMY74" s="800"/>
      <c r="KMZ74" s="705"/>
      <c r="KNA74" s="799"/>
      <c r="KNB74" s="800"/>
      <c r="KNC74" s="800"/>
      <c r="KND74" s="800"/>
      <c r="KNE74" s="800"/>
      <c r="KNF74" s="800"/>
      <c r="KNG74" s="705"/>
      <c r="KNH74" s="799"/>
      <c r="KNI74" s="800"/>
      <c r="KNJ74" s="800"/>
      <c r="KNK74" s="800"/>
      <c r="KNL74" s="800"/>
      <c r="KNM74" s="800"/>
      <c r="KNN74" s="705"/>
      <c r="KNO74" s="799"/>
      <c r="KNP74" s="800"/>
      <c r="KNQ74" s="800"/>
      <c r="KNR74" s="800"/>
      <c r="KNS74" s="800"/>
      <c r="KNT74" s="800"/>
      <c r="KNU74" s="705"/>
      <c r="KNV74" s="799"/>
      <c r="KNW74" s="800"/>
      <c r="KNX74" s="800"/>
      <c r="KNY74" s="800"/>
      <c r="KNZ74" s="800"/>
      <c r="KOA74" s="800"/>
      <c r="KOB74" s="705"/>
      <c r="KOC74" s="799"/>
      <c r="KOD74" s="800"/>
      <c r="KOE74" s="800"/>
      <c r="KOF74" s="800"/>
      <c r="KOG74" s="800"/>
      <c r="KOH74" s="800"/>
      <c r="KOI74" s="705"/>
      <c r="KOJ74" s="799"/>
      <c r="KOK74" s="800"/>
      <c r="KOL74" s="800"/>
      <c r="KOM74" s="800"/>
      <c r="KON74" s="800"/>
      <c r="KOO74" s="800"/>
      <c r="KOP74" s="705"/>
      <c r="KOQ74" s="799"/>
      <c r="KOR74" s="800"/>
      <c r="KOS74" s="800"/>
      <c r="KOT74" s="800"/>
      <c r="KOU74" s="800"/>
      <c r="KOV74" s="800"/>
      <c r="KOW74" s="705"/>
      <c r="KOX74" s="799"/>
      <c r="KOY74" s="800"/>
      <c r="KOZ74" s="800"/>
      <c r="KPA74" s="800"/>
      <c r="KPB74" s="800"/>
      <c r="KPC74" s="800"/>
      <c r="KPD74" s="705"/>
      <c r="KPE74" s="799"/>
      <c r="KPF74" s="800"/>
      <c r="KPG74" s="800"/>
      <c r="KPH74" s="800"/>
      <c r="KPI74" s="800"/>
      <c r="KPJ74" s="800"/>
      <c r="KPK74" s="705"/>
      <c r="KPL74" s="799"/>
      <c r="KPM74" s="800"/>
      <c r="KPN74" s="800"/>
      <c r="KPO74" s="800"/>
      <c r="KPP74" s="800"/>
      <c r="KPQ74" s="800"/>
      <c r="KPR74" s="705"/>
      <c r="KPS74" s="799"/>
      <c r="KPT74" s="800"/>
      <c r="KPU74" s="800"/>
      <c r="KPV74" s="800"/>
      <c r="KPW74" s="800"/>
      <c r="KPX74" s="800"/>
      <c r="KPY74" s="705"/>
      <c r="KPZ74" s="799"/>
      <c r="KQA74" s="800"/>
      <c r="KQB74" s="800"/>
      <c r="KQC74" s="800"/>
      <c r="KQD74" s="800"/>
      <c r="KQE74" s="800"/>
      <c r="KQF74" s="705"/>
      <c r="KQG74" s="799"/>
      <c r="KQH74" s="800"/>
      <c r="KQI74" s="800"/>
      <c r="KQJ74" s="800"/>
      <c r="KQK74" s="800"/>
      <c r="KQL74" s="800"/>
      <c r="KQM74" s="705"/>
      <c r="KQN74" s="799"/>
      <c r="KQO74" s="800"/>
      <c r="KQP74" s="800"/>
      <c r="KQQ74" s="800"/>
      <c r="KQR74" s="800"/>
      <c r="KQS74" s="800"/>
      <c r="KQT74" s="705"/>
      <c r="KQU74" s="799"/>
      <c r="KQV74" s="800"/>
      <c r="KQW74" s="800"/>
      <c r="KQX74" s="800"/>
      <c r="KQY74" s="800"/>
      <c r="KQZ74" s="800"/>
      <c r="KRA74" s="705"/>
      <c r="KRB74" s="799"/>
      <c r="KRC74" s="800"/>
      <c r="KRD74" s="800"/>
      <c r="KRE74" s="800"/>
      <c r="KRF74" s="800"/>
      <c r="KRG74" s="800"/>
      <c r="KRH74" s="705"/>
      <c r="KRI74" s="799"/>
      <c r="KRJ74" s="800"/>
      <c r="KRK74" s="800"/>
      <c r="KRL74" s="800"/>
      <c r="KRM74" s="800"/>
      <c r="KRN74" s="800"/>
      <c r="KRO74" s="705"/>
      <c r="KRP74" s="799"/>
      <c r="KRQ74" s="800"/>
      <c r="KRR74" s="800"/>
      <c r="KRS74" s="800"/>
      <c r="KRT74" s="800"/>
      <c r="KRU74" s="800"/>
      <c r="KRV74" s="705"/>
      <c r="KRW74" s="799"/>
      <c r="KRX74" s="800"/>
      <c r="KRY74" s="800"/>
      <c r="KRZ74" s="800"/>
      <c r="KSA74" s="800"/>
      <c r="KSB74" s="800"/>
      <c r="KSC74" s="705"/>
      <c r="KSD74" s="799"/>
      <c r="KSE74" s="800"/>
      <c r="KSF74" s="800"/>
      <c r="KSG74" s="800"/>
      <c r="KSH74" s="800"/>
      <c r="KSI74" s="800"/>
      <c r="KSJ74" s="705"/>
      <c r="KSK74" s="799"/>
      <c r="KSL74" s="800"/>
      <c r="KSM74" s="800"/>
      <c r="KSN74" s="800"/>
      <c r="KSO74" s="800"/>
      <c r="KSP74" s="800"/>
      <c r="KSQ74" s="705"/>
      <c r="KSR74" s="799"/>
      <c r="KSS74" s="800"/>
      <c r="KST74" s="800"/>
      <c r="KSU74" s="800"/>
      <c r="KSV74" s="800"/>
      <c r="KSW74" s="800"/>
      <c r="KSX74" s="705"/>
      <c r="KSY74" s="799"/>
      <c r="KSZ74" s="800"/>
      <c r="KTA74" s="800"/>
      <c r="KTB74" s="800"/>
      <c r="KTC74" s="800"/>
      <c r="KTD74" s="800"/>
      <c r="KTE74" s="705"/>
      <c r="KTF74" s="799"/>
      <c r="KTG74" s="800"/>
      <c r="KTH74" s="800"/>
      <c r="KTI74" s="800"/>
      <c r="KTJ74" s="800"/>
      <c r="KTK74" s="800"/>
      <c r="KTL74" s="705"/>
      <c r="KTM74" s="799"/>
      <c r="KTN74" s="800"/>
      <c r="KTO74" s="800"/>
      <c r="KTP74" s="800"/>
      <c r="KTQ74" s="800"/>
      <c r="KTR74" s="800"/>
      <c r="KTS74" s="705"/>
      <c r="KTT74" s="799"/>
      <c r="KTU74" s="800"/>
      <c r="KTV74" s="800"/>
      <c r="KTW74" s="800"/>
      <c r="KTX74" s="800"/>
      <c r="KTY74" s="800"/>
      <c r="KTZ74" s="705"/>
      <c r="KUA74" s="799"/>
      <c r="KUB74" s="800"/>
      <c r="KUC74" s="800"/>
      <c r="KUD74" s="800"/>
      <c r="KUE74" s="800"/>
      <c r="KUF74" s="800"/>
      <c r="KUG74" s="705"/>
      <c r="KUH74" s="799"/>
      <c r="KUI74" s="800"/>
      <c r="KUJ74" s="800"/>
      <c r="KUK74" s="800"/>
      <c r="KUL74" s="800"/>
      <c r="KUM74" s="800"/>
      <c r="KUN74" s="705"/>
      <c r="KUO74" s="799"/>
      <c r="KUP74" s="800"/>
      <c r="KUQ74" s="800"/>
      <c r="KUR74" s="800"/>
      <c r="KUS74" s="800"/>
      <c r="KUT74" s="800"/>
      <c r="KUU74" s="705"/>
      <c r="KUV74" s="799"/>
      <c r="KUW74" s="800"/>
      <c r="KUX74" s="800"/>
      <c r="KUY74" s="800"/>
      <c r="KUZ74" s="800"/>
      <c r="KVA74" s="800"/>
      <c r="KVB74" s="705"/>
      <c r="KVC74" s="799"/>
      <c r="KVD74" s="800"/>
      <c r="KVE74" s="800"/>
      <c r="KVF74" s="800"/>
      <c r="KVG74" s="800"/>
      <c r="KVH74" s="800"/>
      <c r="KVI74" s="705"/>
      <c r="KVJ74" s="799"/>
      <c r="KVK74" s="800"/>
      <c r="KVL74" s="800"/>
      <c r="KVM74" s="800"/>
      <c r="KVN74" s="800"/>
      <c r="KVO74" s="800"/>
      <c r="KVP74" s="705"/>
      <c r="KVQ74" s="799"/>
      <c r="KVR74" s="800"/>
      <c r="KVS74" s="800"/>
      <c r="KVT74" s="800"/>
      <c r="KVU74" s="800"/>
      <c r="KVV74" s="800"/>
      <c r="KVW74" s="705"/>
      <c r="KVX74" s="799"/>
      <c r="KVY74" s="800"/>
      <c r="KVZ74" s="800"/>
      <c r="KWA74" s="800"/>
      <c r="KWB74" s="800"/>
      <c r="KWC74" s="800"/>
      <c r="KWD74" s="705"/>
      <c r="KWE74" s="799"/>
      <c r="KWF74" s="800"/>
      <c r="KWG74" s="800"/>
      <c r="KWH74" s="800"/>
      <c r="KWI74" s="800"/>
      <c r="KWJ74" s="800"/>
      <c r="KWK74" s="705"/>
      <c r="KWL74" s="799"/>
      <c r="KWM74" s="800"/>
      <c r="KWN74" s="800"/>
      <c r="KWO74" s="800"/>
      <c r="KWP74" s="800"/>
      <c r="KWQ74" s="800"/>
      <c r="KWR74" s="705"/>
      <c r="KWS74" s="799"/>
      <c r="KWT74" s="800"/>
      <c r="KWU74" s="800"/>
      <c r="KWV74" s="800"/>
      <c r="KWW74" s="800"/>
      <c r="KWX74" s="800"/>
      <c r="KWY74" s="705"/>
      <c r="KWZ74" s="799"/>
      <c r="KXA74" s="800"/>
      <c r="KXB74" s="800"/>
      <c r="KXC74" s="800"/>
      <c r="KXD74" s="800"/>
      <c r="KXE74" s="800"/>
      <c r="KXF74" s="705"/>
      <c r="KXG74" s="799"/>
      <c r="KXH74" s="800"/>
      <c r="KXI74" s="800"/>
      <c r="KXJ74" s="800"/>
      <c r="KXK74" s="800"/>
      <c r="KXL74" s="800"/>
      <c r="KXM74" s="705"/>
      <c r="KXN74" s="799"/>
      <c r="KXO74" s="800"/>
      <c r="KXP74" s="800"/>
      <c r="KXQ74" s="800"/>
      <c r="KXR74" s="800"/>
      <c r="KXS74" s="800"/>
      <c r="KXT74" s="705"/>
      <c r="KXU74" s="799"/>
      <c r="KXV74" s="800"/>
      <c r="KXW74" s="800"/>
      <c r="KXX74" s="800"/>
      <c r="KXY74" s="800"/>
      <c r="KXZ74" s="800"/>
      <c r="KYA74" s="705"/>
      <c r="KYB74" s="799"/>
      <c r="KYC74" s="800"/>
      <c r="KYD74" s="800"/>
      <c r="KYE74" s="800"/>
      <c r="KYF74" s="800"/>
      <c r="KYG74" s="800"/>
      <c r="KYH74" s="705"/>
      <c r="KYI74" s="799"/>
      <c r="KYJ74" s="800"/>
      <c r="KYK74" s="800"/>
      <c r="KYL74" s="800"/>
      <c r="KYM74" s="800"/>
      <c r="KYN74" s="800"/>
      <c r="KYO74" s="705"/>
      <c r="KYP74" s="799"/>
      <c r="KYQ74" s="800"/>
      <c r="KYR74" s="800"/>
      <c r="KYS74" s="800"/>
      <c r="KYT74" s="800"/>
      <c r="KYU74" s="800"/>
      <c r="KYV74" s="705"/>
      <c r="KYW74" s="799"/>
      <c r="KYX74" s="800"/>
      <c r="KYY74" s="800"/>
      <c r="KYZ74" s="800"/>
      <c r="KZA74" s="800"/>
      <c r="KZB74" s="800"/>
      <c r="KZC74" s="705"/>
      <c r="KZD74" s="799"/>
      <c r="KZE74" s="800"/>
      <c r="KZF74" s="800"/>
      <c r="KZG74" s="800"/>
      <c r="KZH74" s="800"/>
      <c r="KZI74" s="800"/>
      <c r="KZJ74" s="705"/>
      <c r="KZK74" s="799"/>
      <c r="KZL74" s="800"/>
      <c r="KZM74" s="800"/>
      <c r="KZN74" s="800"/>
      <c r="KZO74" s="800"/>
      <c r="KZP74" s="800"/>
      <c r="KZQ74" s="705"/>
      <c r="KZR74" s="799"/>
      <c r="KZS74" s="800"/>
      <c r="KZT74" s="800"/>
      <c r="KZU74" s="800"/>
      <c r="KZV74" s="800"/>
      <c r="KZW74" s="800"/>
      <c r="KZX74" s="705"/>
      <c r="KZY74" s="799"/>
      <c r="KZZ74" s="800"/>
      <c r="LAA74" s="800"/>
      <c r="LAB74" s="800"/>
      <c r="LAC74" s="800"/>
      <c r="LAD74" s="800"/>
      <c r="LAE74" s="705"/>
      <c r="LAF74" s="799"/>
      <c r="LAG74" s="800"/>
      <c r="LAH74" s="800"/>
      <c r="LAI74" s="800"/>
      <c r="LAJ74" s="800"/>
      <c r="LAK74" s="800"/>
      <c r="LAL74" s="705"/>
      <c r="LAM74" s="799"/>
      <c r="LAN74" s="800"/>
      <c r="LAO74" s="800"/>
      <c r="LAP74" s="800"/>
      <c r="LAQ74" s="800"/>
      <c r="LAR74" s="800"/>
      <c r="LAS74" s="705"/>
      <c r="LAT74" s="799"/>
      <c r="LAU74" s="800"/>
      <c r="LAV74" s="800"/>
      <c r="LAW74" s="800"/>
      <c r="LAX74" s="800"/>
      <c r="LAY74" s="800"/>
      <c r="LAZ74" s="705"/>
      <c r="LBA74" s="799"/>
      <c r="LBB74" s="800"/>
      <c r="LBC74" s="800"/>
      <c r="LBD74" s="800"/>
      <c r="LBE74" s="800"/>
      <c r="LBF74" s="800"/>
      <c r="LBG74" s="705"/>
      <c r="LBH74" s="799"/>
      <c r="LBI74" s="800"/>
      <c r="LBJ74" s="800"/>
      <c r="LBK74" s="800"/>
      <c r="LBL74" s="800"/>
      <c r="LBM74" s="800"/>
      <c r="LBN74" s="705"/>
      <c r="LBO74" s="799"/>
      <c r="LBP74" s="800"/>
      <c r="LBQ74" s="800"/>
      <c r="LBR74" s="800"/>
      <c r="LBS74" s="800"/>
      <c r="LBT74" s="800"/>
      <c r="LBU74" s="705"/>
      <c r="LBV74" s="799"/>
      <c r="LBW74" s="800"/>
      <c r="LBX74" s="800"/>
      <c r="LBY74" s="800"/>
      <c r="LBZ74" s="800"/>
      <c r="LCA74" s="800"/>
      <c r="LCB74" s="705"/>
      <c r="LCC74" s="799"/>
      <c r="LCD74" s="800"/>
      <c r="LCE74" s="800"/>
      <c r="LCF74" s="800"/>
      <c r="LCG74" s="800"/>
      <c r="LCH74" s="800"/>
      <c r="LCI74" s="705"/>
      <c r="LCJ74" s="799"/>
      <c r="LCK74" s="800"/>
      <c r="LCL74" s="800"/>
      <c r="LCM74" s="800"/>
      <c r="LCN74" s="800"/>
      <c r="LCO74" s="800"/>
      <c r="LCP74" s="705"/>
      <c r="LCQ74" s="799"/>
      <c r="LCR74" s="800"/>
      <c r="LCS74" s="800"/>
      <c r="LCT74" s="800"/>
      <c r="LCU74" s="800"/>
      <c r="LCV74" s="800"/>
      <c r="LCW74" s="705"/>
      <c r="LCX74" s="799"/>
      <c r="LCY74" s="800"/>
      <c r="LCZ74" s="800"/>
      <c r="LDA74" s="800"/>
      <c r="LDB74" s="800"/>
      <c r="LDC74" s="800"/>
      <c r="LDD74" s="705"/>
      <c r="LDE74" s="799"/>
      <c r="LDF74" s="800"/>
      <c r="LDG74" s="800"/>
      <c r="LDH74" s="800"/>
      <c r="LDI74" s="800"/>
      <c r="LDJ74" s="800"/>
      <c r="LDK74" s="705"/>
      <c r="LDL74" s="799"/>
      <c r="LDM74" s="800"/>
      <c r="LDN74" s="800"/>
      <c r="LDO74" s="800"/>
      <c r="LDP74" s="800"/>
      <c r="LDQ74" s="800"/>
      <c r="LDR74" s="705"/>
      <c r="LDS74" s="799"/>
      <c r="LDT74" s="800"/>
      <c r="LDU74" s="800"/>
      <c r="LDV74" s="800"/>
      <c r="LDW74" s="800"/>
      <c r="LDX74" s="800"/>
      <c r="LDY74" s="705"/>
      <c r="LDZ74" s="799"/>
      <c r="LEA74" s="800"/>
      <c r="LEB74" s="800"/>
      <c r="LEC74" s="800"/>
      <c r="LED74" s="800"/>
      <c r="LEE74" s="800"/>
      <c r="LEF74" s="705"/>
      <c r="LEG74" s="799"/>
      <c r="LEH74" s="800"/>
      <c r="LEI74" s="800"/>
      <c r="LEJ74" s="800"/>
      <c r="LEK74" s="800"/>
      <c r="LEL74" s="800"/>
      <c r="LEM74" s="705"/>
      <c r="LEN74" s="799"/>
      <c r="LEO74" s="800"/>
      <c r="LEP74" s="800"/>
      <c r="LEQ74" s="800"/>
      <c r="LER74" s="800"/>
      <c r="LES74" s="800"/>
      <c r="LET74" s="705"/>
      <c r="LEU74" s="799"/>
      <c r="LEV74" s="800"/>
      <c r="LEW74" s="800"/>
      <c r="LEX74" s="800"/>
      <c r="LEY74" s="800"/>
      <c r="LEZ74" s="800"/>
      <c r="LFA74" s="705"/>
      <c r="LFB74" s="799"/>
      <c r="LFC74" s="800"/>
      <c r="LFD74" s="800"/>
      <c r="LFE74" s="800"/>
      <c r="LFF74" s="800"/>
      <c r="LFG74" s="800"/>
      <c r="LFH74" s="705"/>
      <c r="LFI74" s="799"/>
      <c r="LFJ74" s="800"/>
      <c r="LFK74" s="800"/>
      <c r="LFL74" s="800"/>
      <c r="LFM74" s="800"/>
      <c r="LFN74" s="800"/>
      <c r="LFO74" s="705"/>
      <c r="LFP74" s="799"/>
      <c r="LFQ74" s="800"/>
      <c r="LFR74" s="800"/>
      <c r="LFS74" s="800"/>
      <c r="LFT74" s="800"/>
      <c r="LFU74" s="800"/>
      <c r="LFV74" s="705"/>
      <c r="LFW74" s="799"/>
      <c r="LFX74" s="800"/>
      <c r="LFY74" s="800"/>
      <c r="LFZ74" s="800"/>
      <c r="LGA74" s="800"/>
      <c r="LGB74" s="800"/>
      <c r="LGC74" s="705"/>
      <c r="LGD74" s="799"/>
      <c r="LGE74" s="800"/>
      <c r="LGF74" s="800"/>
      <c r="LGG74" s="800"/>
      <c r="LGH74" s="800"/>
      <c r="LGI74" s="800"/>
      <c r="LGJ74" s="705"/>
      <c r="LGK74" s="799"/>
      <c r="LGL74" s="800"/>
      <c r="LGM74" s="800"/>
      <c r="LGN74" s="800"/>
      <c r="LGO74" s="800"/>
      <c r="LGP74" s="800"/>
      <c r="LGQ74" s="705"/>
      <c r="LGR74" s="799"/>
      <c r="LGS74" s="800"/>
      <c r="LGT74" s="800"/>
      <c r="LGU74" s="800"/>
      <c r="LGV74" s="800"/>
      <c r="LGW74" s="800"/>
      <c r="LGX74" s="705"/>
      <c r="LGY74" s="799"/>
      <c r="LGZ74" s="800"/>
      <c r="LHA74" s="800"/>
      <c r="LHB74" s="800"/>
      <c r="LHC74" s="800"/>
      <c r="LHD74" s="800"/>
      <c r="LHE74" s="705"/>
      <c r="LHF74" s="799"/>
      <c r="LHG74" s="800"/>
      <c r="LHH74" s="800"/>
      <c r="LHI74" s="800"/>
      <c r="LHJ74" s="800"/>
      <c r="LHK74" s="800"/>
      <c r="LHL74" s="705"/>
      <c r="LHM74" s="799"/>
      <c r="LHN74" s="800"/>
      <c r="LHO74" s="800"/>
      <c r="LHP74" s="800"/>
      <c r="LHQ74" s="800"/>
      <c r="LHR74" s="800"/>
      <c r="LHS74" s="705"/>
      <c r="LHT74" s="799"/>
      <c r="LHU74" s="800"/>
      <c r="LHV74" s="800"/>
      <c r="LHW74" s="800"/>
      <c r="LHX74" s="800"/>
      <c r="LHY74" s="800"/>
      <c r="LHZ74" s="705"/>
      <c r="LIA74" s="799"/>
      <c r="LIB74" s="800"/>
      <c r="LIC74" s="800"/>
      <c r="LID74" s="800"/>
      <c r="LIE74" s="800"/>
      <c r="LIF74" s="800"/>
      <c r="LIG74" s="705"/>
      <c r="LIH74" s="799"/>
      <c r="LII74" s="800"/>
      <c r="LIJ74" s="800"/>
      <c r="LIK74" s="800"/>
      <c r="LIL74" s="800"/>
      <c r="LIM74" s="800"/>
      <c r="LIN74" s="705"/>
      <c r="LIO74" s="799"/>
      <c r="LIP74" s="800"/>
      <c r="LIQ74" s="800"/>
      <c r="LIR74" s="800"/>
      <c r="LIS74" s="800"/>
      <c r="LIT74" s="800"/>
      <c r="LIU74" s="705"/>
      <c r="LIV74" s="799"/>
      <c r="LIW74" s="800"/>
      <c r="LIX74" s="800"/>
      <c r="LIY74" s="800"/>
      <c r="LIZ74" s="800"/>
      <c r="LJA74" s="800"/>
      <c r="LJB74" s="705"/>
      <c r="LJC74" s="799"/>
      <c r="LJD74" s="800"/>
      <c r="LJE74" s="800"/>
      <c r="LJF74" s="800"/>
      <c r="LJG74" s="800"/>
      <c r="LJH74" s="800"/>
      <c r="LJI74" s="705"/>
      <c r="LJJ74" s="799"/>
      <c r="LJK74" s="800"/>
      <c r="LJL74" s="800"/>
      <c r="LJM74" s="800"/>
      <c r="LJN74" s="800"/>
      <c r="LJO74" s="800"/>
      <c r="LJP74" s="705"/>
      <c r="LJQ74" s="799"/>
      <c r="LJR74" s="800"/>
      <c r="LJS74" s="800"/>
      <c r="LJT74" s="800"/>
      <c r="LJU74" s="800"/>
      <c r="LJV74" s="800"/>
      <c r="LJW74" s="705"/>
      <c r="LJX74" s="799"/>
      <c r="LJY74" s="800"/>
      <c r="LJZ74" s="800"/>
      <c r="LKA74" s="800"/>
      <c r="LKB74" s="800"/>
      <c r="LKC74" s="800"/>
      <c r="LKD74" s="705"/>
      <c r="LKE74" s="799"/>
      <c r="LKF74" s="800"/>
      <c r="LKG74" s="800"/>
      <c r="LKH74" s="800"/>
      <c r="LKI74" s="800"/>
      <c r="LKJ74" s="800"/>
      <c r="LKK74" s="705"/>
      <c r="LKL74" s="799"/>
      <c r="LKM74" s="800"/>
      <c r="LKN74" s="800"/>
      <c r="LKO74" s="800"/>
      <c r="LKP74" s="800"/>
      <c r="LKQ74" s="800"/>
      <c r="LKR74" s="705"/>
      <c r="LKS74" s="799"/>
      <c r="LKT74" s="800"/>
      <c r="LKU74" s="800"/>
      <c r="LKV74" s="800"/>
      <c r="LKW74" s="800"/>
      <c r="LKX74" s="800"/>
      <c r="LKY74" s="705"/>
      <c r="LKZ74" s="799"/>
      <c r="LLA74" s="800"/>
      <c r="LLB74" s="800"/>
      <c r="LLC74" s="800"/>
      <c r="LLD74" s="800"/>
      <c r="LLE74" s="800"/>
      <c r="LLF74" s="705"/>
      <c r="LLG74" s="799"/>
      <c r="LLH74" s="800"/>
      <c r="LLI74" s="800"/>
      <c r="LLJ74" s="800"/>
      <c r="LLK74" s="800"/>
      <c r="LLL74" s="800"/>
      <c r="LLM74" s="705"/>
      <c r="LLN74" s="799"/>
      <c r="LLO74" s="800"/>
      <c r="LLP74" s="800"/>
      <c r="LLQ74" s="800"/>
      <c r="LLR74" s="800"/>
      <c r="LLS74" s="800"/>
      <c r="LLT74" s="705"/>
      <c r="LLU74" s="799"/>
      <c r="LLV74" s="800"/>
      <c r="LLW74" s="800"/>
      <c r="LLX74" s="800"/>
      <c r="LLY74" s="800"/>
      <c r="LLZ74" s="800"/>
      <c r="LMA74" s="705"/>
      <c r="LMB74" s="799"/>
      <c r="LMC74" s="800"/>
      <c r="LMD74" s="800"/>
      <c r="LME74" s="800"/>
      <c r="LMF74" s="800"/>
      <c r="LMG74" s="800"/>
      <c r="LMH74" s="705"/>
      <c r="LMI74" s="799"/>
      <c r="LMJ74" s="800"/>
      <c r="LMK74" s="800"/>
      <c r="LML74" s="800"/>
      <c r="LMM74" s="800"/>
      <c r="LMN74" s="800"/>
      <c r="LMO74" s="705"/>
      <c r="LMP74" s="799"/>
      <c r="LMQ74" s="800"/>
      <c r="LMR74" s="800"/>
      <c r="LMS74" s="800"/>
      <c r="LMT74" s="800"/>
      <c r="LMU74" s="800"/>
      <c r="LMV74" s="705"/>
      <c r="LMW74" s="799"/>
      <c r="LMX74" s="800"/>
      <c r="LMY74" s="800"/>
      <c r="LMZ74" s="800"/>
      <c r="LNA74" s="800"/>
      <c r="LNB74" s="800"/>
      <c r="LNC74" s="705"/>
      <c r="LND74" s="799"/>
      <c r="LNE74" s="800"/>
      <c r="LNF74" s="800"/>
      <c r="LNG74" s="800"/>
      <c r="LNH74" s="800"/>
      <c r="LNI74" s="800"/>
      <c r="LNJ74" s="705"/>
      <c r="LNK74" s="799"/>
      <c r="LNL74" s="800"/>
      <c r="LNM74" s="800"/>
      <c r="LNN74" s="800"/>
      <c r="LNO74" s="800"/>
      <c r="LNP74" s="800"/>
      <c r="LNQ74" s="705"/>
      <c r="LNR74" s="799"/>
      <c r="LNS74" s="800"/>
      <c r="LNT74" s="800"/>
      <c r="LNU74" s="800"/>
      <c r="LNV74" s="800"/>
      <c r="LNW74" s="800"/>
      <c r="LNX74" s="705"/>
      <c r="LNY74" s="799"/>
      <c r="LNZ74" s="800"/>
      <c r="LOA74" s="800"/>
      <c r="LOB74" s="800"/>
      <c r="LOC74" s="800"/>
      <c r="LOD74" s="800"/>
      <c r="LOE74" s="705"/>
      <c r="LOF74" s="799"/>
      <c r="LOG74" s="800"/>
      <c r="LOH74" s="800"/>
      <c r="LOI74" s="800"/>
      <c r="LOJ74" s="800"/>
      <c r="LOK74" s="800"/>
      <c r="LOL74" s="705"/>
      <c r="LOM74" s="799"/>
      <c r="LON74" s="800"/>
      <c r="LOO74" s="800"/>
      <c r="LOP74" s="800"/>
      <c r="LOQ74" s="800"/>
      <c r="LOR74" s="800"/>
      <c r="LOS74" s="705"/>
      <c r="LOT74" s="799"/>
      <c r="LOU74" s="800"/>
      <c r="LOV74" s="800"/>
      <c r="LOW74" s="800"/>
      <c r="LOX74" s="800"/>
      <c r="LOY74" s="800"/>
      <c r="LOZ74" s="705"/>
      <c r="LPA74" s="799"/>
      <c r="LPB74" s="800"/>
      <c r="LPC74" s="800"/>
      <c r="LPD74" s="800"/>
      <c r="LPE74" s="800"/>
      <c r="LPF74" s="800"/>
      <c r="LPG74" s="705"/>
      <c r="LPH74" s="799"/>
      <c r="LPI74" s="800"/>
      <c r="LPJ74" s="800"/>
      <c r="LPK74" s="800"/>
      <c r="LPL74" s="800"/>
      <c r="LPM74" s="800"/>
      <c r="LPN74" s="705"/>
      <c r="LPO74" s="799"/>
      <c r="LPP74" s="800"/>
      <c r="LPQ74" s="800"/>
      <c r="LPR74" s="800"/>
      <c r="LPS74" s="800"/>
      <c r="LPT74" s="800"/>
      <c r="LPU74" s="705"/>
      <c r="LPV74" s="799"/>
      <c r="LPW74" s="800"/>
      <c r="LPX74" s="800"/>
      <c r="LPY74" s="800"/>
      <c r="LPZ74" s="800"/>
      <c r="LQA74" s="800"/>
      <c r="LQB74" s="705"/>
      <c r="LQC74" s="799"/>
      <c r="LQD74" s="800"/>
      <c r="LQE74" s="800"/>
      <c r="LQF74" s="800"/>
      <c r="LQG74" s="800"/>
      <c r="LQH74" s="800"/>
      <c r="LQI74" s="705"/>
      <c r="LQJ74" s="799"/>
      <c r="LQK74" s="800"/>
      <c r="LQL74" s="800"/>
      <c r="LQM74" s="800"/>
      <c r="LQN74" s="800"/>
      <c r="LQO74" s="800"/>
      <c r="LQP74" s="705"/>
      <c r="LQQ74" s="799"/>
      <c r="LQR74" s="800"/>
      <c r="LQS74" s="800"/>
      <c r="LQT74" s="800"/>
      <c r="LQU74" s="800"/>
      <c r="LQV74" s="800"/>
      <c r="LQW74" s="705"/>
      <c r="LQX74" s="799"/>
      <c r="LQY74" s="800"/>
      <c r="LQZ74" s="800"/>
      <c r="LRA74" s="800"/>
      <c r="LRB74" s="800"/>
      <c r="LRC74" s="800"/>
      <c r="LRD74" s="705"/>
      <c r="LRE74" s="799"/>
      <c r="LRF74" s="800"/>
      <c r="LRG74" s="800"/>
      <c r="LRH74" s="800"/>
      <c r="LRI74" s="800"/>
      <c r="LRJ74" s="800"/>
      <c r="LRK74" s="705"/>
      <c r="LRL74" s="799"/>
      <c r="LRM74" s="800"/>
      <c r="LRN74" s="800"/>
      <c r="LRO74" s="800"/>
      <c r="LRP74" s="800"/>
      <c r="LRQ74" s="800"/>
      <c r="LRR74" s="705"/>
      <c r="LRS74" s="799"/>
      <c r="LRT74" s="800"/>
      <c r="LRU74" s="800"/>
      <c r="LRV74" s="800"/>
      <c r="LRW74" s="800"/>
      <c r="LRX74" s="800"/>
      <c r="LRY74" s="705"/>
      <c r="LRZ74" s="799"/>
      <c r="LSA74" s="800"/>
      <c r="LSB74" s="800"/>
      <c r="LSC74" s="800"/>
      <c r="LSD74" s="800"/>
      <c r="LSE74" s="800"/>
      <c r="LSF74" s="705"/>
      <c r="LSG74" s="799"/>
      <c r="LSH74" s="800"/>
      <c r="LSI74" s="800"/>
      <c r="LSJ74" s="800"/>
      <c r="LSK74" s="800"/>
      <c r="LSL74" s="800"/>
      <c r="LSM74" s="705"/>
      <c r="LSN74" s="799"/>
      <c r="LSO74" s="800"/>
      <c r="LSP74" s="800"/>
      <c r="LSQ74" s="800"/>
      <c r="LSR74" s="800"/>
      <c r="LSS74" s="800"/>
      <c r="LST74" s="705"/>
      <c r="LSU74" s="799"/>
      <c r="LSV74" s="800"/>
      <c r="LSW74" s="800"/>
      <c r="LSX74" s="800"/>
      <c r="LSY74" s="800"/>
      <c r="LSZ74" s="800"/>
      <c r="LTA74" s="705"/>
      <c r="LTB74" s="799"/>
      <c r="LTC74" s="800"/>
      <c r="LTD74" s="800"/>
      <c r="LTE74" s="800"/>
      <c r="LTF74" s="800"/>
      <c r="LTG74" s="800"/>
      <c r="LTH74" s="705"/>
      <c r="LTI74" s="799"/>
      <c r="LTJ74" s="800"/>
      <c r="LTK74" s="800"/>
      <c r="LTL74" s="800"/>
      <c r="LTM74" s="800"/>
      <c r="LTN74" s="800"/>
      <c r="LTO74" s="705"/>
      <c r="LTP74" s="799"/>
      <c r="LTQ74" s="800"/>
      <c r="LTR74" s="800"/>
      <c r="LTS74" s="800"/>
      <c r="LTT74" s="800"/>
      <c r="LTU74" s="800"/>
      <c r="LTV74" s="705"/>
      <c r="LTW74" s="799"/>
      <c r="LTX74" s="800"/>
      <c r="LTY74" s="800"/>
      <c r="LTZ74" s="800"/>
      <c r="LUA74" s="800"/>
      <c r="LUB74" s="800"/>
      <c r="LUC74" s="705"/>
      <c r="LUD74" s="799"/>
      <c r="LUE74" s="800"/>
      <c r="LUF74" s="800"/>
      <c r="LUG74" s="800"/>
      <c r="LUH74" s="800"/>
      <c r="LUI74" s="800"/>
      <c r="LUJ74" s="705"/>
      <c r="LUK74" s="799"/>
      <c r="LUL74" s="800"/>
      <c r="LUM74" s="800"/>
      <c r="LUN74" s="800"/>
      <c r="LUO74" s="800"/>
      <c r="LUP74" s="800"/>
      <c r="LUQ74" s="705"/>
      <c r="LUR74" s="799"/>
      <c r="LUS74" s="800"/>
      <c r="LUT74" s="800"/>
      <c r="LUU74" s="800"/>
      <c r="LUV74" s="800"/>
      <c r="LUW74" s="800"/>
      <c r="LUX74" s="705"/>
      <c r="LUY74" s="799"/>
      <c r="LUZ74" s="800"/>
      <c r="LVA74" s="800"/>
      <c r="LVB74" s="800"/>
      <c r="LVC74" s="800"/>
      <c r="LVD74" s="800"/>
      <c r="LVE74" s="705"/>
      <c r="LVF74" s="799"/>
      <c r="LVG74" s="800"/>
      <c r="LVH74" s="800"/>
      <c r="LVI74" s="800"/>
      <c r="LVJ74" s="800"/>
      <c r="LVK74" s="800"/>
      <c r="LVL74" s="705"/>
      <c r="LVM74" s="799"/>
      <c r="LVN74" s="800"/>
      <c r="LVO74" s="800"/>
      <c r="LVP74" s="800"/>
      <c r="LVQ74" s="800"/>
      <c r="LVR74" s="800"/>
      <c r="LVS74" s="705"/>
      <c r="LVT74" s="799"/>
      <c r="LVU74" s="800"/>
      <c r="LVV74" s="800"/>
      <c r="LVW74" s="800"/>
      <c r="LVX74" s="800"/>
      <c r="LVY74" s="800"/>
      <c r="LVZ74" s="705"/>
      <c r="LWA74" s="799"/>
      <c r="LWB74" s="800"/>
      <c r="LWC74" s="800"/>
      <c r="LWD74" s="800"/>
      <c r="LWE74" s="800"/>
      <c r="LWF74" s="800"/>
      <c r="LWG74" s="705"/>
      <c r="LWH74" s="799"/>
      <c r="LWI74" s="800"/>
      <c r="LWJ74" s="800"/>
      <c r="LWK74" s="800"/>
      <c r="LWL74" s="800"/>
      <c r="LWM74" s="800"/>
      <c r="LWN74" s="705"/>
      <c r="LWO74" s="799"/>
      <c r="LWP74" s="800"/>
      <c r="LWQ74" s="800"/>
      <c r="LWR74" s="800"/>
      <c r="LWS74" s="800"/>
      <c r="LWT74" s="800"/>
      <c r="LWU74" s="705"/>
      <c r="LWV74" s="799"/>
      <c r="LWW74" s="800"/>
      <c r="LWX74" s="800"/>
      <c r="LWY74" s="800"/>
      <c r="LWZ74" s="800"/>
      <c r="LXA74" s="800"/>
      <c r="LXB74" s="705"/>
      <c r="LXC74" s="799"/>
      <c r="LXD74" s="800"/>
      <c r="LXE74" s="800"/>
      <c r="LXF74" s="800"/>
      <c r="LXG74" s="800"/>
      <c r="LXH74" s="800"/>
      <c r="LXI74" s="705"/>
      <c r="LXJ74" s="799"/>
      <c r="LXK74" s="800"/>
      <c r="LXL74" s="800"/>
      <c r="LXM74" s="800"/>
      <c r="LXN74" s="800"/>
      <c r="LXO74" s="800"/>
      <c r="LXP74" s="705"/>
      <c r="LXQ74" s="799"/>
      <c r="LXR74" s="800"/>
      <c r="LXS74" s="800"/>
      <c r="LXT74" s="800"/>
      <c r="LXU74" s="800"/>
      <c r="LXV74" s="800"/>
      <c r="LXW74" s="705"/>
      <c r="LXX74" s="799"/>
      <c r="LXY74" s="800"/>
      <c r="LXZ74" s="800"/>
      <c r="LYA74" s="800"/>
      <c r="LYB74" s="800"/>
      <c r="LYC74" s="800"/>
      <c r="LYD74" s="705"/>
      <c r="LYE74" s="799"/>
      <c r="LYF74" s="800"/>
      <c r="LYG74" s="800"/>
      <c r="LYH74" s="800"/>
      <c r="LYI74" s="800"/>
      <c r="LYJ74" s="800"/>
      <c r="LYK74" s="705"/>
      <c r="LYL74" s="799"/>
      <c r="LYM74" s="800"/>
      <c r="LYN74" s="800"/>
      <c r="LYO74" s="800"/>
      <c r="LYP74" s="800"/>
      <c r="LYQ74" s="800"/>
      <c r="LYR74" s="705"/>
      <c r="LYS74" s="799"/>
      <c r="LYT74" s="800"/>
      <c r="LYU74" s="800"/>
      <c r="LYV74" s="800"/>
      <c r="LYW74" s="800"/>
      <c r="LYX74" s="800"/>
      <c r="LYY74" s="705"/>
      <c r="LYZ74" s="799"/>
      <c r="LZA74" s="800"/>
      <c r="LZB74" s="800"/>
      <c r="LZC74" s="800"/>
      <c r="LZD74" s="800"/>
      <c r="LZE74" s="800"/>
      <c r="LZF74" s="705"/>
      <c r="LZG74" s="799"/>
      <c r="LZH74" s="800"/>
      <c r="LZI74" s="800"/>
      <c r="LZJ74" s="800"/>
      <c r="LZK74" s="800"/>
      <c r="LZL74" s="800"/>
      <c r="LZM74" s="705"/>
      <c r="LZN74" s="799"/>
      <c r="LZO74" s="800"/>
      <c r="LZP74" s="800"/>
      <c r="LZQ74" s="800"/>
      <c r="LZR74" s="800"/>
      <c r="LZS74" s="800"/>
      <c r="LZT74" s="705"/>
      <c r="LZU74" s="799"/>
      <c r="LZV74" s="800"/>
      <c r="LZW74" s="800"/>
      <c r="LZX74" s="800"/>
      <c r="LZY74" s="800"/>
      <c r="LZZ74" s="800"/>
      <c r="MAA74" s="705"/>
      <c r="MAB74" s="799"/>
      <c r="MAC74" s="800"/>
      <c r="MAD74" s="800"/>
      <c r="MAE74" s="800"/>
      <c r="MAF74" s="800"/>
      <c r="MAG74" s="800"/>
      <c r="MAH74" s="705"/>
      <c r="MAI74" s="799"/>
      <c r="MAJ74" s="800"/>
      <c r="MAK74" s="800"/>
      <c r="MAL74" s="800"/>
      <c r="MAM74" s="800"/>
      <c r="MAN74" s="800"/>
      <c r="MAO74" s="705"/>
      <c r="MAP74" s="799"/>
      <c r="MAQ74" s="800"/>
      <c r="MAR74" s="800"/>
      <c r="MAS74" s="800"/>
      <c r="MAT74" s="800"/>
      <c r="MAU74" s="800"/>
      <c r="MAV74" s="705"/>
      <c r="MAW74" s="799"/>
      <c r="MAX74" s="800"/>
      <c r="MAY74" s="800"/>
      <c r="MAZ74" s="800"/>
      <c r="MBA74" s="800"/>
      <c r="MBB74" s="800"/>
      <c r="MBC74" s="705"/>
      <c r="MBD74" s="799"/>
      <c r="MBE74" s="800"/>
      <c r="MBF74" s="800"/>
      <c r="MBG74" s="800"/>
      <c r="MBH74" s="800"/>
      <c r="MBI74" s="800"/>
      <c r="MBJ74" s="705"/>
      <c r="MBK74" s="799"/>
      <c r="MBL74" s="800"/>
      <c r="MBM74" s="800"/>
      <c r="MBN74" s="800"/>
      <c r="MBO74" s="800"/>
      <c r="MBP74" s="800"/>
      <c r="MBQ74" s="705"/>
      <c r="MBR74" s="799"/>
      <c r="MBS74" s="800"/>
      <c r="MBT74" s="800"/>
      <c r="MBU74" s="800"/>
      <c r="MBV74" s="800"/>
      <c r="MBW74" s="800"/>
      <c r="MBX74" s="705"/>
      <c r="MBY74" s="799"/>
      <c r="MBZ74" s="800"/>
      <c r="MCA74" s="800"/>
      <c r="MCB74" s="800"/>
      <c r="MCC74" s="800"/>
      <c r="MCD74" s="800"/>
      <c r="MCE74" s="705"/>
      <c r="MCF74" s="799"/>
      <c r="MCG74" s="800"/>
      <c r="MCH74" s="800"/>
      <c r="MCI74" s="800"/>
      <c r="MCJ74" s="800"/>
      <c r="MCK74" s="800"/>
      <c r="MCL74" s="705"/>
      <c r="MCM74" s="799"/>
      <c r="MCN74" s="800"/>
      <c r="MCO74" s="800"/>
      <c r="MCP74" s="800"/>
      <c r="MCQ74" s="800"/>
      <c r="MCR74" s="800"/>
      <c r="MCS74" s="705"/>
      <c r="MCT74" s="799"/>
      <c r="MCU74" s="800"/>
      <c r="MCV74" s="800"/>
      <c r="MCW74" s="800"/>
      <c r="MCX74" s="800"/>
      <c r="MCY74" s="800"/>
      <c r="MCZ74" s="705"/>
      <c r="MDA74" s="799"/>
      <c r="MDB74" s="800"/>
      <c r="MDC74" s="800"/>
      <c r="MDD74" s="800"/>
      <c r="MDE74" s="800"/>
      <c r="MDF74" s="800"/>
      <c r="MDG74" s="705"/>
      <c r="MDH74" s="799"/>
      <c r="MDI74" s="800"/>
      <c r="MDJ74" s="800"/>
      <c r="MDK74" s="800"/>
      <c r="MDL74" s="800"/>
      <c r="MDM74" s="800"/>
      <c r="MDN74" s="705"/>
      <c r="MDO74" s="799"/>
      <c r="MDP74" s="800"/>
      <c r="MDQ74" s="800"/>
      <c r="MDR74" s="800"/>
      <c r="MDS74" s="800"/>
      <c r="MDT74" s="800"/>
      <c r="MDU74" s="705"/>
      <c r="MDV74" s="799"/>
      <c r="MDW74" s="800"/>
      <c r="MDX74" s="800"/>
      <c r="MDY74" s="800"/>
      <c r="MDZ74" s="800"/>
      <c r="MEA74" s="800"/>
      <c r="MEB74" s="705"/>
      <c r="MEC74" s="799"/>
      <c r="MED74" s="800"/>
      <c r="MEE74" s="800"/>
      <c r="MEF74" s="800"/>
      <c r="MEG74" s="800"/>
      <c r="MEH74" s="800"/>
      <c r="MEI74" s="705"/>
      <c r="MEJ74" s="799"/>
      <c r="MEK74" s="800"/>
      <c r="MEL74" s="800"/>
      <c r="MEM74" s="800"/>
      <c r="MEN74" s="800"/>
      <c r="MEO74" s="800"/>
      <c r="MEP74" s="705"/>
      <c r="MEQ74" s="799"/>
      <c r="MER74" s="800"/>
      <c r="MES74" s="800"/>
      <c r="MET74" s="800"/>
      <c r="MEU74" s="800"/>
      <c r="MEV74" s="800"/>
      <c r="MEW74" s="705"/>
      <c r="MEX74" s="799"/>
      <c r="MEY74" s="800"/>
      <c r="MEZ74" s="800"/>
      <c r="MFA74" s="800"/>
      <c r="MFB74" s="800"/>
      <c r="MFC74" s="800"/>
      <c r="MFD74" s="705"/>
      <c r="MFE74" s="799"/>
      <c r="MFF74" s="800"/>
      <c r="MFG74" s="800"/>
      <c r="MFH74" s="800"/>
      <c r="MFI74" s="800"/>
      <c r="MFJ74" s="800"/>
      <c r="MFK74" s="705"/>
      <c r="MFL74" s="799"/>
      <c r="MFM74" s="800"/>
      <c r="MFN74" s="800"/>
      <c r="MFO74" s="800"/>
      <c r="MFP74" s="800"/>
      <c r="MFQ74" s="800"/>
      <c r="MFR74" s="705"/>
      <c r="MFS74" s="799"/>
      <c r="MFT74" s="800"/>
      <c r="MFU74" s="800"/>
      <c r="MFV74" s="800"/>
      <c r="MFW74" s="800"/>
      <c r="MFX74" s="800"/>
      <c r="MFY74" s="705"/>
      <c r="MFZ74" s="799"/>
      <c r="MGA74" s="800"/>
      <c r="MGB74" s="800"/>
      <c r="MGC74" s="800"/>
      <c r="MGD74" s="800"/>
      <c r="MGE74" s="800"/>
      <c r="MGF74" s="705"/>
      <c r="MGG74" s="799"/>
      <c r="MGH74" s="800"/>
      <c r="MGI74" s="800"/>
      <c r="MGJ74" s="800"/>
      <c r="MGK74" s="800"/>
      <c r="MGL74" s="800"/>
      <c r="MGM74" s="705"/>
      <c r="MGN74" s="799"/>
      <c r="MGO74" s="800"/>
      <c r="MGP74" s="800"/>
      <c r="MGQ74" s="800"/>
      <c r="MGR74" s="800"/>
      <c r="MGS74" s="800"/>
      <c r="MGT74" s="705"/>
      <c r="MGU74" s="799"/>
      <c r="MGV74" s="800"/>
      <c r="MGW74" s="800"/>
      <c r="MGX74" s="800"/>
      <c r="MGY74" s="800"/>
      <c r="MGZ74" s="800"/>
      <c r="MHA74" s="705"/>
      <c r="MHB74" s="799"/>
      <c r="MHC74" s="800"/>
      <c r="MHD74" s="800"/>
      <c r="MHE74" s="800"/>
      <c r="MHF74" s="800"/>
      <c r="MHG74" s="800"/>
      <c r="MHH74" s="705"/>
      <c r="MHI74" s="799"/>
      <c r="MHJ74" s="800"/>
      <c r="MHK74" s="800"/>
      <c r="MHL74" s="800"/>
      <c r="MHM74" s="800"/>
      <c r="MHN74" s="800"/>
      <c r="MHO74" s="705"/>
      <c r="MHP74" s="799"/>
      <c r="MHQ74" s="800"/>
      <c r="MHR74" s="800"/>
      <c r="MHS74" s="800"/>
      <c r="MHT74" s="800"/>
      <c r="MHU74" s="800"/>
      <c r="MHV74" s="705"/>
      <c r="MHW74" s="799"/>
      <c r="MHX74" s="800"/>
      <c r="MHY74" s="800"/>
      <c r="MHZ74" s="800"/>
      <c r="MIA74" s="800"/>
      <c r="MIB74" s="800"/>
      <c r="MIC74" s="705"/>
      <c r="MID74" s="799"/>
      <c r="MIE74" s="800"/>
      <c r="MIF74" s="800"/>
      <c r="MIG74" s="800"/>
      <c r="MIH74" s="800"/>
      <c r="MII74" s="800"/>
      <c r="MIJ74" s="705"/>
      <c r="MIK74" s="799"/>
      <c r="MIL74" s="800"/>
      <c r="MIM74" s="800"/>
      <c r="MIN74" s="800"/>
      <c r="MIO74" s="800"/>
      <c r="MIP74" s="800"/>
      <c r="MIQ74" s="705"/>
      <c r="MIR74" s="799"/>
      <c r="MIS74" s="800"/>
      <c r="MIT74" s="800"/>
      <c r="MIU74" s="800"/>
      <c r="MIV74" s="800"/>
      <c r="MIW74" s="800"/>
      <c r="MIX74" s="705"/>
      <c r="MIY74" s="799"/>
      <c r="MIZ74" s="800"/>
      <c r="MJA74" s="800"/>
      <c r="MJB74" s="800"/>
      <c r="MJC74" s="800"/>
      <c r="MJD74" s="800"/>
      <c r="MJE74" s="705"/>
      <c r="MJF74" s="799"/>
      <c r="MJG74" s="800"/>
      <c r="MJH74" s="800"/>
      <c r="MJI74" s="800"/>
      <c r="MJJ74" s="800"/>
      <c r="MJK74" s="800"/>
      <c r="MJL74" s="705"/>
      <c r="MJM74" s="799"/>
      <c r="MJN74" s="800"/>
      <c r="MJO74" s="800"/>
      <c r="MJP74" s="800"/>
      <c r="MJQ74" s="800"/>
      <c r="MJR74" s="800"/>
      <c r="MJS74" s="705"/>
      <c r="MJT74" s="799"/>
      <c r="MJU74" s="800"/>
      <c r="MJV74" s="800"/>
      <c r="MJW74" s="800"/>
      <c r="MJX74" s="800"/>
      <c r="MJY74" s="800"/>
      <c r="MJZ74" s="705"/>
      <c r="MKA74" s="799"/>
      <c r="MKB74" s="800"/>
      <c r="MKC74" s="800"/>
      <c r="MKD74" s="800"/>
      <c r="MKE74" s="800"/>
      <c r="MKF74" s="800"/>
      <c r="MKG74" s="705"/>
      <c r="MKH74" s="799"/>
      <c r="MKI74" s="800"/>
      <c r="MKJ74" s="800"/>
      <c r="MKK74" s="800"/>
      <c r="MKL74" s="800"/>
      <c r="MKM74" s="800"/>
      <c r="MKN74" s="705"/>
      <c r="MKO74" s="799"/>
      <c r="MKP74" s="800"/>
      <c r="MKQ74" s="800"/>
      <c r="MKR74" s="800"/>
      <c r="MKS74" s="800"/>
      <c r="MKT74" s="800"/>
      <c r="MKU74" s="705"/>
      <c r="MKV74" s="799"/>
      <c r="MKW74" s="800"/>
      <c r="MKX74" s="800"/>
      <c r="MKY74" s="800"/>
      <c r="MKZ74" s="800"/>
      <c r="MLA74" s="800"/>
      <c r="MLB74" s="705"/>
      <c r="MLC74" s="799"/>
      <c r="MLD74" s="800"/>
      <c r="MLE74" s="800"/>
      <c r="MLF74" s="800"/>
      <c r="MLG74" s="800"/>
      <c r="MLH74" s="800"/>
      <c r="MLI74" s="705"/>
      <c r="MLJ74" s="799"/>
      <c r="MLK74" s="800"/>
      <c r="MLL74" s="800"/>
      <c r="MLM74" s="800"/>
      <c r="MLN74" s="800"/>
      <c r="MLO74" s="800"/>
      <c r="MLP74" s="705"/>
      <c r="MLQ74" s="799"/>
      <c r="MLR74" s="800"/>
      <c r="MLS74" s="800"/>
      <c r="MLT74" s="800"/>
      <c r="MLU74" s="800"/>
      <c r="MLV74" s="800"/>
      <c r="MLW74" s="705"/>
      <c r="MLX74" s="799"/>
      <c r="MLY74" s="800"/>
      <c r="MLZ74" s="800"/>
      <c r="MMA74" s="800"/>
      <c r="MMB74" s="800"/>
      <c r="MMC74" s="800"/>
      <c r="MMD74" s="705"/>
      <c r="MME74" s="799"/>
      <c r="MMF74" s="800"/>
      <c r="MMG74" s="800"/>
      <c r="MMH74" s="800"/>
      <c r="MMI74" s="800"/>
      <c r="MMJ74" s="800"/>
      <c r="MMK74" s="705"/>
      <c r="MML74" s="799"/>
      <c r="MMM74" s="800"/>
      <c r="MMN74" s="800"/>
      <c r="MMO74" s="800"/>
      <c r="MMP74" s="800"/>
      <c r="MMQ74" s="800"/>
      <c r="MMR74" s="705"/>
      <c r="MMS74" s="799"/>
      <c r="MMT74" s="800"/>
      <c r="MMU74" s="800"/>
      <c r="MMV74" s="800"/>
      <c r="MMW74" s="800"/>
      <c r="MMX74" s="800"/>
      <c r="MMY74" s="705"/>
      <c r="MMZ74" s="799"/>
      <c r="MNA74" s="800"/>
      <c r="MNB74" s="800"/>
      <c r="MNC74" s="800"/>
      <c r="MND74" s="800"/>
      <c r="MNE74" s="800"/>
      <c r="MNF74" s="705"/>
      <c r="MNG74" s="799"/>
      <c r="MNH74" s="800"/>
      <c r="MNI74" s="800"/>
      <c r="MNJ74" s="800"/>
      <c r="MNK74" s="800"/>
      <c r="MNL74" s="800"/>
      <c r="MNM74" s="705"/>
      <c r="MNN74" s="799"/>
      <c r="MNO74" s="800"/>
      <c r="MNP74" s="800"/>
      <c r="MNQ74" s="800"/>
      <c r="MNR74" s="800"/>
      <c r="MNS74" s="800"/>
      <c r="MNT74" s="705"/>
      <c r="MNU74" s="799"/>
      <c r="MNV74" s="800"/>
      <c r="MNW74" s="800"/>
      <c r="MNX74" s="800"/>
      <c r="MNY74" s="800"/>
      <c r="MNZ74" s="800"/>
      <c r="MOA74" s="705"/>
      <c r="MOB74" s="799"/>
      <c r="MOC74" s="800"/>
      <c r="MOD74" s="800"/>
      <c r="MOE74" s="800"/>
      <c r="MOF74" s="800"/>
      <c r="MOG74" s="800"/>
      <c r="MOH74" s="705"/>
      <c r="MOI74" s="799"/>
      <c r="MOJ74" s="800"/>
      <c r="MOK74" s="800"/>
      <c r="MOL74" s="800"/>
      <c r="MOM74" s="800"/>
      <c r="MON74" s="800"/>
      <c r="MOO74" s="705"/>
      <c r="MOP74" s="799"/>
      <c r="MOQ74" s="800"/>
      <c r="MOR74" s="800"/>
      <c r="MOS74" s="800"/>
      <c r="MOT74" s="800"/>
      <c r="MOU74" s="800"/>
      <c r="MOV74" s="705"/>
      <c r="MOW74" s="799"/>
      <c r="MOX74" s="800"/>
      <c r="MOY74" s="800"/>
      <c r="MOZ74" s="800"/>
      <c r="MPA74" s="800"/>
      <c r="MPB74" s="800"/>
      <c r="MPC74" s="705"/>
      <c r="MPD74" s="799"/>
      <c r="MPE74" s="800"/>
      <c r="MPF74" s="800"/>
      <c r="MPG74" s="800"/>
      <c r="MPH74" s="800"/>
      <c r="MPI74" s="800"/>
      <c r="MPJ74" s="705"/>
      <c r="MPK74" s="799"/>
      <c r="MPL74" s="800"/>
      <c r="MPM74" s="800"/>
      <c r="MPN74" s="800"/>
      <c r="MPO74" s="800"/>
      <c r="MPP74" s="800"/>
      <c r="MPQ74" s="705"/>
      <c r="MPR74" s="799"/>
      <c r="MPS74" s="800"/>
      <c r="MPT74" s="800"/>
      <c r="MPU74" s="800"/>
      <c r="MPV74" s="800"/>
      <c r="MPW74" s="800"/>
      <c r="MPX74" s="705"/>
      <c r="MPY74" s="799"/>
      <c r="MPZ74" s="800"/>
      <c r="MQA74" s="800"/>
      <c r="MQB74" s="800"/>
      <c r="MQC74" s="800"/>
      <c r="MQD74" s="800"/>
      <c r="MQE74" s="705"/>
      <c r="MQF74" s="799"/>
      <c r="MQG74" s="800"/>
      <c r="MQH74" s="800"/>
      <c r="MQI74" s="800"/>
      <c r="MQJ74" s="800"/>
      <c r="MQK74" s="800"/>
      <c r="MQL74" s="705"/>
      <c r="MQM74" s="799"/>
      <c r="MQN74" s="800"/>
      <c r="MQO74" s="800"/>
      <c r="MQP74" s="800"/>
      <c r="MQQ74" s="800"/>
      <c r="MQR74" s="800"/>
      <c r="MQS74" s="705"/>
      <c r="MQT74" s="799"/>
      <c r="MQU74" s="800"/>
      <c r="MQV74" s="800"/>
      <c r="MQW74" s="800"/>
      <c r="MQX74" s="800"/>
      <c r="MQY74" s="800"/>
      <c r="MQZ74" s="705"/>
      <c r="MRA74" s="799"/>
      <c r="MRB74" s="800"/>
      <c r="MRC74" s="800"/>
      <c r="MRD74" s="800"/>
      <c r="MRE74" s="800"/>
      <c r="MRF74" s="800"/>
      <c r="MRG74" s="705"/>
      <c r="MRH74" s="799"/>
      <c r="MRI74" s="800"/>
      <c r="MRJ74" s="800"/>
      <c r="MRK74" s="800"/>
      <c r="MRL74" s="800"/>
      <c r="MRM74" s="800"/>
      <c r="MRN74" s="705"/>
      <c r="MRO74" s="799"/>
      <c r="MRP74" s="800"/>
      <c r="MRQ74" s="800"/>
      <c r="MRR74" s="800"/>
      <c r="MRS74" s="800"/>
      <c r="MRT74" s="800"/>
      <c r="MRU74" s="705"/>
      <c r="MRV74" s="799"/>
      <c r="MRW74" s="800"/>
      <c r="MRX74" s="800"/>
      <c r="MRY74" s="800"/>
      <c r="MRZ74" s="800"/>
      <c r="MSA74" s="800"/>
      <c r="MSB74" s="705"/>
      <c r="MSC74" s="799"/>
      <c r="MSD74" s="800"/>
      <c r="MSE74" s="800"/>
      <c r="MSF74" s="800"/>
      <c r="MSG74" s="800"/>
      <c r="MSH74" s="800"/>
      <c r="MSI74" s="705"/>
      <c r="MSJ74" s="799"/>
      <c r="MSK74" s="800"/>
      <c r="MSL74" s="800"/>
      <c r="MSM74" s="800"/>
      <c r="MSN74" s="800"/>
      <c r="MSO74" s="800"/>
      <c r="MSP74" s="705"/>
      <c r="MSQ74" s="799"/>
      <c r="MSR74" s="800"/>
      <c r="MSS74" s="800"/>
      <c r="MST74" s="800"/>
      <c r="MSU74" s="800"/>
      <c r="MSV74" s="800"/>
      <c r="MSW74" s="705"/>
      <c r="MSX74" s="799"/>
      <c r="MSY74" s="800"/>
      <c r="MSZ74" s="800"/>
      <c r="MTA74" s="800"/>
      <c r="MTB74" s="800"/>
      <c r="MTC74" s="800"/>
      <c r="MTD74" s="705"/>
      <c r="MTE74" s="799"/>
      <c r="MTF74" s="800"/>
      <c r="MTG74" s="800"/>
      <c r="MTH74" s="800"/>
      <c r="MTI74" s="800"/>
      <c r="MTJ74" s="800"/>
      <c r="MTK74" s="705"/>
      <c r="MTL74" s="799"/>
      <c r="MTM74" s="800"/>
      <c r="MTN74" s="800"/>
      <c r="MTO74" s="800"/>
      <c r="MTP74" s="800"/>
      <c r="MTQ74" s="800"/>
      <c r="MTR74" s="705"/>
      <c r="MTS74" s="799"/>
      <c r="MTT74" s="800"/>
      <c r="MTU74" s="800"/>
      <c r="MTV74" s="800"/>
      <c r="MTW74" s="800"/>
      <c r="MTX74" s="800"/>
      <c r="MTY74" s="705"/>
      <c r="MTZ74" s="799"/>
      <c r="MUA74" s="800"/>
      <c r="MUB74" s="800"/>
      <c r="MUC74" s="800"/>
      <c r="MUD74" s="800"/>
      <c r="MUE74" s="800"/>
      <c r="MUF74" s="705"/>
      <c r="MUG74" s="799"/>
      <c r="MUH74" s="800"/>
      <c r="MUI74" s="800"/>
      <c r="MUJ74" s="800"/>
      <c r="MUK74" s="800"/>
      <c r="MUL74" s="800"/>
      <c r="MUM74" s="705"/>
      <c r="MUN74" s="799"/>
      <c r="MUO74" s="800"/>
      <c r="MUP74" s="800"/>
      <c r="MUQ74" s="800"/>
      <c r="MUR74" s="800"/>
      <c r="MUS74" s="800"/>
      <c r="MUT74" s="705"/>
      <c r="MUU74" s="799"/>
      <c r="MUV74" s="800"/>
      <c r="MUW74" s="800"/>
      <c r="MUX74" s="800"/>
      <c r="MUY74" s="800"/>
      <c r="MUZ74" s="800"/>
      <c r="MVA74" s="705"/>
      <c r="MVB74" s="799"/>
      <c r="MVC74" s="800"/>
      <c r="MVD74" s="800"/>
      <c r="MVE74" s="800"/>
      <c r="MVF74" s="800"/>
      <c r="MVG74" s="800"/>
      <c r="MVH74" s="705"/>
      <c r="MVI74" s="799"/>
      <c r="MVJ74" s="800"/>
      <c r="MVK74" s="800"/>
      <c r="MVL74" s="800"/>
      <c r="MVM74" s="800"/>
      <c r="MVN74" s="800"/>
      <c r="MVO74" s="705"/>
      <c r="MVP74" s="799"/>
      <c r="MVQ74" s="800"/>
      <c r="MVR74" s="800"/>
      <c r="MVS74" s="800"/>
      <c r="MVT74" s="800"/>
      <c r="MVU74" s="800"/>
      <c r="MVV74" s="705"/>
      <c r="MVW74" s="799"/>
      <c r="MVX74" s="800"/>
      <c r="MVY74" s="800"/>
      <c r="MVZ74" s="800"/>
      <c r="MWA74" s="800"/>
      <c r="MWB74" s="800"/>
      <c r="MWC74" s="705"/>
      <c r="MWD74" s="799"/>
      <c r="MWE74" s="800"/>
      <c r="MWF74" s="800"/>
      <c r="MWG74" s="800"/>
      <c r="MWH74" s="800"/>
      <c r="MWI74" s="800"/>
      <c r="MWJ74" s="705"/>
      <c r="MWK74" s="799"/>
      <c r="MWL74" s="800"/>
      <c r="MWM74" s="800"/>
      <c r="MWN74" s="800"/>
      <c r="MWO74" s="800"/>
      <c r="MWP74" s="800"/>
      <c r="MWQ74" s="705"/>
      <c r="MWR74" s="799"/>
      <c r="MWS74" s="800"/>
      <c r="MWT74" s="800"/>
      <c r="MWU74" s="800"/>
      <c r="MWV74" s="800"/>
      <c r="MWW74" s="800"/>
      <c r="MWX74" s="705"/>
      <c r="MWY74" s="799"/>
      <c r="MWZ74" s="800"/>
      <c r="MXA74" s="800"/>
      <c r="MXB74" s="800"/>
      <c r="MXC74" s="800"/>
      <c r="MXD74" s="800"/>
      <c r="MXE74" s="705"/>
      <c r="MXF74" s="799"/>
      <c r="MXG74" s="800"/>
      <c r="MXH74" s="800"/>
      <c r="MXI74" s="800"/>
      <c r="MXJ74" s="800"/>
      <c r="MXK74" s="800"/>
      <c r="MXL74" s="705"/>
      <c r="MXM74" s="799"/>
      <c r="MXN74" s="800"/>
      <c r="MXO74" s="800"/>
      <c r="MXP74" s="800"/>
      <c r="MXQ74" s="800"/>
      <c r="MXR74" s="800"/>
      <c r="MXS74" s="705"/>
      <c r="MXT74" s="799"/>
      <c r="MXU74" s="800"/>
      <c r="MXV74" s="800"/>
      <c r="MXW74" s="800"/>
      <c r="MXX74" s="800"/>
      <c r="MXY74" s="800"/>
      <c r="MXZ74" s="705"/>
      <c r="MYA74" s="799"/>
      <c r="MYB74" s="800"/>
      <c r="MYC74" s="800"/>
      <c r="MYD74" s="800"/>
      <c r="MYE74" s="800"/>
      <c r="MYF74" s="800"/>
      <c r="MYG74" s="705"/>
      <c r="MYH74" s="799"/>
      <c r="MYI74" s="800"/>
      <c r="MYJ74" s="800"/>
      <c r="MYK74" s="800"/>
      <c r="MYL74" s="800"/>
      <c r="MYM74" s="800"/>
      <c r="MYN74" s="705"/>
      <c r="MYO74" s="799"/>
      <c r="MYP74" s="800"/>
      <c r="MYQ74" s="800"/>
      <c r="MYR74" s="800"/>
      <c r="MYS74" s="800"/>
      <c r="MYT74" s="800"/>
      <c r="MYU74" s="705"/>
      <c r="MYV74" s="799"/>
      <c r="MYW74" s="800"/>
      <c r="MYX74" s="800"/>
      <c r="MYY74" s="800"/>
      <c r="MYZ74" s="800"/>
      <c r="MZA74" s="800"/>
      <c r="MZB74" s="705"/>
      <c r="MZC74" s="799"/>
      <c r="MZD74" s="800"/>
      <c r="MZE74" s="800"/>
      <c r="MZF74" s="800"/>
      <c r="MZG74" s="800"/>
      <c r="MZH74" s="800"/>
      <c r="MZI74" s="705"/>
      <c r="MZJ74" s="799"/>
      <c r="MZK74" s="800"/>
      <c r="MZL74" s="800"/>
      <c r="MZM74" s="800"/>
      <c r="MZN74" s="800"/>
      <c r="MZO74" s="800"/>
      <c r="MZP74" s="705"/>
      <c r="MZQ74" s="799"/>
      <c r="MZR74" s="800"/>
      <c r="MZS74" s="800"/>
      <c r="MZT74" s="800"/>
      <c r="MZU74" s="800"/>
      <c r="MZV74" s="800"/>
      <c r="MZW74" s="705"/>
      <c r="MZX74" s="799"/>
      <c r="MZY74" s="800"/>
      <c r="MZZ74" s="800"/>
      <c r="NAA74" s="800"/>
      <c r="NAB74" s="800"/>
      <c r="NAC74" s="800"/>
      <c r="NAD74" s="705"/>
      <c r="NAE74" s="799"/>
      <c r="NAF74" s="800"/>
      <c r="NAG74" s="800"/>
      <c r="NAH74" s="800"/>
      <c r="NAI74" s="800"/>
      <c r="NAJ74" s="800"/>
      <c r="NAK74" s="705"/>
      <c r="NAL74" s="799"/>
      <c r="NAM74" s="800"/>
      <c r="NAN74" s="800"/>
      <c r="NAO74" s="800"/>
      <c r="NAP74" s="800"/>
      <c r="NAQ74" s="800"/>
      <c r="NAR74" s="705"/>
      <c r="NAS74" s="799"/>
      <c r="NAT74" s="800"/>
      <c r="NAU74" s="800"/>
      <c r="NAV74" s="800"/>
      <c r="NAW74" s="800"/>
      <c r="NAX74" s="800"/>
      <c r="NAY74" s="705"/>
      <c r="NAZ74" s="799"/>
      <c r="NBA74" s="800"/>
      <c r="NBB74" s="800"/>
      <c r="NBC74" s="800"/>
      <c r="NBD74" s="800"/>
      <c r="NBE74" s="800"/>
      <c r="NBF74" s="705"/>
      <c r="NBG74" s="799"/>
      <c r="NBH74" s="800"/>
      <c r="NBI74" s="800"/>
      <c r="NBJ74" s="800"/>
      <c r="NBK74" s="800"/>
      <c r="NBL74" s="800"/>
      <c r="NBM74" s="705"/>
      <c r="NBN74" s="799"/>
      <c r="NBO74" s="800"/>
      <c r="NBP74" s="800"/>
      <c r="NBQ74" s="800"/>
      <c r="NBR74" s="800"/>
      <c r="NBS74" s="800"/>
      <c r="NBT74" s="705"/>
      <c r="NBU74" s="799"/>
      <c r="NBV74" s="800"/>
      <c r="NBW74" s="800"/>
      <c r="NBX74" s="800"/>
      <c r="NBY74" s="800"/>
      <c r="NBZ74" s="800"/>
      <c r="NCA74" s="705"/>
      <c r="NCB74" s="799"/>
      <c r="NCC74" s="800"/>
      <c r="NCD74" s="800"/>
      <c r="NCE74" s="800"/>
      <c r="NCF74" s="800"/>
      <c r="NCG74" s="800"/>
      <c r="NCH74" s="705"/>
      <c r="NCI74" s="799"/>
      <c r="NCJ74" s="800"/>
      <c r="NCK74" s="800"/>
      <c r="NCL74" s="800"/>
      <c r="NCM74" s="800"/>
      <c r="NCN74" s="800"/>
      <c r="NCO74" s="705"/>
      <c r="NCP74" s="799"/>
      <c r="NCQ74" s="800"/>
      <c r="NCR74" s="800"/>
      <c r="NCS74" s="800"/>
      <c r="NCT74" s="800"/>
      <c r="NCU74" s="800"/>
      <c r="NCV74" s="705"/>
      <c r="NCW74" s="799"/>
      <c r="NCX74" s="800"/>
      <c r="NCY74" s="800"/>
      <c r="NCZ74" s="800"/>
      <c r="NDA74" s="800"/>
      <c r="NDB74" s="800"/>
      <c r="NDC74" s="705"/>
      <c r="NDD74" s="799"/>
      <c r="NDE74" s="800"/>
      <c r="NDF74" s="800"/>
      <c r="NDG74" s="800"/>
      <c r="NDH74" s="800"/>
      <c r="NDI74" s="800"/>
      <c r="NDJ74" s="705"/>
      <c r="NDK74" s="799"/>
      <c r="NDL74" s="800"/>
      <c r="NDM74" s="800"/>
      <c r="NDN74" s="800"/>
      <c r="NDO74" s="800"/>
      <c r="NDP74" s="800"/>
      <c r="NDQ74" s="705"/>
      <c r="NDR74" s="799"/>
      <c r="NDS74" s="800"/>
      <c r="NDT74" s="800"/>
      <c r="NDU74" s="800"/>
      <c r="NDV74" s="800"/>
      <c r="NDW74" s="800"/>
      <c r="NDX74" s="705"/>
      <c r="NDY74" s="799"/>
      <c r="NDZ74" s="800"/>
      <c r="NEA74" s="800"/>
      <c r="NEB74" s="800"/>
      <c r="NEC74" s="800"/>
      <c r="NED74" s="800"/>
      <c r="NEE74" s="705"/>
      <c r="NEF74" s="799"/>
      <c r="NEG74" s="800"/>
      <c r="NEH74" s="800"/>
      <c r="NEI74" s="800"/>
      <c r="NEJ74" s="800"/>
      <c r="NEK74" s="800"/>
      <c r="NEL74" s="705"/>
      <c r="NEM74" s="799"/>
      <c r="NEN74" s="800"/>
      <c r="NEO74" s="800"/>
      <c r="NEP74" s="800"/>
      <c r="NEQ74" s="800"/>
      <c r="NER74" s="800"/>
      <c r="NES74" s="705"/>
      <c r="NET74" s="799"/>
      <c r="NEU74" s="800"/>
      <c r="NEV74" s="800"/>
      <c r="NEW74" s="800"/>
      <c r="NEX74" s="800"/>
      <c r="NEY74" s="800"/>
      <c r="NEZ74" s="705"/>
      <c r="NFA74" s="799"/>
      <c r="NFB74" s="800"/>
      <c r="NFC74" s="800"/>
      <c r="NFD74" s="800"/>
      <c r="NFE74" s="800"/>
      <c r="NFF74" s="800"/>
      <c r="NFG74" s="705"/>
      <c r="NFH74" s="799"/>
      <c r="NFI74" s="800"/>
      <c r="NFJ74" s="800"/>
      <c r="NFK74" s="800"/>
      <c r="NFL74" s="800"/>
      <c r="NFM74" s="800"/>
      <c r="NFN74" s="705"/>
      <c r="NFO74" s="799"/>
      <c r="NFP74" s="800"/>
      <c r="NFQ74" s="800"/>
      <c r="NFR74" s="800"/>
      <c r="NFS74" s="800"/>
      <c r="NFT74" s="800"/>
      <c r="NFU74" s="705"/>
      <c r="NFV74" s="799"/>
      <c r="NFW74" s="800"/>
      <c r="NFX74" s="800"/>
      <c r="NFY74" s="800"/>
      <c r="NFZ74" s="800"/>
      <c r="NGA74" s="800"/>
      <c r="NGB74" s="705"/>
      <c r="NGC74" s="799"/>
      <c r="NGD74" s="800"/>
      <c r="NGE74" s="800"/>
      <c r="NGF74" s="800"/>
      <c r="NGG74" s="800"/>
      <c r="NGH74" s="800"/>
      <c r="NGI74" s="705"/>
      <c r="NGJ74" s="799"/>
      <c r="NGK74" s="800"/>
      <c r="NGL74" s="800"/>
      <c r="NGM74" s="800"/>
      <c r="NGN74" s="800"/>
      <c r="NGO74" s="800"/>
      <c r="NGP74" s="705"/>
      <c r="NGQ74" s="799"/>
      <c r="NGR74" s="800"/>
      <c r="NGS74" s="800"/>
      <c r="NGT74" s="800"/>
      <c r="NGU74" s="800"/>
      <c r="NGV74" s="800"/>
      <c r="NGW74" s="705"/>
      <c r="NGX74" s="799"/>
      <c r="NGY74" s="800"/>
      <c r="NGZ74" s="800"/>
      <c r="NHA74" s="800"/>
      <c r="NHB74" s="800"/>
      <c r="NHC74" s="800"/>
      <c r="NHD74" s="705"/>
      <c r="NHE74" s="799"/>
      <c r="NHF74" s="800"/>
      <c r="NHG74" s="800"/>
      <c r="NHH74" s="800"/>
      <c r="NHI74" s="800"/>
      <c r="NHJ74" s="800"/>
      <c r="NHK74" s="705"/>
      <c r="NHL74" s="799"/>
      <c r="NHM74" s="800"/>
      <c r="NHN74" s="800"/>
      <c r="NHO74" s="800"/>
      <c r="NHP74" s="800"/>
      <c r="NHQ74" s="800"/>
      <c r="NHR74" s="705"/>
      <c r="NHS74" s="799"/>
      <c r="NHT74" s="800"/>
      <c r="NHU74" s="800"/>
      <c r="NHV74" s="800"/>
      <c r="NHW74" s="800"/>
      <c r="NHX74" s="800"/>
      <c r="NHY74" s="705"/>
      <c r="NHZ74" s="799"/>
      <c r="NIA74" s="800"/>
      <c r="NIB74" s="800"/>
      <c r="NIC74" s="800"/>
      <c r="NID74" s="800"/>
      <c r="NIE74" s="800"/>
      <c r="NIF74" s="705"/>
      <c r="NIG74" s="799"/>
      <c r="NIH74" s="800"/>
      <c r="NII74" s="800"/>
      <c r="NIJ74" s="800"/>
      <c r="NIK74" s="800"/>
      <c r="NIL74" s="800"/>
      <c r="NIM74" s="705"/>
      <c r="NIN74" s="799"/>
      <c r="NIO74" s="800"/>
      <c r="NIP74" s="800"/>
      <c r="NIQ74" s="800"/>
      <c r="NIR74" s="800"/>
      <c r="NIS74" s="800"/>
      <c r="NIT74" s="705"/>
      <c r="NIU74" s="799"/>
      <c r="NIV74" s="800"/>
      <c r="NIW74" s="800"/>
      <c r="NIX74" s="800"/>
      <c r="NIY74" s="800"/>
      <c r="NIZ74" s="800"/>
      <c r="NJA74" s="705"/>
      <c r="NJB74" s="799"/>
      <c r="NJC74" s="800"/>
      <c r="NJD74" s="800"/>
      <c r="NJE74" s="800"/>
      <c r="NJF74" s="800"/>
      <c r="NJG74" s="800"/>
      <c r="NJH74" s="705"/>
      <c r="NJI74" s="799"/>
      <c r="NJJ74" s="800"/>
      <c r="NJK74" s="800"/>
      <c r="NJL74" s="800"/>
      <c r="NJM74" s="800"/>
      <c r="NJN74" s="800"/>
      <c r="NJO74" s="705"/>
      <c r="NJP74" s="799"/>
      <c r="NJQ74" s="800"/>
      <c r="NJR74" s="800"/>
      <c r="NJS74" s="800"/>
      <c r="NJT74" s="800"/>
      <c r="NJU74" s="800"/>
      <c r="NJV74" s="705"/>
      <c r="NJW74" s="799"/>
      <c r="NJX74" s="800"/>
      <c r="NJY74" s="800"/>
      <c r="NJZ74" s="800"/>
      <c r="NKA74" s="800"/>
      <c r="NKB74" s="800"/>
      <c r="NKC74" s="705"/>
      <c r="NKD74" s="799"/>
      <c r="NKE74" s="800"/>
      <c r="NKF74" s="800"/>
      <c r="NKG74" s="800"/>
      <c r="NKH74" s="800"/>
      <c r="NKI74" s="800"/>
      <c r="NKJ74" s="705"/>
      <c r="NKK74" s="799"/>
      <c r="NKL74" s="800"/>
      <c r="NKM74" s="800"/>
      <c r="NKN74" s="800"/>
      <c r="NKO74" s="800"/>
      <c r="NKP74" s="800"/>
      <c r="NKQ74" s="705"/>
      <c r="NKR74" s="799"/>
      <c r="NKS74" s="800"/>
      <c r="NKT74" s="800"/>
      <c r="NKU74" s="800"/>
      <c r="NKV74" s="800"/>
      <c r="NKW74" s="800"/>
      <c r="NKX74" s="705"/>
      <c r="NKY74" s="799"/>
      <c r="NKZ74" s="800"/>
      <c r="NLA74" s="800"/>
      <c r="NLB74" s="800"/>
      <c r="NLC74" s="800"/>
      <c r="NLD74" s="800"/>
      <c r="NLE74" s="705"/>
      <c r="NLF74" s="799"/>
      <c r="NLG74" s="800"/>
      <c r="NLH74" s="800"/>
      <c r="NLI74" s="800"/>
      <c r="NLJ74" s="800"/>
      <c r="NLK74" s="800"/>
      <c r="NLL74" s="705"/>
      <c r="NLM74" s="799"/>
      <c r="NLN74" s="800"/>
      <c r="NLO74" s="800"/>
      <c r="NLP74" s="800"/>
      <c r="NLQ74" s="800"/>
      <c r="NLR74" s="800"/>
      <c r="NLS74" s="705"/>
      <c r="NLT74" s="799"/>
      <c r="NLU74" s="800"/>
      <c r="NLV74" s="800"/>
      <c r="NLW74" s="800"/>
      <c r="NLX74" s="800"/>
      <c r="NLY74" s="800"/>
      <c r="NLZ74" s="705"/>
      <c r="NMA74" s="799"/>
      <c r="NMB74" s="800"/>
      <c r="NMC74" s="800"/>
      <c r="NMD74" s="800"/>
      <c r="NME74" s="800"/>
      <c r="NMF74" s="800"/>
      <c r="NMG74" s="705"/>
      <c r="NMH74" s="799"/>
      <c r="NMI74" s="800"/>
      <c r="NMJ74" s="800"/>
      <c r="NMK74" s="800"/>
      <c r="NML74" s="800"/>
      <c r="NMM74" s="800"/>
      <c r="NMN74" s="705"/>
      <c r="NMO74" s="799"/>
      <c r="NMP74" s="800"/>
      <c r="NMQ74" s="800"/>
      <c r="NMR74" s="800"/>
      <c r="NMS74" s="800"/>
      <c r="NMT74" s="800"/>
      <c r="NMU74" s="705"/>
      <c r="NMV74" s="799"/>
      <c r="NMW74" s="800"/>
      <c r="NMX74" s="800"/>
      <c r="NMY74" s="800"/>
      <c r="NMZ74" s="800"/>
      <c r="NNA74" s="800"/>
      <c r="NNB74" s="705"/>
      <c r="NNC74" s="799"/>
      <c r="NND74" s="800"/>
      <c r="NNE74" s="800"/>
      <c r="NNF74" s="800"/>
      <c r="NNG74" s="800"/>
      <c r="NNH74" s="800"/>
      <c r="NNI74" s="705"/>
      <c r="NNJ74" s="799"/>
      <c r="NNK74" s="800"/>
      <c r="NNL74" s="800"/>
      <c r="NNM74" s="800"/>
      <c r="NNN74" s="800"/>
      <c r="NNO74" s="800"/>
      <c r="NNP74" s="705"/>
      <c r="NNQ74" s="799"/>
      <c r="NNR74" s="800"/>
      <c r="NNS74" s="800"/>
      <c r="NNT74" s="800"/>
      <c r="NNU74" s="800"/>
      <c r="NNV74" s="800"/>
      <c r="NNW74" s="705"/>
      <c r="NNX74" s="799"/>
      <c r="NNY74" s="800"/>
      <c r="NNZ74" s="800"/>
      <c r="NOA74" s="800"/>
      <c r="NOB74" s="800"/>
      <c r="NOC74" s="800"/>
      <c r="NOD74" s="705"/>
      <c r="NOE74" s="799"/>
      <c r="NOF74" s="800"/>
      <c r="NOG74" s="800"/>
      <c r="NOH74" s="800"/>
      <c r="NOI74" s="800"/>
      <c r="NOJ74" s="800"/>
      <c r="NOK74" s="705"/>
      <c r="NOL74" s="799"/>
      <c r="NOM74" s="800"/>
      <c r="NON74" s="800"/>
      <c r="NOO74" s="800"/>
      <c r="NOP74" s="800"/>
      <c r="NOQ74" s="800"/>
      <c r="NOR74" s="705"/>
      <c r="NOS74" s="799"/>
      <c r="NOT74" s="800"/>
      <c r="NOU74" s="800"/>
      <c r="NOV74" s="800"/>
      <c r="NOW74" s="800"/>
      <c r="NOX74" s="800"/>
      <c r="NOY74" s="705"/>
      <c r="NOZ74" s="799"/>
      <c r="NPA74" s="800"/>
      <c r="NPB74" s="800"/>
      <c r="NPC74" s="800"/>
      <c r="NPD74" s="800"/>
      <c r="NPE74" s="800"/>
      <c r="NPF74" s="705"/>
      <c r="NPG74" s="799"/>
      <c r="NPH74" s="800"/>
      <c r="NPI74" s="800"/>
      <c r="NPJ74" s="800"/>
      <c r="NPK74" s="800"/>
      <c r="NPL74" s="800"/>
      <c r="NPM74" s="705"/>
      <c r="NPN74" s="799"/>
      <c r="NPO74" s="800"/>
      <c r="NPP74" s="800"/>
      <c r="NPQ74" s="800"/>
      <c r="NPR74" s="800"/>
      <c r="NPS74" s="800"/>
      <c r="NPT74" s="705"/>
      <c r="NPU74" s="799"/>
      <c r="NPV74" s="800"/>
      <c r="NPW74" s="800"/>
      <c r="NPX74" s="800"/>
      <c r="NPY74" s="800"/>
      <c r="NPZ74" s="800"/>
      <c r="NQA74" s="705"/>
      <c r="NQB74" s="799"/>
      <c r="NQC74" s="800"/>
      <c r="NQD74" s="800"/>
      <c r="NQE74" s="800"/>
      <c r="NQF74" s="800"/>
      <c r="NQG74" s="800"/>
      <c r="NQH74" s="705"/>
      <c r="NQI74" s="799"/>
      <c r="NQJ74" s="800"/>
      <c r="NQK74" s="800"/>
      <c r="NQL74" s="800"/>
      <c r="NQM74" s="800"/>
      <c r="NQN74" s="800"/>
      <c r="NQO74" s="705"/>
      <c r="NQP74" s="799"/>
      <c r="NQQ74" s="800"/>
      <c r="NQR74" s="800"/>
      <c r="NQS74" s="800"/>
      <c r="NQT74" s="800"/>
      <c r="NQU74" s="800"/>
      <c r="NQV74" s="705"/>
      <c r="NQW74" s="799"/>
      <c r="NQX74" s="800"/>
      <c r="NQY74" s="800"/>
      <c r="NQZ74" s="800"/>
      <c r="NRA74" s="800"/>
      <c r="NRB74" s="800"/>
      <c r="NRC74" s="705"/>
      <c r="NRD74" s="799"/>
      <c r="NRE74" s="800"/>
      <c r="NRF74" s="800"/>
      <c r="NRG74" s="800"/>
      <c r="NRH74" s="800"/>
      <c r="NRI74" s="800"/>
      <c r="NRJ74" s="705"/>
      <c r="NRK74" s="799"/>
      <c r="NRL74" s="800"/>
      <c r="NRM74" s="800"/>
      <c r="NRN74" s="800"/>
      <c r="NRO74" s="800"/>
      <c r="NRP74" s="800"/>
      <c r="NRQ74" s="705"/>
      <c r="NRR74" s="799"/>
      <c r="NRS74" s="800"/>
      <c r="NRT74" s="800"/>
      <c r="NRU74" s="800"/>
      <c r="NRV74" s="800"/>
      <c r="NRW74" s="800"/>
      <c r="NRX74" s="705"/>
      <c r="NRY74" s="799"/>
      <c r="NRZ74" s="800"/>
      <c r="NSA74" s="800"/>
      <c r="NSB74" s="800"/>
      <c r="NSC74" s="800"/>
      <c r="NSD74" s="800"/>
      <c r="NSE74" s="705"/>
      <c r="NSF74" s="799"/>
      <c r="NSG74" s="800"/>
      <c r="NSH74" s="800"/>
      <c r="NSI74" s="800"/>
      <c r="NSJ74" s="800"/>
      <c r="NSK74" s="800"/>
      <c r="NSL74" s="705"/>
      <c r="NSM74" s="799"/>
      <c r="NSN74" s="800"/>
      <c r="NSO74" s="800"/>
      <c r="NSP74" s="800"/>
      <c r="NSQ74" s="800"/>
      <c r="NSR74" s="800"/>
      <c r="NSS74" s="705"/>
      <c r="NST74" s="799"/>
      <c r="NSU74" s="800"/>
      <c r="NSV74" s="800"/>
      <c r="NSW74" s="800"/>
      <c r="NSX74" s="800"/>
      <c r="NSY74" s="800"/>
      <c r="NSZ74" s="705"/>
      <c r="NTA74" s="799"/>
      <c r="NTB74" s="800"/>
      <c r="NTC74" s="800"/>
      <c r="NTD74" s="800"/>
      <c r="NTE74" s="800"/>
      <c r="NTF74" s="800"/>
      <c r="NTG74" s="705"/>
      <c r="NTH74" s="799"/>
      <c r="NTI74" s="800"/>
      <c r="NTJ74" s="800"/>
      <c r="NTK74" s="800"/>
      <c r="NTL74" s="800"/>
      <c r="NTM74" s="800"/>
      <c r="NTN74" s="705"/>
      <c r="NTO74" s="799"/>
      <c r="NTP74" s="800"/>
      <c r="NTQ74" s="800"/>
      <c r="NTR74" s="800"/>
      <c r="NTS74" s="800"/>
      <c r="NTT74" s="800"/>
      <c r="NTU74" s="705"/>
      <c r="NTV74" s="799"/>
      <c r="NTW74" s="800"/>
      <c r="NTX74" s="800"/>
      <c r="NTY74" s="800"/>
      <c r="NTZ74" s="800"/>
      <c r="NUA74" s="800"/>
      <c r="NUB74" s="705"/>
      <c r="NUC74" s="799"/>
      <c r="NUD74" s="800"/>
      <c r="NUE74" s="800"/>
      <c r="NUF74" s="800"/>
      <c r="NUG74" s="800"/>
      <c r="NUH74" s="800"/>
      <c r="NUI74" s="705"/>
      <c r="NUJ74" s="799"/>
      <c r="NUK74" s="800"/>
      <c r="NUL74" s="800"/>
      <c r="NUM74" s="800"/>
      <c r="NUN74" s="800"/>
      <c r="NUO74" s="800"/>
      <c r="NUP74" s="705"/>
      <c r="NUQ74" s="799"/>
      <c r="NUR74" s="800"/>
      <c r="NUS74" s="800"/>
      <c r="NUT74" s="800"/>
      <c r="NUU74" s="800"/>
      <c r="NUV74" s="800"/>
      <c r="NUW74" s="705"/>
      <c r="NUX74" s="799"/>
      <c r="NUY74" s="800"/>
      <c r="NUZ74" s="800"/>
      <c r="NVA74" s="800"/>
      <c r="NVB74" s="800"/>
      <c r="NVC74" s="800"/>
      <c r="NVD74" s="705"/>
      <c r="NVE74" s="799"/>
      <c r="NVF74" s="800"/>
      <c r="NVG74" s="800"/>
      <c r="NVH74" s="800"/>
      <c r="NVI74" s="800"/>
      <c r="NVJ74" s="800"/>
      <c r="NVK74" s="705"/>
      <c r="NVL74" s="799"/>
      <c r="NVM74" s="800"/>
      <c r="NVN74" s="800"/>
      <c r="NVO74" s="800"/>
      <c r="NVP74" s="800"/>
      <c r="NVQ74" s="800"/>
      <c r="NVR74" s="705"/>
      <c r="NVS74" s="799"/>
      <c r="NVT74" s="800"/>
      <c r="NVU74" s="800"/>
      <c r="NVV74" s="800"/>
      <c r="NVW74" s="800"/>
      <c r="NVX74" s="800"/>
      <c r="NVY74" s="705"/>
      <c r="NVZ74" s="799"/>
      <c r="NWA74" s="800"/>
      <c r="NWB74" s="800"/>
      <c r="NWC74" s="800"/>
      <c r="NWD74" s="800"/>
      <c r="NWE74" s="800"/>
      <c r="NWF74" s="705"/>
      <c r="NWG74" s="799"/>
      <c r="NWH74" s="800"/>
      <c r="NWI74" s="800"/>
      <c r="NWJ74" s="800"/>
      <c r="NWK74" s="800"/>
      <c r="NWL74" s="800"/>
      <c r="NWM74" s="705"/>
      <c r="NWN74" s="799"/>
      <c r="NWO74" s="800"/>
      <c r="NWP74" s="800"/>
      <c r="NWQ74" s="800"/>
      <c r="NWR74" s="800"/>
      <c r="NWS74" s="800"/>
      <c r="NWT74" s="705"/>
      <c r="NWU74" s="799"/>
      <c r="NWV74" s="800"/>
      <c r="NWW74" s="800"/>
      <c r="NWX74" s="800"/>
      <c r="NWY74" s="800"/>
      <c r="NWZ74" s="800"/>
      <c r="NXA74" s="705"/>
      <c r="NXB74" s="799"/>
      <c r="NXC74" s="800"/>
      <c r="NXD74" s="800"/>
      <c r="NXE74" s="800"/>
      <c r="NXF74" s="800"/>
      <c r="NXG74" s="800"/>
      <c r="NXH74" s="705"/>
      <c r="NXI74" s="799"/>
      <c r="NXJ74" s="800"/>
      <c r="NXK74" s="800"/>
      <c r="NXL74" s="800"/>
      <c r="NXM74" s="800"/>
      <c r="NXN74" s="800"/>
      <c r="NXO74" s="705"/>
      <c r="NXP74" s="799"/>
      <c r="NXQ74" s="800"/>
      <c r="NXR74" s="800"/>
      <c r="NXS74" s="800"/>
      <c r="NXT74" s="800"/>
      <c r="NXU74" s="800"/>
      <c r="NXV74" s="705"/>
      <c r="NXW74" s="799"/>
      <c r="NXX74" s="800"/>
      <c r="NXY74" s="800"/>
      <c r="NXZ74" s="800"/>
      <c r="NYA74" s="800"/>
      <c r="NYB74" s="800"/>
      <c r="NYC74" s="705"/>
      <c r="NYD74" s="799"/>
      <c r="NYE74" s="800"/>
      <c r="NYF74" s="800"/>
      <c r="NYG74" s="800"/>
      <c r="NYH74" s="800"/>
      <c r="NYI74" s="800"/>
      <c r="NYJ74" s="705"/>
      <c r="NYK74" s="799"/>
      <c r="NYL74" s="800"/>
      <c r="NYM74" s="800"/>
      <c r="NYN74" s="800"/>
      <c r="NYO74" s="800"/>
      <c r="NYP74" s="800"/>
      <c r="NYQ74" s="705"/>
      <c r="NYR74" s="799"/>
      <c r="NYS74" s="800"/>
      <c r="NYT74" s="800"/>
      <c r="NYU74" s="800"/>
      <c r="NYV74" s="800"/>
      <c r="NYW74" s="800"/>
      <c r="NYX74" s="705"/>
      <c r="NYY74" s="799"/>
      <c r="NYZ74" s="800"/>
      <c r="NZA74" s="800"/>
      <c r="NZB74" s="800"/>
      <c r="NZC74" s="800"/>
      <c r="NZD74" s="800"/>
      <c r="NZE74" s="705"/>
      <c r="NZF74" s="799"/>
      <c r="NZG74" s="800"/>
      <c r="NZH74" s="800"/>
      <c r="NZI74" s="800"/>
      <c r="NZJ74" s="800"/>
      <c r="NZK74" s="800"/>
      <c r="NZL74" s="705"/>
      <c r="NZM74" s="799"/>
      <c r="NZN74" s="800"/>
      <c r="NZO74" s="800"/>
      <c r="NZP74" s="800"/>
      <c r="NZQ74" s="800"/>
      <c r="NZR74" s="800"/>
      <c r="NZS74" s="705"/>
      <c r="NZT74" s="799"/>
      <c r="NZU74" s="800"/>
      <c r="NZV74" s="800"/>
      <c r="NZW74" s="800"/>
      <c r="NZX74" s="800"/>
      <c r="NZY74" s="800"/>
      <c r="NZZ74" s="705"/>
      <c r="OAA74" s="799"/>
      <c r="OAB74" s="800"/>
      <c r="OAC74" s="800"/>
      <c r="OAD74" s="800"/>
      <c r="OAE74" s="800"/>
      <c r="OAF74" s="800"/>
      <c r="OAG74" s="705"/>
      <c r="OAH74" s="799"/>
      <c r="OAI74" s="800"/>
      <c r="OAJ74" s="800"/>
      <c r="OAK74" s="800"/>
      <c r="OAL74" s="800"/>
      <c r="OAM74" s="800"/>
      <c r="OAN74" s="705"/>
      <c r="OAO74" s="799"/>
      <c r="OAP74" s="800"/>
      <c r="OAQ74" s="800"/>
      <c r="OAR74" s="800"/>
      <c r="OAS74" s="800"/>
      <c r="OAT74" s="800"/>
      <c r="OAU74" s="705"/>
      <c r="OAV74" s="799"/>
      <c r="OAW74" s="800"/>
      <c r="OAX74" s="800"/>
      <c r="OAY74" s="800"/>
      <c r="OAZ74" s="800"/>
      <c r="OBA74" s="800"/>
      <c r="OBB74" s="705"/>
      <c r="OBC74" s="799"/>
      <c r="OBD74" s="800"/>
      <c r="OBE74" s="800"/>
      <c r="OBF74" s="800"/>
      <c r="OBG74" s="800"/>
      <c r="OBH74" s="800"/>
      <c r="OBI74" s="705"/>
      <c r="OBJ74" s="799"/>
      <c r="OBK74" s="800"/>
      <c r="OBL74" s="800"/>
      <c r="OBM74" s="800"/>
      <c r="OBN74" s="800"/>
      <c r="OBO74" s="800"/>
      <c r="OBP74" s="705"/>
      <c r="OBQ74" s="799"/>
      <c r="OBR74" s="800"/>
      <c r="OBS74" s="800"/>
      <c r="OBT74" s="800"/>
      <c r="OBU74" s="800"/>
      <c r="OBV74" s="800"/>
      <c r="OBW74" s="705"/>
      <c r="OBX74" s="799"/>
      <c r="OBY74" s="800"/>
      <c r="OBZ74" s="800"/>
      <c r="OCA74" s="800"/>
      <c r="OCB74" s="800"/>
      <c r="OCC74" s="800"/>
      <c r="OCD74" s="705"/>
      <c r="OCE74" s="799"/>
      <c r="OCF74" s="800"/>
      <c r="OCG74" s="800"/>
      <c r="OCH74" s="800"/>
      <c r="OCI74" s="800"/>
      <c r="OCJ74" s="800"/>
      <c r="OCK74" s="705"/>
      <c r="OCL74" s="799"/>
      <c r="OCM74" s="800"/>
      <c r="OCN74" s="800"/>
      <c r="OCO74" s="800"/>
      <c r="OCP74" s="800"/>
      <c r="OCQ74" s="800"/>
      <c r="OCR74" s="705"/>
      <c r="OCS74" s="799"/>
      <c r="OCT74" s="800"/>
      <c r="OCU74" s="800"/>
      <c r="OCV74" s="800"/>
      <c r="OCW74" s="800"/>
      <c r="OCX74" s="800"/>
      <c r="OCY74" s="705"/>
      <c r="OCZ74" s="799"/>
      <c r="ODA74" s="800"/>
      <c r="ODB74" s="800"/>
      <c r="ODC74" s="800"/>
      <c r="ODD74" s="800"/>
      <c r="ODE74" s="800"/>
      <c r="ODF74" s="705"/>
      <c r="ODG74" s="799"/>
      <c r="ODH74" s="800"/>
      <c r="ODI74" s="800"/>
      <c r="ODJ74" s="800"/>
      <c r="ODK74" s="800"/>
      <c r="ODL74" s="800"/>
      <c r="ODM74" s="705"/>
      <c r="ODN74" s="799"/>
      <c r="ODO74" s="800"/>
      <c r="ODP74" s="800"/>
      <c r="ODQ74" s="800"/>
      <c r="ODR74" s="800"/>
      <c r="ODS74" s="800"/>
      <c r="ODT74" s="705"/>
      <c r="ODU74" s="799"/>
      <c r="ODV74" s="800"/>
      <c r="ODW74" s="800"/>
      <c r="ODX74" s="800"/>
      <c r="ODY74" s="800"/>
      <c r="ODZ74" s="800"/>
      <c r="OEA74" s="705"/>
      <c r="OEB74" s="799"/>
      <c r="OEC74" s="800"/>
      <c r="OED74" s="800"/>
      <c r="OEE74" s="800"/>
      <c r="OEF74" s="800"/>
      <c r="OEG74" s="800"/>
      <c r="OEH74" s="705"/>
      <c r="OEI74" s="799"/>
      <c r="OEJ74" s="800"/>
      <c r="OEK74" s="800"/>
      <c r="OEL74" s="800"/>
      <c r="OEM74" s="800"/>
      <c r="OEN74" s="800"/>
      <c r="OEO74" s="705"/>
      <c r="OEP74" s="799"/>
      <c r="OEQ74" s="800"/>
      <c r="OER74" s="800"/>
      <c r="OES74" s="800"/>
      <c r="OET74" s="800"/>
      <c r="OEU74" s="800"/>
      <c r="OEV74" s="705"/>
      <c r="OEW74" s="799"/>
      <c r="OEX74" s="800"/>
      <c r="OEY74" s="800"/>
      <c r="OEZ74" s="800"/>
      <c r="OFA74" s="800"/>
      <c r="OFB74" s="800"/>
      <c r="OFC74" s="705"/>
      <c r="OFD74" s="799"/>
      <c r="OFE74" s="800"/>
      <c r="OFF74" s="800"/>
      <c r="OFG74" s="800"/>
      <c r="OFH74" s="800"/>
      <c r="OFI74" s="800"/>
      <c r="OFJ74" s="705"/>
      <c r="OFK74" s="799"/>
      <c r="OFL74" s="800"/>
      <c r="OFM74" s="800"/>
      <c r="OFN74" s="800"/>
      <c r="OFO74" s="800"/>
      <c r="OFP74" s="800"/>
      <c r="OFQ74" s="705"/>
      <c r="OFR74" s="799"/>
      <c r="OFS74" s="800"/>
      <c r="OFT74" s="800"/>
      <c r="OFU74" s="800"/>
      <c r="OFV74" s="800"/>
      <c r="OFW74" s="800"/>
      <c r="OFX74" s="705"/>
      <c r="OFY74" s="799"/>
      <c r="OFZ74" s="800"/>
      <c r="OGA74" s="800"/>
      <c r="OGB74" s="800"/>
      <c r="OGC74" s="800"/>
      <c r="OGD74" s="800"/>
      <c r="OGE74" s="705"/>
      <c r="OGF74" s="799"/>
      <c r="OGG74" s="800"/>
      <c r="OGH74" s="800"/>
      <c r="OGI74" s="800"/>
      <c r="OGJ74" s="800"/>
      <c r="OGK74" s="800"/>
      <c r="OGL74" s="705"/>
      <c r="OGM74" s="799"/>
      <c r="OGN74" s="800"/>
      <c r="OGO74" s="800"/>
      <c r="OGP74" s="800"/>
      <c r="OGQ74" s="800"/>
      <c r="OGR74" s="800"/>
      <c r="OGS74" s="705"/>
      <c r="OGT74" s="799"/>
      <c r="OGU74" s="800"/>
      <c r="OGV74" s="800"/>
      <c r="OGW74" s="800"/>
      <c r="OGX74" s="800"/>
      <c r="OGY74" s="800"/>
      <c r="OGZ74" s="705"/>
      <c r="OHA74" s="799"/>
      <c r="OHB74" s="800"/>
      <c r="OHC74" s="800"/>
      <c r="OHD74" s="800"/>
      <c r="OHE74" s="800"/>
      <c r="OHF74" s="800"/>
      <c r="OHG74" s="705"/>
      <c r="OHH74" s="799"/>
      <c r="OHI74" s="800"/>
      <c r="OHJ74" s="800"/>
      <c r="OHK74" s="800"/>
      <c r="OHL74" s="800"/>
      <c r="OHM74" s="800"/>
      <c r="OHN74" s="705"/>
      <c r="OHO74" s="799"/>
      <c r="OHP74" s="800"/>
      <c r="OHQ74" s="800"/>
      <c r="OHR74" s="800"/>
      <c r="OHS74" s="800"/>
      <c r="OHT74" s="800"/>
      <c r="OHU74" s="705"/>
      <c r="OHV74" s="799"/>
      <c r="OHW74" s="800"/>
      <c r="OHX74" s="800"/>
      <c r="OHY74" s="800"/>
      <c r="OHZ74" s="800"/>
      <c r="OIA74" s="800"/>
      <c r="OIB74" s="705"/>
      <c r="OIC74" s="799"/>
      <c r="OID74" s="800"/>
      <c r="OIE74" s="800"/>
      <c r="OIF74" s="800"/>
      <c r="OIG74" s="800"/>
      <c r="OIH74" s="800"/>
      <c r="OII74" s="705"/>
      <c r="OIJ74" s="799"/>
      <c r="OIK74" s="800"/>
      <c r="OIL74" s="800"/>
      <c r="OIM74" s="800"/>
      <c r="OIN74" s="800"/>
      <c r="OIO74" s="800"/>
      <c r="OIP74" s="705"/>
      <c r="OIQ74" s="799"/>
      <c r="OIR74" s="800"/>
      <c r="OIS74" s="800"/>
      <c r="OIT74" s="800"/>
      <c r="OIU74" s="800"/>
      <c r="OIV74" s="800"/>
      <c r="OIW74" s="705"/>
      <c r="OIX74" s="799"/>
      <c r="OIY74" s="800"/>
      <c r="OIZ74" s="800"/>
      <c r="OJA74" s="800"/>
      <c r="OJB74" s="800"/>
      <c r="OJC74" s="800"/>
      <c r="OJD74" s="705"/>
      <c r="OJE74" s="799"/>
      <c r="OJF74" s="800"/>
      <c r="OJG74" s="800"/>
      <c r="OJH74" s="800"/>
      <c r="OJI74" s="800"/>
      <c r="OJJ74" s="800"/>
      <c r="OJK74" s="705"/>
      <c r="OJL74" s="799"/>
      <c r="OJM74" s="800"/>
      <c r="OJN74" s="800"/>
      <c r="OJO74" s="800"/>
      <c r="OJP74" s="800"/>
      <c r="OJQ74" s="800"/>
      <c r="OJR74" s="705"/>
      <c r="OJS74" s="799"/>
      <c r="OJT74" s="800"/>
      <c r="OJU74" s="800"/>
      <c r="OJV74" s="800"/>
      <c r="OJW74" s="800"/>
      <c r="OJX74" s="800"/>
      <c r="OJY74" s="705"/>
      <c r="OJZ74" s="799"/>
      <c r="OKA74" s="800"/>
      <c r="OKB74" s="800"/>
      <c r="OKC74" s="800"/>
      <c r="OKD74" s="800"/>
      <c r="OKE74" s="800"/>
      <c r="OKF74" s="705"/>
      <c r="OKG74" s="799"/>
      <c r="OKH74" s="800"/>
      <c r="OKI74" s="800"/>
      <c r="OKJ74" s="800"/>
      <c r="OKK74" s="800"/>
      <c r="OKL74" s="800"/>
      <c r="OKM74" s="705"/>
      <c r="OKN74" s="799"/>
      <c r="OKO74" s="800"/>
      <c r="OKP74" s="800"/>
      <c r="OKQ74" s="800"/>
      <c r="OKR74" s="800"/>
      <c r="OKS74" s="800"/>
      <c r="OKT74" s="705"/>
      <c r="OKU74" s="799"/>
      <c r="OKV74" s="800"/>
      <c r="OKW74" s="800"/>
      <c r="OKX74" s="800"/>
      <c r="OKY74" s="800"/>
      <c r="OKZ74" s="800"/>
      <c r="OLA74" s="705"/>
      <c r="OLB74" s="799"/>
      <c r="OLC74" s="800"/>
      <c r="OLD74" s="800"/>
      <c r="OLE74" s="800"/>
      <c r="OLF74" s="800"/>
      <c r="OLG74" s="800"/>
      <c r="OLH74" s="705"/>
      <c r="OLI74" s="799"/>
      <c r="OLJ74" s="800"/>
      <c r="OLK74" s="800"/>
      <c r="OLL74" s="800"/>
      <c r="OLM74" s="800"/>
      <c r="OLN74" s="800"/>
      <c r="OLO74" s="705"/>
      <c r="OLP74" s="799"/>
      <c r="OLQ74" s="800"/>
      <c r="OLR74" s="800"/>
      <c r="OLS74" s="800"/>
      <c r="OLT74" s="800"/>
      <c r="OLU74" s="800"/>
      <c r="OLV74" s="705"/>
      <c r="OLW74" s="799"/>
      <c r="OLX74" s="800"/>
      <c r="OLY74" s="800"/>
      <c r="OLZ74" s="800"/>
      <c r="OMA74" s="800"/>
      <c r="OMB74" s="800"/>
      <c r="OMC74" s="705"/>
      <c r="OMD74" s="799"/>
      <c r="OME74" s="800"/>
      <c r="OMF74" s="800"/>
      <c r="OMG74" s="800"/>
      <c r="OMH74" s="800"/>
      <c r="OMI74" s="800"/>
      <c r="OMJ74" s="705"/>
      <c r="OMK74" s="799"/>
      <c r="OML74" s="800"/>
      <c r="OMM74" s="800"/>
      <c r="OMN74" s="800"/>
      <c r="OMO74" s="800"/>
      <c r="OMP74" s="800"/>
      <c r="OMQ74" s="705"/>
      <c r="OMR74" s="799"/>
      <c r="OMS74" s="800"/>
      <c r="OMT74" s="800"/>
      <c r="OMU74" s="800"/>
      <c r="OMV74" s="800"/>
      <c r="OMW74" s="800"/>
      <c r="OMX74" s="705"/>
      <c r="OMY74" s="799"/>
      <c r="OMZ74" s="800"/>
      <c r="ONA74" s="800"/>
      <c r="ONB74" s="800"/>
      <c r="ONC74" s="800"/>
      <c r="OND74" s="800"/>
      <c r="ONE74" s="705"/>
      <c r="ONF74" s="799"/>
      <c r="ONG74" s="800"/>
      <c r="ONH74" s="800"/>
      <c r="ONI74" s="800"/>
      <c r="ONJ74" s="800"/>
      <c r="ONK74" s="800"/>
      <c r="ONL74" s="705"/>
      <c r="ONM74" s="799"/>
      <c r="ONN74" s="800"/>
      <c r="ONO74" s="800"/>
      <c r="ONP74" s="800"/>
      <c r="ONQ74" s="800"/>
      <c r="ONR74" s="800"/>
      <c r="ONS74" s="705"/>
      <c r="ONT74" s="799"/>
      <c r="ONU74" s="800"/>
      <c r="ONV74" s="800"/>
      <c r="ONW74" s="800"/>
      <c r="ONX74" s="800"/>
      <c r="ONY74" s="800"/>
      <c r="ONZ74" s="705"/>
      <c r="OOA74" s="799"/>
      <c r="OOB74" s="800"/>
      <c r="OOC74" s="800"/>
      <c r="OOD74" s="800"/>
      <c r="OOE74" s="800"/>
      <c r="OOF74" s="800"/>
      <c r="OOG74" s="705"/>
      <c r="OOH74" s="799"/>
      <c r="OOI74" s="800"/>
      <c r="OOJ74" s="800"/>
      <c r="OOK74" s="800"/>
      <c r="OOL74" s="800"/>
      <c r="OOM74" s="800"/>
      <c r="OON74" s="705"/>
      <c r="OOO74" s="799"/>
      <c r="OOP74" s="800"/>
      <c r="OOQ74" s="800"/>
      <c r="OOR74" s="800"/>
      <c r="OOS74" s="800"/>
      <c r="OOT74" s="800"/>
      <c r="OOU74" s="705"/>
      <c r="OOV74" s="799"/>
      <c r="OOW74" s="800"/>
      <c r="OOX74" s="800"/>
      <c r="OOY74" s="800"/>
      <c r="OOZ74" s="800"/>
      <c r="OPA74" s="800"/>
      <c r="OPB74" s="705"/>
      <c r="OPC74" s="799"/>
      <c r="OPD74" s="800"/>
      <c r="OPE74" s="800"/>
      <c r="OPF74" s="800"/>
      <c r="OPG74" s="800"/>
      <c r="OPH74" s="800"/>
      <c r="OPI74" s="705"/>
      <c r="OPJ74" s="799"/>
      <c r="OPK74" s="800"/>
      <c r="OPL74" s="800"/>
      <c r="OPM74" s="800"/>
      <c r="OPN74" s="800"/>
      <c r="OPO74" s="800"/>
      <c r="OPP74" s="705"/>
      <c r="OPQ74" s="799"/>
      <c r="OPR74" s="800"/>
      <c r="OPS74" s="800"/>
      <c r="OPT74" s="800"/>
      <c r="OPU74" s="800"/>
      <c r="OPV74" s="800"/>
      <c r="OPW74" s="705"/>
      <c r="OPX74" s="799"/>
      <c r="OPY74" s="800"/>
      <c r="OPZ74" s="800"/>
      <c r="OQA74" s="800"/>
      <c r="OQB74" s="800"/>
      <c r="OQC74" s="800"/>
      <c r="OQD74" s="705"/>
      <c r="OQE74" s="799"/>
      <c r="OQF74" s="800"/>
      <c r="OQG74" s="800"/>
      <c r="OQH74" s="800"/>
      <c r="OQI74" s="800"/>
      <c r="OQJ74" s="800"/>
      <c r="OQK74" s="705"/>
      <c r="OQL74" s="799"/>
      <c r="OQM74" s="800"/>
      <c r="OQN74" s="800"/>
      <c r="OQO74" s="800"/>
      <c r="OQP74" s="800"/>
      <c r="OQQ74" s="800"/>
      <c r="OQR74" s="705"/>
      <c r="OQS74" s="799"/>
      <c r="OQT74" s="800"/>
      <c r="OQU74" s="800"/>
      <c r="OQV74" s="800"/>
      <c r="OQW74" s="800"/>
      <c r="OQX74" s="800"/>
      <c r="OQY74" s="705"/>
      <c r="OQZ74" s="799"/>
      <c r="ORA74" s="800"/>
      <c r="ORB74" s="800"/>
      <c r="ORC74" s="800"/>
      <c r="ORD74" s="800"/>
      <c r="ORE74" s="800"/>
      <c r="ORF74" s="705"/>
      <c r="ORG74" s="799"/>
      <c r="ORH74" s="800"/>
      <c r="ORI74" s="800"/>
      <c r="ORJ74" s="800"/>
      <c r="ORK74" s="800"/>
      <c r="ORL74" s="800"/>
      <c r="ORM74" s="705"/>
      <c r="ORN74" s="799"/>
      <c r="ORO74" s="800"/>
      <c r="ORP74" s="800"/>
      <c r="ORQ74" s="800"/>
      <c r="ORR74" s="800"/>
      <c r="ORS74" s="800"/>
      <c r="ORT74" s="705"/>
      <c r="ORU74" s="799"/>
      <c r="ORV74" s="800"/>
      <c r="ORW74" s="800"/>
      <c r="ORX74" s="800"/>
      <c r="ORY74" s="800"/>
      <c r="ORZ74" s="800"/>
      <c r="OSA74" s="705"/>
      <c r="OSB74" s="799"/>
      <c r="OSC74" s="800"/>
      <c r="OSD74" s="800"/>
      <c r="OSE74" s="800"/>
      <c r="OSF74" s="800"/>
      <c r="OSG74" s="800"/>
      <c r="OSH74" s="705"/>
      <c r="OSI74" s="799"/>
      <c r="OSJ74" s="800"/>
      <c r="OSK74" s="800"/>
      <c r="OSL74" s="800"/>
      <c r="OSM74" s="800"/>
      <c r="OSN74" s="800"/>
      <c r="OSO74" s="705"/>
      <c r="OSP74" s="799"/>
      <c r="OSQ74" s="800"/>
      <c r="OSR74" s="800"/>
      <c r="OSS74" s="800"/>
      <c r="OST74" s="800"/>
      <c r="OSU74" s="800"/>
      <c r="OSV74" s="705"/>
      <c r="OSW74" s="799"/>
      <c r="OSX74" s="800"/>
      <c r="OSY74" s="800"/>
      <c r="OSZ74" s="800"/>
      <c r="OTA74" s="800"/>
      <c r="OTB74" s="800"/>
      <c r="OTC74" s="705"/>
      <c r="OTD74" s="799"/>
      <c r="OTE74" s="800"/>
      <c r="OTF74" s="800"/>
      <c r="OTG74" s="800"/>
      <c r="OTH74" s="800"/>
      <c r="OTI74" s="800"/>
      <c r="OTJ74" s="705"/>
      <c r="OTK74" s="799"/>
      <c r="OTL74" s="800"/>
      <c r="OTM74" s="800"/>
      <c r="OTN74" s="800"/>
      <c r="OTO74" s="800"/>
      <c r="OTP74" s="800"/>
      <c r="OTQ74" s="705"/>
      <c r="OTR74" s="799"/>
      <c r="OTS74" s="800"/>
      <c r="OTT74" s="800"/>
      <c r="OTU74" s="800"/>
      <c r="OTV74" s="800"/>
      <c r="OTW74" s="800"/>
      <c r="OTX74" s="705"/>
      <c r="OTY74" s="799"/>
      <c r="OTZ74" s="800"/>
      <c r="OUA74" s="800"/>
      <c r="OUB74" s="800"/>
      <c r="OUC74" s="800"/>
      <c r="OUD74" s="800"/>
      <c r="OUE74" s="705"/>
      <c r="OUF74" s="799"/>
      <c r="OUG74" s="800"/>
      <c r="OUH74" s="800"/>
      <c r="OUI74" s="800"/>
      <c r="OUJ74" s="800"/>
      <c r="OUK74" s="800"/>
      <c r="OUL74" s="705"/>
      <c r="OUM74" s="799"/>
      <c r="OUN74" s="800"/>
      <c r="OUO74" s="800"/>
      <c r="OUP74" s="800"/>
      <c r="OUQ74" s="800"/>
      <c r="OUR74" s="800"/>
      <c r="OUS74" s="705"/>
      <c r="OUT74" s="799"/>
      <c r="OUU74" s="800"/>
      <c r="OUV74" s="800"/>
      <c r="OUW74" s="800"/>
      <c r="OUX74" s="800"/>
      <c r="OUY74" s="800"/>
      <c r="OUZ74" s="705"/>
      <c r="OVA74" s="799"/>
      <c r="OVB74" s="800"/>
      <c r="OVC74" s="800"/>
      <c r="OVD74" s="800"/>
      <c r="OVE74" s="800"/>
      <c r="OVF74" s="800"/>
      <c r="OVG74" s="705"/>
      <c r="OVH74" s="799"/>
      <c r="OVI74" s="800"/>
      <c r="OVJ74" s="800"/>
      <c r="OVK74" s="800"/>
      <c r="OVL74" s="800"/>
      <c r="OVM74" s="800"/>
      <c r="OVN74" s="705"/>
      <c r="OVO74" s="799"/>
      <c r="OVP74" s="800"/>
      <c r="OVQ74" s="800"/>
      <c r="OVR74" s="800"/>
      <c r="OVS74" s="800"/>
      <c r="OVT74" s="800"/>
      <c r="OVU74" s="705"/>
      <c r="OVV74" s="799"/>
      <c r="OVW74" s="800"/>
      <c r="OVX74" s="800"/>
      <c r="OVY74" s="800"/>
      <c r="OVZ74" s="800"/>
      <c r="OWA74" s="800"/>
      <c r="OWB74" s="705"/>
      <c r="OWC74" s="799"/>
      <c r="OWD74" s="800"/>
      <c r="OWE74" s="800"/>
      <c r="OWF74" s="800"/>
      <c r="OWG74" s="800"/>
      <c r="OWH74" s="800"/>
      <c r="OWI74" s="705"/>
      <c r="OWJ74" s="799"/>
      <c r="OWK74" s="800"/>
      <c r="OWL74" s="800"/>
      <c r="OWM74" s="800"/>
      <c r="OWN74" s="800"/>
      <c r="OWO74" s="800"/>
      <c r="OWP74" s="705"/>
      <c r="OWQ74" s="799"/>
      <c r="OWR74" s="800"/>
      <c r="OWS74" s="800"/>
      <c r="OWT74" s="800"/>
      <c r="OWU74" s="800"/>
      <c r="OWV74" s="800"/>
      <c r="OWW74" s="705"/>
      <c r="OWX74" s="799"/>
      <c r="OWY74" s="800"/>
      <c r="OWZ74" s="800"/>
      <c r="OXA74" s="800"/>
      <c r="OXB74" s="800"/>
      <c r="OXC74" s="800"/>
      <c r="OXD74" s="705"/>
      <c r="OXE74" s="799"/>
      <c r="OXF74" s="800"/>
      <c r="OXG74" s="800"/>
      <c r="OXH74" s="800"/>
      <c r="OXI74" s="800"/>
      <c r="OXJ74" s="800"/>
      <c r="OXK74" s="705"/>
      <c r="OXL74" s="799"/>
      <c r="OXM74" s="800"/>
      <c r="OXN74" s="800"/>
      <c r="OXO74" s="800"/>
      <c r="OXP74" s="800"/>
      <c r="OXQ74" s="800"/>
      <c r="OXR74" s="705"/>
      <c r="OXS74" s="799"/>
      <c r="OXT74" s="800"/>
      <c r="OXU74" s="800"/>
      <c r="OXV74" s="800"/>
      <c r="OXW74" s="800"/>
      <c r="OXX74" s="800"/>
      <c r="OXY74" s="705"/>
      <c r="OXZ74" s="799"/>
      <c r="OYA74" s="800"/>
      <c r="OYB74" s="800"/>
      <c r="OYC74" s="800"/>
      <c r="OYD74" s="800"/>
      <c r="OYE74" s="800"/>
      <c r="OYF74" s="705"/>
      <c r="OYG74" s="799"/>
      <c r="OYH74" s="800"/>
      <c r="OYI74" s="800"/>
      <c r="OYJ74" s="800"/>
      <c r="OYK74" s="800"/>
      <c r="OYL74" s="800"/>
      <c r="OYM74" s="705"/>
      <c r="OYN74" s="799"/>
      <c r="OYO74" s="800"/>
      <c r="OYP74" s="800"/>
      <c r="OYQ74" s="800"/>
      <c r="OYR74" s="800"/>
      <c r="OYS74" s="800"/>
      <c r="OYT74" s="705"/>
      <c r="OYU74" s="799"/>
      <c r="OYV74" s="800"/>
      <c r="OYW74" s="800"/>
      <c r="OYX74" s="800"/>
      <c r="OYY74" s="800"/>
      <c r="OYZ74" s="800"/>
      <c r="OZA74" s="705"/>
      <c r="OZB74" s="799"/>
      <c r="OZC74" s="800"/>
      <c r="OZD74" s="800"/>
      <c r="OZE74" s="800"/>
      <c r="OZF74" s="800"/>
      <c r="OZG74" s="800"/>
      <c r="OZH74" s="705"/>
      <c r="OZI74" s="799"/>
      <c r="OZJ74" s="800"/>
      <c r="OZK74" s="800"/>
      <c r="OZL74" s="800"/>
      <c r="OZM74" s="800"/>
      <c r="OZN74" s="800"/>
      <c r="OZO74" s="705"/>
      <c r="OZP74" s="799"/>
      <c r="OZQ74" s="800"/>
      <c r="OZR74" s="800"/>
      <c r="OZS74" s="800"/>
      <c r="OZT74" s="800"/>
      <c r="OZU74" s="800"/>
      <c r="OZV74" s="705"/>
      <c r="OZW74" s="799"/>
      <c r="OZX74" s="800"/>
      <c r="OZY74" s="800"/>
      <c r="OZZ74" s="800"/>
      <c r="PAA74" s="800"/>
      <c r="PAB74" s="800"/>
      <c r="PAC74" s="705"/>
      <c r="PAD74" s="799"/>
      <c r="PAE74" s="800"/>
      <c r="PAF74" s="800"/>
      <c r="PAG74" s="800"/>
      <c r="PAH74" s="800"/>
      <c r="PAI74" s="800"/>
      <c r="PAJ74" s="705"/>
      <c r="PAK74" s="799"/>
      <c r="PAL74" s="800"/>
      <c r="PAM74" s="800"/>
      <c r="PAN74" s="800"/>
      <c r="PAO74" s="800"/>
      <c r="PAP74" s="800"/>
      <c r="PAQ74" s="705"/>
      <c r="PAR74" s="799"/>
      <c r="PAS74" s="800"/>
      <c r="PAT74" s="800"/>
      <c r="PAU74" s="800"/>
      <c r="PAV74" s="800"/>
      <c r="PAW74" s="800"/>
      <c r="PAX74" s="705"/>
      <c r="PAY74" s="799"/>
      <c r="PAZ74" s="800"/>
      <c r="PBA74" s="800"/>
      <c r="PBB74" s="800"/>
      <c r="PBC74" s="800"/>
      <c r="PBD74" s="800"/>
      <c r="PBE74" s="705"/>
      <c r="PBF74" s="799"/>
      <c r="PBG74" s="800"/>
      <c r="PBH74" s="800"/>
      <c r="PBI74" s="800"/>
      <c r="PBJ74" s="800"/>
      <c r="PBK74" s="800"/>
      <c r="PBL74" s="705"/>
      <c r="PBM74" s="799"/>
      <c r="PBN74" s="800"/>
      <c r="PBO74" s="800"/>
      <c r="PBP74" s="800"/>
      <c r="PBQ74" s="800"/>
      <c r="PBR74" s="800"/>
      <c r="PBS74" s="705"/>
      <c r="PBT74" s="799"/>
      <c r="PBU74" s="800"/>
      <c r="PBV74" s="800"/>
      <c r="PBW74" s="800"/>
      <c r="PBX74" s="800"/>
      <c r="PBY74" s="800"/>
      <c r="PBZ74" s="705"/>
      <c r="PCA74" s="799"/>
      <c r="PCB74" s="800"/>
      <c r="PCC74" s="800"/>
      <c r="PCD74" s="800"/>
      <c r="PCE74" s="800"/>
      <c r="PCF74" s="800"/>
      <c r="PCG74" s="705"/>
      <c r="PCH74" s="799"/>
      <c r="PCI74" s="800"/>
      <c r="PCJ74" s="800"/>
      <c r="PCK74" s="800"/>
      <c r="PCL74" s="800"/>
      <c r="PCM74" s="800"/>
      <c r="PCN74" s="705"/>
      <c r="PCO74" s="799"/>
      <c r="PCP74" s="800"/>
      <c r="PCQ74" s="800"/>
      <c r="PCR74" s="800"/>
      <c r="PCS74" s="800"/>
      <c r="PCT74" s="800"/>
      <c r="PCU74" s="705"/>
      <c r="PCV74" s="799"/>
      <c r="PCW74" s="800"/>
      <c r="PCX74" s="800"/>
      <c r="PCY74" s="800"/>
      <c r="PCZ74" s="800"/>
      <c r="PDA74" s="800"/>
      <c r="PDB74" s="705"/>
      <c r="PDC74" s="799"/>
      <c r="PDD74" s="800"/>
      <c r="PDE74" s="800"/>
      <c r="PDF74" s="800"/>
      <c r="PDG74" s="800"/>
      <c r="PDH74" s="800"/>
      <c r="PDI74" s="705"/>
      <c r="PDJ74" s="799"/>
      <c r="PDK74" s="800"/>
      <c r="PDL74" s="800"/>
      <c r="PDM74" s="800"/>
      <c r="PDN74" s="800"/>
      <c r="PDO74" s="800"/>
      <c r="PDP74" s="705"/>
      <c r="PDQ74" s="799"/>
      <c r="PDR74" s="800"/>
      <c r="PDS74" s="800"/>
      <c r="PDT74" s="800"/>
      <c r="PDU74" s="800"/>
      <c r="PDV74" s="800"/>
      <c r="PDW74" s="705"/>
      <c r="PDX74" s="799"/>
      <c r="PDY74" s="800"/>
      <c r="PDZ74" s="800"/>
      <c r="PEA74" s="800"/>
      <c r="PEB74" s="800"/>
      <c r="PEC74" s="800"/>
      <c r="PED74" s="705"/>
      <c r="PEE74" s="799"/>
      <c r="PEF74" s="800"/>
      <c r="PEG74" s="800"/>
      <c r="PEH74" s="800"/>
      <c r="PEI74" s="800"/>
      <c r="PEJ74" s="800"/>
      <c r="PEK74" s="705"/>
      <c r="PEL74" s="799"/>
      <c r="PEM74" s="800"/>
      <c r="PEN74" s="800"/>
      <c r="PEO74" s="800"/>
      <c r="PEP74" s="800"/>
      <c r="PEQ74" s="800"/>
      <c r="PER74" s="705"/>
      <c r="PES74" s="799"/>
      <c r="PET74" s="800"/>
      <c r="PEU74" s="800"/>
      <c r="PEV74" s="800"/>
      <c r="PEW74" s="800"/>
      <c r="PEX74" s="800"/>
      <c r="PEY74" s="705"/>
      <c r="PEZ74" s="799"/>
      <c r="PFA74" s="800"/>
      <c r="PFB74" s="800"/>
      <c r="PFC74" s="800"/>
      <c r="PFD74" s="800"/>
      <c r="PFE74" s="800"/>
      <c r="PFF74" s="705"/>
      <c r="PFG74" s="799"/>
      <c r="PFH74" s="800"/>
      <c r="PFI74" s="800"/>
      <c r="PFJ74" s="800"/>
      <c r="PFK74" s="800"/>
      <c r="PFL74" s="800"/>
      <c r="PFM74" s="705"/>
      <c r="PFN74" s="799"/>
      <c r="PFO74" s="800"/>
      <c r="PFP74" s="800"/>
      <c r="PFQ74" s="800"/>
      <c r="PFR74" s="800"/>
      <c r="PFS74" s="800"/>
      <c r="PFT74" s="705"/>
      <c r="PFU74" s="799"/>
      <c r="PFV74" s="800"/>
      <c r="PFW74" s="800"/>
      <c r="PFX74" s="800"/>
      <c r="PFY74" s="800"/>
      <c r="PFZ74" s="800"/>
      <c r="PGA74" s="705"/>
      <c r="PGB74" s="799"/>
      <c r="PGC74" s="800"/>
      <c r="PGD74" s="800"/>
      <c r="PGE74" s="800"/>
      <c r="PGF74" s="800"/>
      <c r="PGG74" s="800"/>
      <c r="PGH74" s="705"/>
      <c r="PGI74" s="799"/>
      <c r="PGJ74" s="800"/>
      <c r="PGK74" s="800"/>
      <c r="PGL74" s="800"/>
      <c r="PGM74" s="800"/>
      <c r="PGN74" s="800"/>
      <c r="PGO74" s="705"/>
      <c r="PGP74" s="799"/>
      <c r="PGQ74" s="800"/>
      <c r="PGR74" s="800"/>
      <c r="PGS74" s="800"/>
      <c r="PGT74" s="800"/>
      <c r="PGU74" s="800"/>
      <c r="PGV74" s="705"/>
      <c r="PGW74" s="799"/>
      <c r="PGX74" s="800"/>
      <c r="PGY74" s="800"/>
      <c r="PGZ74" s="800"/>
      <c r="PHA74" s="800"/>
      <c r="PHB74" s="800"/>
      <c r="PHC74" s="705"/>
      <c r="PHD74" s="799"/>
      <c r="PHE74" s="800"/>
      <c r="PHF74" s="800"/>
      <c r="PHG74" s="800"/>
      <c r="PHH74" s="800"/>
      <c r="PHI74" s="800"/>
      <c r="PHJ74" s="705"/>
      <c r="PHK74" s="799"/>
      <c r="PHL74" s="800"/>
      <c r="PHM74" s="800"/>
      <c r="PHN74" s="800"/>
      <c r="PHO74" s="800"/>
      <c r="PHP74" s="800"/>
      <c r="PHQ74" s="705"/>
      <c r="PHR74" s="799"/>
      <c r="PHS74" s="800"/>
      <c r="PHT74" s="800"/>
      <c r="PHU74" s="800"/>
      <c r="PHV74" s="800"/>
      <c r="PHW74" s="800"/>
      <c r="PHX74" s="705"/>
      <c r="PHY74" s="799"/>
      <c r="PHZ74" s="800"/>
      <c r="PIA74" s="800"/>
      <c r="PIB74" s="800"/>
      <c r="PIC74" s="800"/>
      <c r="PID74" s="800"/>
      <c r="PIE74" s="705"/>
      <c r="PIF74" s="799"/>
      <c r="PIG74" s="800"/>
      <c r="PIH74" s="800"/>
      <c r="PII74" s="800"/>
      <c r="PIJ74" s="800"/>
      <c r="PIK74" s="800"/>
      <c r="PIL74" s="705"/>
      <c r="PIM74" s="799"/>
      <c r="PIN74" s="800"/>
      <c r="PIO74" s="800"/>
      <c r="PIP74" s="800"/>
      <c r="PIQ74" s="800"/>
      <c r="PIR74" s="800"/>
      <c r="PIS74" s="705"/>
      <c r="PIT74" s="799"/>
      <c r="PIU74" s="800"/>
      <c r="PIV74" s="800"/>
      <c r="PIW74" s="800"/>
      <c r="PIX74" s="800"/>
      <c r="PIY74" s="800"/>
      <c r="PIZ74" s="705"/>
      <c r="PJA74" s="799"/>
      <c r="PJB74" s="800"/>
      <c r="PJC74" s="800"/>
      <c r="PJD74" s="800"/>
      <c r="PJE74" s="800"/>
      <c r="PJF74" s="800"/>
      <c r="PJG74" s="705"/>
      <c r="PJH74" s="799"/>
      <c r="PJI74" s="800"/>
      <c r="PJJ74" s="800"/>
      <c r="PJK74" s="800"/>
      <c r="PJL74" s="800"/>
      <c r="PJM74" s="800"/>
      <c r="PJN74" s="705"/>
      <c r="PJO74" s="799"/>
      <c r="PJP74" s="800"/>
      <c r="PJQ74" s="800"/>
      <c r="PJR74" s="800"/>
      <c r="PJS74" s="800"/>
      <c r="PJT74" s="800"/>
      <c r="PJU74" s="705"/>
      <c r="PJV74" s="799"/>
      <c r="PJW74" s="800"/>
      <c r="PJX74" s="800"/>
      <c r="PJY74" s="800"/>
      <c r="PJZ74" s="800"/>
      <c r="PKA74" s="800"/>
      <c r="PKB74" s="705"/>
      <c r="PKC74" s="799"/>
      <c r="PKD74" s="800"/>
      <c r="PKE74" s="800"/>
      <c r="PKF74" s="800"/>
      <c r="PKG74" s="800"/>
      <c r="PKH74" s="800"/>
      <c r="PKI74" s="705"/>
      <c r="PKJ74" s="799"/>
      <c r="PKK74" s="800"/>
      <c r="PKL74" s="800"/>
      <c r="PKM74" s="800"/>
      <c r="PKN74" s="800"/>
      <c r="PKO74" s="800"/>
      <c r="PKP74" s="705"/>
      <c r="PKQ74" s="799"/>
      <c r="PKR74" s="800"/>
      <c r="PKS74" s="800"/>
      <c r="PKT74" s="800"/>
      <c r="PKU74" s="800"/>
      <c r="PKV74" s="800"/>
      <c r="PKW74" s="705"/>
      <c r="PKX74" s="799"/>
      <c r="PKY74" s="800"/>
      <c r="PKZ74" s="800"/>
      <c r="PLA74" s="800"/>
      <c r="PLB74" s="800"/>
      <c r="PLC74" s="800"/>
      <c r="PLD74" s="705"/>
      <c r="PLE74" s="799"/>
      <c r="PLF74" s="800"/>
      <c r="PLG74" s="800"/>
      <c r="PLH74" s="800"/>
      <c r="PLI74" s="800"/>
      <c r="PLJ74" s="800"/>
      <c r="PLK74" s="705"/>
      <c r="PLL74" s="799"/>
      <c r="PLM74" s="800"/>
      <c r="PLN74" s="800"/>
      <c r="PLO74" s="800"/>
      <c r="PLP74" s="800"/>
      <c r="PLQ74" s="800"/>
      <c r="PLR74" s="705"/>
      <c r="PLS74" s="799"/>
      <c r="PLT74" s="800"/>
      <c r="PLU74" s="800"/>
      <c r="PLV74" s="800"/>
      <c r="PLW74" s="800"/>
      <c r="PLX74" s="800"/>
      <c r="PLY74" s="705"/>
      <c r="PLZ74" s="799"/>
      <c r="PMA74" s="800"/>
      <c r="PMB74" s="800"/>
      <c r="PMC74" s="800"/>
      <c r="PMD74" s="800"/>
      <c r="PME74" s="800"/>
      <c r="PMF74" s="705"/>
      <c r="PMG74" s="799"/>
      <c r="PMH74" s="800"/>
      <c r="PMI74" s="800"/>
      <c r="PMJ74" s="800"/>
      <c r="PMK74" s="800"/>
      <c r="PML74" s="800"/>
      <c r="PMM74" s="705"/>
      <c r="PMN74" s="799"/>
      <c r="PMO74" s="800"/>
      <c r="PMP74" s="800"/>
      <c r="PMQ74" s="800"/>
      <c r="PMR74" s="800"/>
      <c r="PMS74" s="800"/>
      <c r="PMT74" s="705"/>
      <c r="PMU74" s="799"/>
      <c r="PMV74" s="800"/>
      <c r="PMW74" s="800"/>
      <c r="PMX74" s="800"/>
      <c r="PMY74" s="800"/>
      <c r="PMZ74" s="800"/>
      <c r="PNA74" s="705"/>
      <c r="PNB74" s="799"/>
      <c r="PNC74" s="800"/>
      <c r="PND74" s="800"/>
      <c r="PNE74" s="800"/>
      <c r="PNF74" s="800"/>
      <c r="PNG74" s="800"/>
      <c r="PNH74" s="705"/>
      <c r="PNI74" s="799"/>
      <c r="PNJ74" s="800"/>
      <c r="PNK74" s="800"/>
      <c r="PNL74" s="800"/>
      <c r="PNM74" s="800"/>
      <c r="PNN74" s="800"/>
      <c r="PNO74" s="705"/>
      <c r="PNP74" s="799"/>
      <c r="PNQ74" s="800"/>
      <c r="PNR74" s="800"/>
      <c r="PNS74" s="800"/>
      <c r="PNT74" s="800"/>
      <c r="PNU74" s="800"/>
      <c r="PNV74" s="705"/>
      <c r="PNW74" s="799"/>
      <c r="PNX74" s="800"/>
      <c r="PNY74" s="800"/>
      <c r="PNZ74" s="800"/>
      <c r="POA74" s="800"/>
      <c r="POB74" s="800"/>
      <c r="POC74" s="705"/>
      <c r="POD74" s="799"/>
      <c r="POE74" s="800"/>
      <c r="POF74" s="800"/>
      <c r="POG74" s="800"/>
      <c r="POH74" s="800"/>
      <c r="POI74" s="800"/>
      <c r="POJ74" s="705"/>
      <c r="POK74" s="799"/>
      <c r="POL74" s="800"/>
      <c r="POM74" s="800"/>
      <c r="PON74" s="800"/>
      <c r="POO74" s="800"/>
      <c r="POP74" s="800"/>
      <c r="POQ74" s="705"/>
      <c r="POR74" s="799"/>
      <c r="POS74" s="800"/>
      <c r="POT74" s="800"/>
      <c r="POU74" s="800"/>
      <c r="POV74" s="800"/>
      <c r="POW74" s="800"/>
      <c r="POX74" s="705"/>
      <c r="POY74" s="799"/>
      <c r="POZ74" s="800"/>
      <c r="PPA74" s="800"/>
      <c r="PPB74" s="800"/>
      <c r="PPC74" s="800"/>
      <c r="PPD74" s="800"/>
      <c r="PPE74" s="705"/>
      <c r="PPF74" s="799"/>
      <c r="PPG74" s="800"/>
      <c r="PPH74" s="800"/>
      <c r="PPI74" s="800"/>
      <c r="PPJ74" s="800"/>
      <c r="PPK74" s="800"/>
      <c r="PPL74" s="705"/>
      <c r="PPM74" s="799"/>
      <c r="PPN74" s="800"/>
      <c r="PPO74" s="800"/>
      <c r="PPP74" s="800"/>
      <c r="PPQ74" s="800"/>
      <c r="PPR74" s="800"/>
      <c r="PPS74" s="705"/>
      <c r="PPT74" s="799"/>
      <c r="PPU74" s="800"/>
      <c r="PPV74" s="800"/>
      <c r="PPW74" s="800"/>
      <c r="PPX74" s="800"/>
      <c r="PPY74" s="800"/>
      <c r="PPZ74" s="705"/>
      <c r="PQA74" s="799"/>
      <c r="PQB74" s="800"/>
      <c r="PQC74" s="800"/>
      <c r="PQD74" s="800"/>
      <c r="PQE74" s="800"/>
      <c r="PQF74" s="800"/>
      <c r="PQG74" s="705"/>
      <c r="PQH74" s="799"/>
      <c r="PQI74" s="800"/>
      <c r="PQJ74" s="800"/>
      <c r="PQK74" s="800"/>
      <c r="PQL74" s="800"/>
      <c r="PQM74" s="800"/>
      <c r="PQN74" s="705"/>
      <c r="PQO74" s="799"/>
      <c r="PQP74" s="800"/>
      <c r="PQQ74" s="800"/>
      <c r="PQR74" s="800"/>
      <c r="PQS74" s="800"/>
      <c r="PQT74" s="800"/>
      <c r="PQU74" s="705"/>
      <c r="PQV74" s="799"/>
      <c r="PQW74" s="800"/>
      <c r="PQX74" s="800"/>
      <c r="PQY74" s="800"/>
      <c r="PQZ74" s="800"/>
      <c r="PRA74" s="800"/>
      <c r="PRB74" s="705"/>
      <c r="PRC74" s="799"/>
      <c r="PRD74" s="800"/>
      <c r="PRE74" s="800"/>
      <c r="PRF74" s="800"/>
      <c r="PRG74" s="800"/>
      <c r="PRH74" s="800"/>
      <c r="PRI74" s="705"/>
      <c r="PRJ74" s="799"/>
      <c r="PRK74" s="800"/>
      <c r="PRL74" s="800"/>
      <c r="PRM74" s="800"/>
      <c r="PRN74" s="800"/>
      <c r="PRO74" s="800"/>
      <c r="PRP74" s="705"/>
      <c r="PRQ74" s="799"/>
      <c r="PRR74" s="800"/>
      <c r="PRS74" s="800"/>
      <c r="PRT74" s="800"/>
      <c r="PRU74" s="800"/>
      <c r="PRV74" s="800"/>
      <c r="PRW74" s="705"/>
      <c r="PRX74" s="799"/>
      <c r="PRY74" s="800"/>
      <c r="PRZ74" s="800"/>
      <c r="PSA74" s="800"/>
      <c r="PSB74" s="800"/>
      <c r="PSC74" s="800"/>
      <c r="PSD74" s="705"/>
      <c r="PSE74" s="799"/>
      <c r="PSF74" s="800"/>
      <c r="PSG74" s="800"/>
      <c r="PSH74" s="800"/>
      <c r="PSI74" s="800"/>
      <c r="PSJ74" s="800"/>
      <c r="PSK74" s="705"/>
      <c r="PSL74" s="799"/>
      <c r="PSM74" s="800"/>
      <c r="PSN74" s="800"/>
      <c r="PSO74" s="800"/>
      <c r="PSP74" s="800"/>
      <c r="PSQ74" s="800"/>
      <c r="PSR74" s="705"/>
      <c r="PSS74" s="799"/>
      <c r="PST74" s="800"/>
      <c r="PSU74" s="800"/>
      <c r="PSV74" s="800"/>
      <c r="PSW74" s="800"/>
      <c r="PSX74" s="800"/>
      <c r="PSY74" s="705"/>
      <c r="PSZ74" s="799"/>
      <c r="PTA74" s="800"/>
      <c r="PTB74" s="800"/>
      <c r="PTC74" s="800"/>
      <c r="PTD74" s="800"/>
      <c r="PTE74" s="800"/>
      <c r="PTF74" s="705"/>
      <c r="PTG74" s="799"/>
      <c r="PTH74" s="800"/>
      <c r="PTI74" s="800"/>
      <c r="PTJ74" s="800"/>
      <c r="PTK74" s="800"/>
      <c r="PTL74" s="800"/>
      <c r="PTM74" s="705"/>
      <c r="PTN74" s="799"/>
      <c r="PTO74" s="800"/>
      <c r="PTP74" s="800"/>
      <c r="PTQ74" s="800"/>
      <c r="PTR74" s="800"/>
      <c r="PTS74" s="800"/>
      <c r="PTT74" s="705"/>
      <c r="PTU74" s="799"/>
      <c r="PTV74" s="800"/>
      <c r="PTW74" s="800"/>
      <c r="PTX74" s="800"/>
      <c r="PTY74" s="800"/>
      <c r="PTZ74" s="800"/>
      <c r="PUA74" s="705"/>
      <c r="PUB74" s="799"/>
      <c r="PUC74" s="800"/>
      <c r="PUD74" s="800"/>
      <c r="PUE74" s="800"/>
      <c r="PUF74" s="800"/>
      <c r="PUG74" s="800"/>
      <c r="PUH74" s="705"/>
      <c r="PUI74" s="799"/>
      <c r="PUJ74" s="800"/>
      <c r="PUK74" s="800"/>
      <c r="PUL74" s="800"/>
      <c r="PUM74" s="800"/>
      <c r="PUN74" s="800"/>
      <c r="PUO74" s="705"/>
      <c r="PUP74" s="799"/>
      <c r="PUQ74" s="800"/>
      <c r="PUR74" s="800"/>
      <c r="PUS74" s="800"/>
      <c r="PUT74" s="800"/>
      <c r="PUU74" s="800"/>
      <c r="PUV74" s="705"/>
      <c r="PUW74" s="799"/>
      <c r="PUX74" s="800"/>
      <c r="PUY74" s="800"/>
      <c r="PUZ74" s="800"/>
      <c r="PVA74" s="800"/>
      <c r="PVB74" s="800"/>
      <c r="PVC74" s="705"/>
      <c r="PVD74" s="799"/>
      <c r="PVE74" s="800"/>
      <c r="PVF74" s="800"/>
      <c r="PVG74" s="800"/>
      <c r="PVH74" s="800"/>
      <c r="PVI74" s="800"/>
      <c r="PVJ74" s="705"/>
      <c r="PVK74" s="799"/>
      <c r="PVL74" s="800"/>
      <c r="PVM74" s="800"/>
      <c r="PVN74" s="800"/>
      <c r="PVO74" s="800"/>
      <c r="PVP74" s="800"/>
      <c r="PVQ74" s="705"/>
      <c r="PVR74" s="799"/>
      <c r="PVS74" s="800"/>
      <c r="PVT74" s="800"/>
      <c r="PVU74" s="800"/>
      <c r="PVV74" s="800"/>
      <c r="PVW74" s="800"/>
      <c r="PVX74" s="705"/>
      <c r="PVY74" s="799"/>
      <c r="PVZ74" s="800"/>
      <c r="PWA74" s="800"/>
      <c r="PWB74" s="800"/>
      <c r="PWC74" s="800"/>
      <c r="PWD74" s="800"/>
      <c r="PWE74" s="705"/>
      <c r="PWF74" s="799"/>
      <c r="PWG74" s="800"/>
      <c r="PWH74" s="800"/>
      <c r="PWI74" s="800"/>
      <c r="PWJ74" s="800"/>
      <c r="PWK74" s="800"/>
      <c r="PWL74" s="705"/>
      <c r="PWM74" s="799"/>
      <c r="PWN74" s="800"/>
      <c r="PWO74" s="800"/>
      <c r="PWP74" s="800"/>
      <c r="PWQ74" s="800"/>
      <c r="PWR74" s="800"/>
      <c r="PWS74" s="705"/>
      <c r="PWT74" s="799"/>
      <c r="PWU74" s="800"/>
      <c r="PWV74" s="800"/>
      <c r="PWW74" s="800"/>
      <c r="PWX74" s="800"/>
      <c r="PWY74" s="800"/>
      <c r="PWZ74" s="705"/>
      <c r="PXA74" s="799"/>
      <c r="PXB74" s="800"/>
      <c r="PXC74" s="800"/>
      <c r="PXD74" s="800"/>
      <c r="PXE74" s="800"/>
      <c r="PXF74" s="800"/>
      <c r="PXG74" s="705"/>
      <c r="PXH74" s="799"/>
      <c r="PXI74" s="800"/>
      <c r="PXJ74" s="800"/>
      <c r="PXK74" s="800"/>
      <c r="PXL74" s="800"/>
      <c r="PXM74" s="800"/>
      <c r="PXN74" s="705"/>
      <c r="PXO74" s="799"/>
      <c r="PXP74" s="800"/>
      <c r="PXQ74" s="800"/>
      <c r="PXR74" s="800"/>
      <c r="PXS74" s="800"/>
      <c r="PXT74" s="800"/>
      <c r="PXU74" s="705"/>
      <c r="PXV74" s="799"/>
      <c r="PXW74" s="800"/>
      <c r="PXX74" s="800"/>
      <c r="PXY74" s="800"/>
      <c r="PXZ74" s="800"/>
      <c r="PYA74" s="800"/>
      <c r="PYB74" s="705"/>
      <c r="PYC74" s="799"/>
      <c r="PYD74" s="800"/>
      <c r="PYE74" s="800"/>
      <c r="PYF74" s="800"/>
      <c r="PYG74" s="800"/>
      <c r="PYH74" s="800"/>
      <c r="PYI74" s="705"/>
      <c r="PYJ74" s="799"/>
      <c r="PYK74" s="800"/>
      <c r="PYL74" s="800"/>
      <c r="PYM74" s="800"/>
      <c r="PYN74" s="800"/>
      <c r="PYO74" s="800"/>
      <c r="PYP74" s="705"/>
      <c r="PYQ74" s="799"/>
      <c r="PYR74" s="800"/>
      <c r="PYS74" s="800"/>
      <c r="PYT74" s="800"/>
      <c r="PYU74" s="800"/>
      <c r="PYV74" s="800"/>
      <c r="PYW74" s="705"/>
      <c r="PYX74" s="799"/>
      <c r="PYY74" s="800"/>
      <c r="PYZ74" s="800"/>
      <c r="PZA74" s="800"/>
      <c r="PZB74" s="800"/>
      <c r="PZC74" s="800"/>
      <c r="PZD74" s="705"/>
      <c r="PZE74" s="799"/>
      <c r="PZF74" s="800"/>
      <c r="PZG74" s="800"/>
      <c r="PZH74" s="800"/>
      <c r="PZI74" s="800"/>
      <c r="PZJ74" s="800"/>
      <c r="PZK74" s="705"/>
      <c r="PZL74" s="799"/>
      <c r="PZM74" s="800"/>
      <c r="PZN74" s="800"/>
      <c r="PZO74" s="800"/>
      <c r="PZP74" s="800"/>
      <c r="PZQ74" s="800"/>
      <c r="PZR74" s="705"/>
      <c r="PZS74" s="799"/>
      <c r="PZT74" s="800"/>
      <c r="PZU74" s="800"/>
      <c r="PZV74" s="800"/>
      <c r="PZW74" s="800"/>
      <c r="PZX74" s="800"/>
      <c r="PZY74" s="705"/>
      <c r="PZZ74" s="799"/>
      <c r="QAA74" s="800"/>
      <c r="QAB74" s="800"/>
      <c r="QAC74" s="800"/>
      <c r="QAD74" s="800"/>
      <c r="QAE74" s="800"/>
      <c r="QAF74" s="705"/>
      <c r="QAG74" s="799"/>
      <c r="QAH74" s="800"/>
      <c r="QAI74" s="800"/>
      <c r="QAJ74" s="800"/>
      <c r="QAK74" s="800"/>
      <c r="QAL74" s="800"/>
      <c r="QAM74" s="705"/>
      <c r="QAN74" s="799"/>
      <c r="QAO74" s="800"/>
      <c r="QAP74" s="800"/>
      <c r="QAQ74" s="800"/>
      <c r="QAR74" s="800"/>
      <c r="QAS74" s="800"/>
      <c r="QAT74" s="705"/>
      <c r="QAU74" s="799"/>
      <c r="QAV74" s="800"/>
      <c r="QAW74" s="800"/>
      <c r="QAX74" s="800"/>
      <c r="QAY74" s="800"/>
      <c r="QAZ74" s="800"/>
      <c r="QBA74" s="705"/>
      <c r="QBB74" s="799"/>
      <c r="QBC74" s="800"/>
      <c r="QBD74" s="800"/>
      <c r="QBE74" s="800"/>
      <c r="QBF74" s="800"/>
      <c r="QBG74" s="800"/>
      <c r="QBH74" s="705"/>
      <c r="QBI74" s="799"/>
      <c r="QBJ74" s="800"/>
      <c r="QBK74" s="800"/>
      <c r="QBL74" s="800"/>
      <c r="QBM74" s="800"/>
      <c r="QBN74" s="800"/>
      <c r="QBO74" s="705"/>
      <c r="QBP74" s="799"/>
      <c r="QBQ74" s="800"/>
      <c r="QBR74" s="800"/>
      <c r="QBS74" s="800"/>
      <c r="QBT74" s="800"/>
      <c r="QBU74" s="800"/>
      <c r="QBV74" s="705"/>
      <c r="QBW74" s="799"/>
      <c r="QBX74" s="800"/>
      <c r="QBY74" s="800"/>
      <c r="QBZ74" s="800"/>
      <c r="QCA74" s="800"/>
      <c r="QCB74" s="800"/>
      <c r="QCC74" s="705"/>
      <c r="QCD74" s="799"/>
      <c r="QCE74" s="800"/>
      <c r="QCF74" s="800"/>
      <c r="QCG74" s="800"/>
      <c r="QCH74" s="800"/>
      <c r="QCI74" s="800"/>
      <c r="QCJ74" s="705"/>
      <c r="QCK74" s="799"/>
      <c r="QCL74" s="800"/>
      <c r="QCM74" s="800"/>
      <c r="QCN74" s="800"/>
      <c r="QCO74" s="800"/>
      <c r="QCP74" s="800"/>
      <c r="QCQ74" s="705"/>
      <c r="QCR74" s="799"/>
      <c r="QCS74" s="800"/>
      <c r="QCT74" s="800"/>
      <c r="QCU74" s="800"/>
      <c r="QCV74" s="800"/>
      <c r="QCW74" s="800"/>
      <c r="QCX74" s="705"/>
      <c r="QCY74" s="799"/>
      <c r="QCZ74" s="800"/>
      <c r="QDA74" s="800"/>
      <c r="QDB74" s="800"/>
      <c r="QDC74" s="800"/>
      <c r="QDD74" s="800"/>
      <c r="QDE74" s="705"/>
      <c r="QDF74" s="799"/>
      <c r="QDG74" s="800"/>
      <c r="QDH74" s="800"/>
      <c r="QDI74" s="800"/>
      <c r="QDJ74" s="800"/>
      <c r="QDK74" s="800"/>
      <c r="QDL74" s="705"/>
      <c r="QDM74" s="799"/>
      <c r="QDN74" s="800"/>
      <c r="QDO74" s="800"/>
      <c r="QDP74" s="800"/>
      <c r="QDQ74" s="800"/>
      <c r="QDR74" s="800"/>
      <c r="QDS74" s="705"/>
      <c r="QDT74" s="799"/>
      <c r="QDU74" s="800"/>
      <c r="QDV74" s="800"/>
      <c r="QDW74" s="800"/>
      <c r="QDX74" s="800"/>
      <c r="QDY74" s="800"/>
      <c r="QDZ74" s="705"/>
      <c r="QEA74" s="799"/>
      <c r="QEB74" s="800"/>
      <c r="QEC74" s="800"/>
      <c r="QED74" s="800"/>
      <c r="QEE74" s="800"/>
      <c r="QEF74" s="800"/>
      <c r="QEG74" s="705"/>
      <c r="QEH74" s="799"/>
      <c r="QEI74" s="800"/>
      <c r="QEJ74" s="800"/>
      <c r="QEK74" s="800"/>
      <c r="QEL74" s="800"/>
      <c r="QEM74" s="800"/>
      <c r="QEN74" s="705"/>
      <c r="QEO74" s="799"/>
      <c r="QEP74" s="800"/>
      <c r="QEQ74" s="800"/>
      <c r="QER74" s="800"/>
      <c r="QES74" s="800"/>
      <c r="QET74" s="800"/>
      <c r="QEU74" s="705"/>
      <c r="QEV74" s="799"/>
      <c r="QEW74" s="800"/>
      <c r="QEX74" s="800"/>
      <c r="QEY74" s="800"/>
      <c r="QEZ74" s="800"/>
      <c r="QFA74" s="800"/>
      <c r="QFB74" s="705"/>
      <c r="QFC74" s="799"/>
      <c r="QFD74" s="800"/>
      <c r="QFE74" s="800"/>
      <c r="QFF74" s="800"/>
      <c r="QFG74" s="800"/>
      <c r="QFH74" s="800"/>
      <c r="QFI74" s="705"/>
      <c r="QFJ74" s="799"/>
      <c r="QFK74" s="800"/>
      <c r="QFL74" s="800"/>
      <c r="QFM74" s="800"/>
      <c r="QFN74" s="800"/>
      <c r="QFO74" s="800"/>
      <c r="QFP74" s="705"/>
      <c r="QFQ74" s="799"/>
      <c r="QFR74" s="800"/>
      <c r="QFS74" s="800"/>
      <c r="QFT74" s="800"/>
      <c r="QFU74" s="800"/>
      <c r="QFV74" s="800"/>
      <c r="QFW74" s="705"/>
      <c r="QFX74" s="799"/>
      <c r="QFY74" s="800"/>
      <c r="QFZ74" s="800"/>
      <c r="QGA74" s="800"/>
      <c r="QGB74" s="800"/>
      <c r="QGC74" s="800"/>
      <c r="QGD74" s="705"/>
      <c r="QGE74" s="799"/>
      <c r="QGF74" s="800"/>
      <c r="QGG74" s="800"/>
      <c r="QGH74" s="800"/>
      <c r="QGI74" s="800"/>
      <c r="QGJ74" s="800"/>
      <c r="QGK74" s="705"/>
      <c r="QGL74" s="799"/>
      <c r="QGM74" s="800"/>
      <c r="QGN74" s="800"/>
      <c r="QGO74" s="800"/>
      <c r="QGP74" s="800"/>
      <c r="QGQ74" s="800"/>
      <c r="QGR74" s="705"/>
      <c r="QGS74" s="799"/>
      <c r="QGT74" s="800"/>
      <c r="QGU74" s="800"/>
      <c r="QGV74" s="800"/>
      <c r="QGW74" s="800"/>
      <c r="QGX74" s="800"/>
      <c r="QGY74" s="705"/>
      <c r="QGZ74" s="799"/>
      <c r="QHA74" s="800"/>
      <c r="QHB74" s="800"/>
      <c r="QHC74" s="800"/>
      <c r="QHD74" s="800"/>
      <c r="QHE74" s="800"/>
      <c r="QHF74" s="705"/>
      <c r="QHG74" s="799"/>
      <c r="QHH74" s="800"/>
      <c r="QHI74" s="800"/>
      <c r="QHJ74" s="800"/>
      <c r="QHK74" s="800"/>
      <c r="QHL74" s="800"/>
      <c r="QHM74" s="705"/>
      <c r="QHN74" s="799"/>
      <c r="QHO74" s="800"/>
      <c r="QHP74" s="800"/>
      <c r="QHQ74" s="800"/>
      <c r="QHR74" s="800"/>
      <c r="QHS74" s="800"/>
      <c r="QHT74" s="705"/>
      <c r="QHU74" s="799"/>
      <c r="QHV74" s="800"/>
      <c r="QHW74" s="800"/>
      <c r="QHX74" s="800"/>
      <c r="QHY74" s="800"/>
      <c r="QHZ74" s="800"/>
      <c r="QIA74" s="705"/>
      <c r="QIB74" s="799"/>
      <c r="QIC74" s="800"/>
      <c r="QID74" s="800"/>
      <c r="QIE74" s="800"/>
      <c r="QIF74" s="800"/>
      <c r="QIG74" s="800"/>
      <c r="QIH74" s="705"/>
      <c r="QII74" s="799"/>
      <c r="QIJ74" s="800"/>
      <c r="QIK74" s="800"/>
      <c r="QIL74" s="800"/>
      <c r="QIM74" s="800"/>
      <c r="QIN74" s="800"/>
      <c r="QIO74" s="705"/>
      <c r="QIP74" s="799"/>
      <c r="QIQ74" s="800"/>
      <c r="QIR74" s="800"/>
      <c r="QIS74" s="800"/>
      <c r="QIT74" s="800"/>
      <c r="QIU74" s="800"/>
      <c r="QIV74" s="705"/>
      <c r="QIW74" s="799"/>
      <c r="QIX74" s="800"/>
      <c r="QIY74" s="800"/>
      <c r="QIZ74" s="800"/>
      <c r="QJA74" s="800"/>
      <c r="QJB74" s="800"/>
      <c r="QJC74" s="705"/>
      <c r="QJD74" s="799"/>
      <c r="QJE74" s="800"/>
      <c r="QJF74" s="800"/>
      <c r="QJG74" s="800"/>
      <c r="QJH74" s="800"/>
      <c r="QJI74" s="800"/>
      <c r="QJJ74" s="705"/>
      <c r="QJK74" s="799"/>
      <c r="QJL74" s="800"/>
      <c r="QJM74" s="800"/>
      <c r="QJN74" s="800"/>
      <c r="QJO74" s="800"/>
      <c r="QJP74" s="800"/>
      <c r="QJQ74" s="705"/>
      <c r="QJR74" s="799"/>
      <c r="QJS74" s="800"/>
      <c r="QJT74" s="800"/>
      <c r="QJU74" s="800"/>
      <c r="QJV74" s="800"/>
      <c r="QJW74" s="800"/>
      <c r="QJX74" s="705"/>
      <c r="QJY74" s="799"/>
      <c r="QJZ74" s="800"/>
      <c r="QKA74" s="800"/>
      <c r="QKB74" s="800"/>
      <c r="QKC74" s="800"/>
      <c r="QKD74" s="800"/>
      <c r="QKE74" s="705"/>
      <c r="QKF74" s="799"/>
      <c r="QKG74" s="800"/>
      <c r="QKH74" s="800"/>
      <c r="QKI74" s="800"/>
      <c r="QKJ74" s="800"/>
      <c r="QKK74" s="800"/>
      <c r="QKL74" s="705"/>
      <c r="QKM74" s="799"/>
      <c r="QKN74" s="800"/>
      <c r="QKO74" s="800"/>
      <c r="QKP74" s="800"/>
      <c r="QKQ74" s="800"/>
      <c r="QKR74" s="800"/>
      <c r="QKS74" s="705"/>
      <c r="QKT74" s="799"/>
      <c r="QKU74" s="800"/>
      <c r="QKV74" s="800"/>
      <c r="QKW74" s="800"/>
      <c r="QKX74" s="800"/>
      <c r="QKY74" s="800"/>
      <c r="QKZ74" s="705"/>
      <c r="QLA74" s="799"/>
      <c r="QLB74" s="800"/>
      <c r="QLC74" s="800"/>
      <c r="QLD74" s="800"/>
      <c r="QLE74" s="800"/>
      <c r="QLF74" s="800"/>
      <c r="QLG74" s="705"/>
      <c r="QLH74" s="799"/>
      <c r="QLI74" s="800"/>
      <c r="QLJ74" s="800"/>
      <c r="QLK74" s="800"/>
      <c r="QLL74" s="800"/>
      <c r="QLM74" s="800"/>
      <c r="QLN74" s="705"/>
      <c r="QLO74" s="799"/>
      <c r="QLP74" s="800"/>
      <c r="QLQ74" s="800"/>
      <c r="QLR74" s="800"/>
      <c r="QLS74" s="800"/>
      <c r="QLT74" s="800"/>
      <c r="QLU74" s="705"/>
      <c r="QLV74" s="799"/>
      <c r="QLW74" s="800"/>
      <c r="QLX74" s="800"/>
      <c r="QLY74" s="800"/>
      <c r="QLZ74" s="800"/>
      <c r="QMA74" s="800"/>
      <c r="QMB74" s="705"/>
      <c r="QMC74" s="799"/>
      <c r="QMD74" s="800"/>
      <c r="QME74" s="800"/>
      <c r="QMF74" s="800"/>
      <c r="QMG74" s="800"/>
      <c r="QMH74" s="800"/>
      <c r="QMI74" s="705"/>
      <c r="QMJ74" s="799"/>
      <c r="QMK74" s="800"/>
      <c r="QML74" s="800"/>
      <c r="QMM74" s="800"/>
      <c r="QMN74" s="800"/>
      <c r="QMO74" s="800"/>
      <c r="QMP74" s="705"/>
      <c r="QMQ74" s="799"/>
      <c r="QMR74" s="800"/>
      <c r="QMS74" s="800"/>
      <c r="QMT74" s="800"/>
      <c r="QMU74" s="800"/>
      <c r="QMV74" s="800"/>
      <c r="QMW74" s="705"/>
      <c r="QMX74" s="799"/>
      <c r="QMY74" s="800"/>
      <c r="QMZ74" s="800"/>
      <c r="QNA74" s="800"/>
      <c r="QNB74" s="800"/>
      <c r="QNC74" s="800"/>
      <c r="QND74" s="705"/>
      <c r="QNE74" s="799"/>
      <c r="QNF74" s="800"/>
      <c r="QNG74" s="800"/>
      <c r="QNH74" s="800"/>
      <c r="QNI74" s="800"/>
      <c r="QNJ74" s="800"/>
      <c r="QNK74" s="705"/>
      <c r="QNL74" s="799"/>
      <c r="QNM74" s="800"/>
      <c r="QNN74" s="800"/>
      <c r="QNO74" s="800"/>
      <c r="QNP74" s="800"/>
      <c r="QNQ74" s="800"/>
      <c r="QNR74" s="705"/>
      <c r="QNS74" s="799"/>
      <c r="QNT74" s="800"/>
      <c r="QNU74" s="800"/>
      <c r="QNV74" s="800"/>
      <c r="QNW74" s="800"/>
      <c r="QNX74" s="800"/>
      <c r="QNY74" s="705"/>
      <c r="QNZ74" s="799"/>
      <c r="QOA74" s="800"/>
      <c r="QOB74" s="800"/>
      <c r="QOC74" s="800"/>
      <c r="QOD74" s="800"/>
      <c r="QOE74" s="800"/>
      <c r="QOF74" s="705"/>
      <c r="QOG74" s="799"/>
      <c r="QOH74" s="800"/>
      <c r="QOI74" s="800"/>
      <c r="QOJ74" s="800"/>
      <c r="QOK74" s="800"/>
      <c r="QOL74" s="800"/>
      <c r="QOM74" s="705"/>
      <c r="QON74" s="799"/>
      <c r="QOO74" s="800"/>
      <c r="QOP74" s="800"/>
      <c r="QOQ74" s="800"/>
      <c r="QOR74" s="800"/>
      <c r="QOS74" s="800"/>
      <c r="QOT74" s="705"/>
      <c r="QOU74" s="799"/>
      <c r="QOV74" s="800"/>
      <c r="QOW74" s="800"/>
      <c r="QOX74" s="800"/>
      <c r="QOY74" s="800"/>
      <c r="QOZ74" s="800"/>
      <c r="QPA74" s="705"/>
      <c r="QPB74" s="799"/>
      <c r="QPC74" s="800"/>
      <c r="QPD74" s="800"/>
      <c r="QPE74" s="800"/>
      <c r="QPF74" s="800"/>
      <c r="QPG74" s="800"/>
      <c r="QPH74" s="705"/>
      <c r="QPI74" s="799"/>
      <c r="QPJ74" s="800"/>
      <c r="QPK74" s="800"/>
      <c r="QPL74" s="800"/>
      <c r="QPM74" s="800"/>
      <c r="QPN74" s="800"/>
      <c r="QPO74" s="705"/>
      <c r="QPP74" s="799"/>
      <c r="QPQ74" s="800"/>
      <c r="QPR74" s="800"/>
      <c r="QPS74" s="800"/>
      <c r="QPT74" s="800"/>
      <c r="QPU74" s="800"/>
      <c r="QPV74" s="705"/>
      <c r="QPW74" s="799"/>
      <c r="QPX74" s="800"/>
      <c r="QPY74" s="800"/>
      <c r="QPZ74" s="800"/>
      <c r="QQA74" s="800"/>
      <c r="QQB74" s="800"/>
      <c r="QQC74" s="705"/>
      <c r="QQD74" s="799"/>
      <c r="QQE74" s="800"/>
      <c r="QQF74" s="800"/>
      <c r="QQG74" s="800"/>
      <c r="QQH74" s="800"/>
      <c r="QQI74" s="800"/>
      <c r="QQJ74" s="705"/>
      <c r="QQK74" s="799"/>
      <c r="QQL74" s="800"/>
      <c r="QQM74" s="800"/>
      <c r="QQN74" s="800"/>
      <c r="QQO74" s="800"/>
      <c r="QQP74" s="800"/>
      <c r="QQQ74" s="705"/>
      <c r="QQR74" s="799"/>
      <c r="QQS74" s="800"/>
      <c r="QQT74" s="800"/>
      <c r="QQU74" s="800"/>
      <c r="QQV74" s="800"/>
      <c r="QQW74" s="800"/>
      <c r="QQX74" s="705"/>
      <c r="QQY74" s="799"/>
      <c r="QQZ74" s="800"/>
      <c r="QRA74" s="800"/>
      <c r="QRB74" s="800"/>
      <c r="QRC74" s="800"/>
      <c r="QRD74" s="800"/>
      <c r="QRE74" s="705"/>
      <c r="QRF74" s="799"/>
      <c r="QRG74" s="800"/>
      <c r="QRH74" s="800"/>
      <c r="QRI74" s="800"/>
      <c r="QRJ74" s="800"/>
      <c r="QRK74" s="800"/>
      <c r="QRL74" s="705"/>
      <c r="QRM74" s="799"/>
      <c r="QRN74" s="800"/>
      <c r="QRO74" s="800"/>
      <c r="QRP74" s="800"/>
      <c r="QRQ74" s="800"/>
      <c r="QRR74" s="800"/>
      <c r="QRS74" s="705"/>
      <c r="QRT74" s="799"/>
      <c r="QRU74" s="800"/>
      <c r="QRV74" s="800"/>
      <c r="QRW74" s="800"/>
      <c r="QRX74" s="800"/>
      <c r="QRY74" s="800"/>
      <c r="QRZ74" s="705"/>
      <c r="QSA74" s="799"/>
      <c r="QSB74" s="800"/>
      <c r="QSC74" s="800"/>
      <c r="QSD74" s="800"/>
      <c r="QSE74" s="800"/>
      <c r="QSF74" s="800"/>
      <c r="QSG74" s="705"/>
      <c r="QSH74" s="799"/>
      <c r="QSI74" s="800"/>
      <c r="QSJ74" s="800"/>
      <c r="QSK74" s="800"/>
      <c r="QSL74" s="800"/>
      <c r="QSM74" s="800"/>
      <c r="QSN74" s="705"/>
      <c r="QSO74" s="799"/>
      <c r="QSP74" s="800"/>
      <c r="QSQ74" s="800"/>
      <c r="QSR74" s="800"/>
      <c r="QSS74" s="800"/>
      <c r="QST74" s="800"/>
      <c r="QSU74" s="705"/>
      <c r="QSV74" s="799"/>
      <c r="QSW74" s="800"/>
      <c r="QSX74" s="800"/>
      <c r="QSY74" s="800"/>
      <c r="QSZ74" s="800"/>
      <c r="QTA74" s="800"/>
      <c r="QTB74" s="705"/>
      <c r="QTC74" s="799"/>
      <c r="QTD74" s="800"/>
      <c r="QTE74" s="800"/>
      <c r="QTF74" s="800"/>
      <c r="QTG74" s="800"/>
      <c r="QTH74" s="800"/>
      <c r="QTI74" s="705"/>
      <c r="QTJ74" s="799"/>
      <c r="QTK74" s="800"/>
      <c r="QTL74" s="800"/>
      <c r="QTM74" s="800"/>
      <c r="QTN74" s="800"/>
      <c r="QTO74" s="800"/>
      <c r="QTP74" s="705"/>
      <c r="QTQ74" s="799"/>
      <c r="QTR74" s="800"/>
      <c r="QTS74" s="800"/>
      <c r="QTT74" s="800"/>
      <c r="QTU74" s="800"/>
      <c r="QTV74" s="800"/>
      <c r="QTW74" s="705"/>
      <c r="QTX74" s="799"/>
      <c r="QTY74" s="800"/>
      <c r="QTZ74" s="800"/>
      <c r="QUA74" s="800"/>
      <c r="QUB74" s="800"/>
      <c r="QUC74" s="800"/>
      <c r="QUD74" s="705"/>
      <c r="QUE74" s="799"/>
      <c r="QUF74" s="800"/>
      <c r="QUG74" s="800"/>
      <c r="QUH74" s="800"/>
      <c r="QUI74" s="800"/>
      <c r="QUJ74" s="800"/>
      <c r="QUK74" s="705"/>
      <c r="QUL74" s="799"/>
      <c r="QUM74" s="800"/>
      <c r="QUN74" s="800"/>
      <c r="QUO74" s="800"/>
      <c r="QUP74" s="800"/>
      <c r="QUQ74" s="800"/>
      <c r="QUR74" s="705"/>
      <c r="QUS74" s="799"/>
      <c r="QUT74" s="800"/>
      <c r="QUU74" s="800"/>
      <c r="QUV74" s="800"/>
      <c r="QUW74" s="800"/>
      <c r="QUX74" s="800"/>
      <c r="QUY74" s="705"/>
      <c r="QUZ74" s="799"/>
      <c r="QVA74" s="800"/>
      <c r="QVB74" s="800"/>
      <c r="QVC74" s="800"/>
      <c r="QVD74" s="800"/>
      <c r="QVE74" s="800"/>
      <c r="QVF74" s="705"/>
      <c r="QVG74" s="799"/>
      <c r="QVH74" s="800"/>
      <c r="QVI74" s="800"/>
      <c r="QVJ74" s="800"/>
      <c r="QVK74" s="800"/>
      <c r="QVL74" s="800"/>
      <c r="QVM74" s="705"/>
      <c r="QVN74" s="799"/>
      <c r="QVO74" s="800"/>
      <c r="QVP74" s="800"/>
      <c r="QVQ74" s="800"/>
      <c r="QVR74" s="800"/>
      <c r="QVS74" s="800"/>
      <c r="QVT74" s="705"/>
      <c r="QVU74" s="799"/>
      <c r="QVV74" s="800"/>
      <c r="QVW74" s="800"/>
      <c r="QVX74" s="800"/>
      <c r="QVY74" s="800"/>
      <c r="QVZ74" s="800"/>
      <c r="QWA74" s="705"/>
      <c r="QWB74" s="799"/>
      <c r="QWC74" s="800"/>
      <c r="QWD74" s="800"/>
      <c r="QWE74" s="800"/>
      <c r="QWF74" s="800"/>
      <c r="QWG74" s="800"/>
      <c r="QWH74" s="705"/>
      <c r="QWI74" s="799"/>
      <c r="QWJ74" s="800"/>
      <c r="QWK74" s="800"/>
      <c r="QWL74" s="800"/>
      <c r="QWM74" s="800"/>
      <c r="QWN74" s="800"/>
      <c r="QWO74" s="705"/>
      <c r="QWP74" s="799"/>
      <c r="QWQ74" s="800"/>
      <c r="QWR74" s="800"/>
      <c r="QWS74" s="800"/>
      <c r="QWT74" s="800"/>
      <c r="QWU74" s="800"/>
      <c r="QWV74" s="705"/>
      <c r="QWW74" s="799"/>
      <c r="QWX74" s="800"/>
      <c r="QWY74" s="800"/>
      <c r="QWZ74" s="800"/>
      <c r="QXA74" s="800"/>
      <c r="QXB74" s="800"/>
      <c r="QXC74" s="705"/>
      <c r="QXD74" s="799"/>
      <c r="QXE74" s="800"/>
      <c r="QXF74" s="800"/>
      <c r="QXG74" s="800"/>
      <c r="QXH74" s="800"/>
      <c r="QXI74" s="800"/>
      <c r="QXJ74" s="705"/>
      <c r="QXK74" s="799"/>
      <c r="QXL74" s="800"/>
      <c r="QXM74" s="800"/>
      <c r="QXN74" s="800"/>
      <c r="QXO74" s="800"/>
      <c r="QXP74" s="800"/>
      <c r="QXQ74" s="705"/>
      <c r="QXR74" s="799"/>
      <c r="QXS74" s="800"/>
      <c r="QXT74" s="800"/>
      <c r="QXU74" s="800"/>
      <c r="QXV74" s="800"/>
      <c r="QXW74" s="800"/>
      <c r="QXX74" s="705"/>
      <c r="QXY74" s="799"/>
      <c r="QXZ74" s="800"/>
      <c r="QYA74" s="800"/>
      <c r="QYB74" s="800"/>
      <c r="QYC74" s="800"/>
      <c r="QYD74" s="800"/>
      <c r="QYE74" s="705"/>
      <c r="QYF74" s="799"/>
      <c r="QYG74" s="800"/>
      <c r="QYH74" s="800"/>
      <c r="QYI74" s="800"/>
      <c r="QYJ74" s="800"/>
      <c r="QYK74" s="800"/>
      <c r="QYL74" s="705"/>
      <c r="QYM74" s="799"/>
      <c r="QYN74" s="800"/>
      <c r="QYO74" s="800"/>
      <c r="QYP74" s="800"/>
      <c r="QYQ74" s="800"/>
      <c r="QYR74" s="800"/>
      <c r="QYS74" s="705"/>
      <c r="QYT74" s="799"/>
      <c r="QYU74" s="800"/>
      <c r="QYV74" s="800"/>
      <c r="QYW74" s="800"/>
      <c r="QYX74" s="800"/>
      <c r="QYY74" s="800"/>
      <c r="QYZ74" s="705"/>
      <c r="QZA74" s="799"/>
      <c r="QZB74" s="800"/>
      <c r="QZC74" s="800"/>
      <c r="QZD74" s="800"/>
      <c r="QZE74" s="800"/>
      <c r="QZF74" s="800"/>
      <c r="QZG74" s="705"/>
      <c r="QZH74" s="799"/>
      <c r="QZI74" s="800"/>
      <c r="QZJ74" s="800"/>
      <c r="QZK74" s="800"/>
      <c r="QZL74" s="800"/>
      <c r="QZM74" s="800"/>
      <c r="QZN74" s="705"/>
      <c r="QZO74" s="799"/>
      <c r="QZP74" s="800"/>
      <c r="QZQ74" s="800"/>
      <c r="QZR74" s="800"/>
      <c r="QZS74" s="800"/>
      <c r="QZT74" s="800"/>
      <c r="QZU74" s="705"/>
      <c r="QZV74" s="799"/>
      <c r="QZW74" s="800"/>
      <c r="QZX74" s="800"/>
      <c r="QZY74" s="800"/>
      <c r="QZZ74" s="800"/>
      <c r="RAA74" s="800"/>
      <c r="RAB74" s="705"/>
      <c r="RAC74" s="799"/>
      <c r="RAD74" s="800"/>
      <c r="RAE74" s="800"/>
      <c r="RAF74" s="800"/>
      <c r="RAG74" s="800"/>
      <c r="RAH74" s="800"/>
      <c r="RAI74" s="705"/>
      <c r="RAJ74" s="799"/>
      <c r="RAK74" s="800"/>
      <c r="RAL74" s="800"/>
      <c r="RAM74" s="800"/>
      <c r="RAN74" s="800"/>
      <c r="RAO74" s="800"/>
      <c r="RAP74" s="705"/>
      <c r="RAQ74" s="799"/>
      <c r="RAR74" s="800"/>
      <c r="RAS74" s="800"/>
      <c r="RAT74" s="800"/>
      <c r="RAU74" s="800"/>
      <c r="RAV74" s="800"/>
      <c r="RAW74" s="705"/>
      <c r="RAX74" s="799"/>
      <c r="RAY74" s="800"/>
      <c r="RAZ74" s="800"/>
      <c r="RBA74" s="800"/>
      <c r="RBB74" s="800"/>
      <c r="RBC74" s="800"/>
      <c r="RBD74" s="705"/>
      <c r="RBE74" s="799"/>
      <c r="RBF74" s="800"/>
      <c r="RBG74" s="800"/>
      <c r="RBH74" s="800"/>
      <c r="RBI74" s="800"/>
      <c r="RBJ74" s="800"/>
      <c r="RBK74" s="705"/>
      <c r="RBL74" s="799"/>
      <c r="RBM74" s="800"/>
      <c r="RBN74" s="800"/>
      <c r="RBO74" s="800"/>
      <c r="RBP74" s="800"/>
      <c r="RBQ74" s="800"/>
      <c r="RBR74" s="705"/>
      <c r="RBS74" s="799"/>
      <c r="RBT74" s="800"/>
      <c r="RBU74" s="800"/>
      <c r="RBV74" s="800"/>
      <c r="RBW74" s="800"/>
      <c r="RBX74" s="800"/>
      <c r="RBY74" s="705"/>
      <c r="RBZ74" s="799"/>
      <c r="RCA74" s="800"/>
      <c r="RCB74" s="800"/>
      <c r="RCC74" s="800"/>
      <c r="RCD74" s="800"/>
      <c r="RCE74" s="800"/>
      <c r="RCF74" s="705"/>
      <c r="RCG74" s="799"/>
      <c r="RCH74" s="800"/>
      <c r="RCI74" s="800"/>
      <c r="RCJ74" s="800"/>
      <c r="RCK74" s="800"/>
      <c r="RCL74" s="800"/>
      <c r="RCM74" s="705"/>
      <c r="RCN74" s="799"/>
      <c r="RCO74" s="800"/>
      <c r="RCP74" s="800"/>
      <c r="RCQ74" s="800"/>
      <c r="RCR74" s="800"/>
      <c r="RCS74" s="800"/>
      <c r="RCT74" s="705"/>
      <c r="RCU74" s="799"/>
      <c r="RCV74" s="800"/>
      <c r="RCW74" s="800"/>
      <c r="RCX74" s="800"/>
      <c r="RCY74" s="800"/>
      <c r="RCZ74" s="800"/>
      <c r="RDA74" s="705"/>
      <c r="RDB74" s="799"/>
      <c r="RDC74" s="800"/>
      <c r="RDD74" s="800"/>
      <c r="RDE74" s="800"/>
      <c r="RDF74" s="800"/>
      <c r="RDG74" s="800"/>
      <c r="RDH74" s="705"/>
      <c r="RDI74" s="799"/>
      <c r="RDJ74" s="800"/>
      <c r="RDK74" s="800"/>
      <c r="RDL74" s="800"/>
      <c r="RDM74" s="800"/>
      <c r="RDN74" s="800"/>
      <c r="RDO74" s="705"/>
      <c r="RDP74" s="799"/>
      <c r="RDQ74" s="800"/>
      <c r="RDR74" s="800"/>
      <c r="RDS74" s="800"/>
      <c r="RDT74" s="800"/>
      <c r="RDU74" s="800"/>
      <c r="RDV74" s="705"/>
      <c r="RDW74" s="799"/>
      <c r="RDX74" s="800"/>
      <c r="RDY74" s="800"/>
      <c r="RDZ74" s="800"/>
      <c r="REA74" s="800"/>
      <c r="REB74" s="800"/>
      <c r="REC74" s="705"/>
      <c r="RED74" s="799"/>
      <c r="REE74" s="800"/>
      <c r="REF74" s="800"/>
      <c r="REG74" s="800"/>
      <c r="REH74" s="800"/>
      <c r="REI74" s="800"/>
      <c r="REJ74" s="705"/>
      <c r="REK74" s="799"/>
      <c r="REL74" s="800"/>
      <c r="REM74" s="800"/>
      <c r="REN74" s="800"/>
      <c r="REO74" s="800"/>
      <c r="REP74" s="800"/>
      <c r="REQ74" s="705"/>
      <c r="RER74" s="799"/>
      <c r="RES74" s="800"/>
      <c r="RET74" s="800"/>
      <c r="REU74" s="800"/>
      <c r="REV74" s="800"/>
      <c r="REW74" s="800"/>
      <c r="REX74" s="705"/>
      <c r="REY74" s="799"/>
      <c r="REZ74" s="800"/>
      <c r="RFA74" s="800"/>
      <c r="RFB74" s="800"/>
      <c r="RFC74" s="800"/>
      <c r="RFD74" s="800"/>
      <c r="RFE74" s="705"/>
      <c r="RFF74" s="799"/>
      <c r="RFG74" s="800"/>
      <c r="RFH74" s="800"/>
      <c r="RFI74" s="800"/>
      <c r="RFJ74" s="800"/>
      <c r="RFK74" s="800"/>
      <c r="RFL74" s="705"/>
      <c r="RFM74" s="799"/>
      <c r="RFN74" s="800"/>
      <c r="RFO74" s="800"/>
      <c r="RFP74" s="800"/>
      <c r="RFQ74" s="800"/>
      <c r="RFR74" s="800"/>
      <c r="RFS74" s="705"/>
      <c r="RFT74" s="799"/>
      <c r="RFU74" s="800"/>
      <c r="RFV74" s="800"/>
      <c r="RFW74" s="800"/>
      <c r="RFX74" s="800"/>
      <c r="RFY74" s="800"/>
      <c r="RFZ74" s="705"/>
      <c r="RGA74" s="799"/>
      <c r="RGB74" s="800"/>
      <c r="RGC74" s="800"/>
      <c r="RGD74" s="800"/>
      <c r="RGE74" s="800"/>
      <c r="RGF74" s="800"/>
      <c r="RGG74" s="705"/>
      <c r="RGH74" s="799"/>
      <c r="RGI74" s="800"/>
      <c r="RGJ74" s="800"/>
      <c r="RGK74" s="800"/>
      <c r="RGL74" s="800"/>
      <c r="RGM74" s="800"/>
      <c r="RGN74" s="705"/>
      <c r="RGO74" s="799"/>
      <c r="RGP74" s="800"/>
      <c r="RGQ74" s="800"/>
      <c r="RGR74" s="800"/>
      <c r="RGS74" s="800"/>
      <c r="RGT74" s="800"/>
      <c r="RGU74" s="705"/>
      <c r="RGV74" s="799"/>
      <c r="RGW74" s="800"/>
      <c r="RGX74" s="800"/>
      <c r="RGY74" s="800"/>
      <c r="RGZ74" s="800"/>
      <c r="RHA74" s="800"/>
      <c r="RHB74" s="705"/>
      <c r="RHC74" s="799"/>
      <c r="RHD74" s="800"/>
      <c r="RHE74" s="800"/>
      <c r="RHF74" s="800"/>
      <c r="RHG74" s="800"/>
      <c r="RHH74" s="800"/>
      <c r="RHI74" s="705"/>
      <c r="RHJ74" s="799"/>
      <c r="RHK74" s="800"/>
      <c r="RHL74" s="800"/>
      <c r="RHM74" s="800"/>
      <c r="RHN74" s="800"/>
      <c r="RHO74" s="800"/>
      <c r="RHP74" s="705"/>
      <c r="RHQ74" s="799"/>
      <c r="RHR74" s="800"/>
      <c r="RHS74" s="800"/>
      <c r="RHT74" s="800"/>
      <c r="RHU74" s="800"/>
      <c r="RHV74" s="800"/>
      <c r="RHW74" s="705"/>
      <c r="RHX74" s="799"/>
      <c r="RHY74" s="800"/>
      <c r="RHZ74" s="800"/>
      <c r="RIA74" s="800"/>
      <c r="RIB74" s="800"/>
      <c r="RIC74" s="800"/>
      <c r="RID74" s="705"/>
      <c r="RIE74" s="799"/>
      <c r="RIF74" s="800"/>
      <c r="RIG74" s="800"/>
      <c r="RIH74" s="800"/>
      <c r="RII74" s="800"/>
      <c r="RIJ74" s="800"/>
      <c r="RIK74" s="705"/>
      <c r="RIL74" s="799"/>
      <c r="RIM74" s="800"/>
      <c r="RIN74" s="800"/>
      <c r="RIO74" s="800"/>
      <c r="RIP74" s="800"/>
      <c r="RIQ74" s="800"/>
      <c r="RIR74" s="705"/>
      <c r="RIS74" s="799"/>
      <c r="RIT74" s="800"/>
      <c r="RIU74" s="800"/>
      <c r="RIV74" s="800"/>
      <c r="RIW74" s="800"/>
      <c r="RIX74" s="800"/>
      <c r="RIY74" s="705"/>
      <c r="RIZ74" s="799"/>
      <c r="RJA74" s="800"/>
      <c r="RJB74" s="800"/>
      <c r="RJC74" s="800"/>
      <c r="RJD74" s="800"/>
      <c r="RJE74" s="800"/>
      <c r="RJF74" s="705"/>
      <c r="RJG74" s="799"/>
      <c r="RJH74" s="800"/>
      <c r="RJI74" s="800"/>
      <c r="RJJ74" s="800"/>
      <c r="RJK74" s="800"/>
      <c r="RJL74" s="800"/>
      <c r="RJM74" s="705"/>
      <c r="RJN74" s="799"/>
      <c r="RJO74" s="800"/>
      <c r="RJP74" s="800"/>
      <c r="RJQ74" s="800"/>
      <c r="RJR74" s="800"/>
      <c r="RJS74" s="800"/>
      <c r="RJT74" s="705"/>
      <c r="RJU74" s="799"/>
      <c r="RJV74" s="800"/>
      <c r="RJW74" s="800"/>
      <c r="RJX74" s="800"/>
      <c r="RJY74" s="800"/>
      <c r="RJZ74" s="800"/>
      <c r="RKA74" s="705"/>
      <c r="RKB74" s="799"/>
      <c r="RKC74" s="800"/>
      <c r="RKD74" s="800"/>
      <c r="RKE74" s="800"/>
      <c r="RKF74" s="800"/>
      <c r="RKG74" s="800"/>
      <c r="RKH74" s="705"/>
      <c r="RKI74" s="799"/>
      <c r="RKJ74" s="800"/>
      <c r="RKK74" s="800"/>
      <c r="RKL74" s="800"/>
      <c r="RKM74" s="800"/>
      <c r="RKN74" s="800"/>
      <c r="RKO74" s="705"/>
      <c r="RKP74" s="799"/>
      <c r="RKQ74" s="800"/>
      <c r="RKR74" s="800"/>
      <c r="RKS74" s="800"/>
      <c r="RKT74" s="800"/>
      <c r="RKU74" s="800"/>
      <c r="RKV74" s="705"/>
      <c r="RKW74" s="799"/>
      <c r="RKX74" s="800"/>
      <c r="RKY74" s="800"/>
      <c r="RKZ74" s="800"/>
      <c r="RLA74" s="800"/>
      <c r="RLB74" s="800"/>
      <c r="RLC74" s="705"/>
      <c r="RLD74" s="799"/>
      <c r="RLE74" s="800"/>
      <c r="RLF74" s="800"/>
      <c r="RLG74" s="800"/>
      <c r="RLH74" s="800"/>
      <c r="RLI74" s="800"/>
      <c r="RLJ74" s="705"/>
      <c r="RLK74" s="799"/>
      <c r="RLL74" s="800"/>
      <c r="RLM74" s="800"/>
      <c r="RLN74" s="800"/>
      <c r="RLO74" s="800"/>
      <c r="RLP74" s="800"/>
      <c r="RLQ74" s="705"/>
      <c r="RLR74" s="799"/>
      <c r="RLS74" s="800"/>
      <c r="RLT74" s="800"/>
      <c r="RLU74" s="800"/>
      <c r="RLV74" s="800"/>
      <c r="RLW74" s="800"/>
      <c r="RLX74" s="705"/>
      <c r="RLY74" s="799"/>
      <c r="RLZ74" s="800"/>
      <c r="RMA74" s="800"/>
      <c r="RMB74" s="800"/>
      <c r="RMC74" s="800"/>
      <c r="RMD74" s="800"/>
      <c r="RME74" s="705"/>
      <c r="RMF74" s="799"/>
      <c r="RMG74" s="800"/>
      <c r="RMH74" s="800"/>
      <c r="RMI74" s="800"/>
      <c r="RMJ74" s="800"/>
      <c r="RMK74" s="800"/>
      <c r="RML74" s="705"/>
      <c r="RMM74" s="799"/>
      <c r="RMN74" s="800"/>
      <c r="RMO74" s="800"/>
      <c r="RMP74" s="800"/>
      <c r="RMQ74" s="800"/>
      <c r="RMR74" s="800"/>
      <c r="RMS74" s="705"/>
      <c r="RMT74" s="799"/>
      <c r="RMU74" s="800"/>
      <c r="RMV74" s="800"/>
      <c r="RMW74" s="800"/>
      <c r="RMX74" s="800"/>
      <c r="RMY74" s="800"/>
      <c r="RMZ74" s="705"/>
      <c r="RNA74" s="799"/>
      <c r="RNB74" s="800"/>
      <c r="RNC74" s="800"/>
      <c r="RND74" s="800"/>
      <c r="RNE74" s="800"/>
      <c r="RNF74" s="800"/>
      <c r="RNG74" s="705"/>
      <c r="RNH74" s="799"/>
      <c r="RNI74" s="800"/>
      <c r="RNJ74" s="800"/>
      <c r="RNK74" s="800"/>
      <c r="RNL74" s="800"/>
      <c r="RNM74" s="800"/>
      <c r="RNN74" s="705"/>
      <c r="RNO74" s="799"/>
      <c r="RNP74" s="800"/>
      <c r="RNQ74" s="800"/>
      <c r="RNR74" s="800"/>
      <c r="RNS74" s="800"/>
      <c r="RNT74" s="800"/>
      <c r="RNU74" s="705"/>
      <c r="RNV74" s="799"/>
      <c r="RNW74" s="800"/>
      <c r="RNX74" s="800"/>
      <c r="RNY74" s="800"/>
      <c r="RNZ74" s="800"/>
      <c r="ROA74" s="800"/>
      <c r="ROB74" s="705"/>
      <c r="ROC74" s="799"/>
      <c r="ROD74" s="800"/>
      <c r="ROE74" s="800"/>
      <c r="ROF74" s="800"/>
      <c r="ROG74" s="800"/>
      <c r="ROH74" s="800"/>
      <c r="ROI74" s="705"/>
      <c r="ROJ74" s="799"/>
      <c r="ROK74" s="800"/>
      <c r="ROL74" s="800"/>
      <c r="ROM74" s="800"/>
      <c r="RON74" s="800"/>
      <c r="ROO74" s="800"/>
      <c r="ROP74" s="705"/>
      <c r="ROQ74" s="799"/>
      <c r="ROR74" s="800"/>
      <c r="ROS74" s="800"/>
      <c r="ROT74" s="800"/>
      <c r="ROU74" s="800"/>
      <c r="ROV74" s="800"/>
      <c r="ROW74" s="705"/>
      <c r="ROX74" s="799"/>
      <c r="ROY74" s="800"/>
      <c r="ROZ74" s="800"/>
      <c r="RPA74" s="800"/>
      <c r="RPB74" s="800"/>
      <c r="RPC74" s="800"/>
      <c r="RPD74" s="705"/>
      <c r="RPE74" s="799"/>
      <c r="RPF74" s="800"/>
      <c r="RPG74" s="800"/>
      <c r="RPH74" s="800"/>
      <c r="RPI74" s="800"/>
      <c r="RPJ74" s="800"/>
      <c r="RPK74" s="705"/>
      <c r="RPL74" s="799"/>
      <c r="RPM74" s="800"/>
      <c r="RPN74" s="800"/>
      <c r="RPO74" s="800"/>
      <c r="RPP74" s="800"/>
      <c r="RPQ74" s="800"/>
      <c r="RPR74" s="705"/>
      <c r="RPS74" s="799"/>
      <c r="RPT74" s="800"/>
      <c r="RPU74" s="800"/>
      <c r="RPV74" s="800"/>
      <c r="RPW74" s="800"/>
      <c r="RPX74" s="800"/>
      <c r="RPY74" s="705"/>
      <c r="RPZ74" s="799"/>
      <c r="RQA74" s="800"/>
      <c r="RQB74" s="800"/>
      <c r="RQC74" s="800"/>
      <c r="RQD74" s="800"/>
      <c r="RQE74" s="800"/>
      <c r="RQF74" s="705"/>
      <c r="RQG74" s="799"/>
      <c r="RQH74" s="800"/>
      <c r="RQI74" s="800"/>
      <c r="RQJ74" s="800"/>
      <c r="RQK74" s="800"/>
      <c r="RQL74" s="800"/>
      <c r="RQM74" s="705"/>
      <c r="RQN74" s="799"/>
      <c r="RQO74" s="800"/>
      <c r="RQP74" s="800"/>
      <c r="RQQ74" s="800"/>
      <c r="RQR74" s="800"/>
      <c r="RQS74" s="800"/>
      <c r="RQT74" s="705"/>
      <c r="RQU74" s="799"/>
      <c r="RQV74" s="800"/>
      <c r="RQW74" s="800"/>
      <c r="RQX74" s="800"/>
      <c r="RQY74" s="800"/>
      <c r="RQZ74" s="800"/>
      <c r="RRA74" s="705"/>
      <c r="RRB74" s="799"/>
      <c r="RRC74" s="800"/>
      <c r="RRD74" s="800"/>
      <c r="RRE74" s="800"/>
      <c r="RRF74" s="800"/>
      <c r="RRG74" s="800"/>
      <c r="RRH74" s="705"/>
      <c r="RRI74" s="799"/>
      <c r="RRJ74" s="800"/>
      <c r="RRK74" s="800"/>
      <c r="RRL74" s="800"/>
      <c r="RRM74" s="800"/>
      <c r="RRN74" s="800"/>
      <c r="RRO74" s="705"/>
      <c r="RRP74" s="799"/>
      <c r="RRQ74" s="800"/>
      <c r="RRR74" s="800"/>
      <c r="RRS74" s="800"/>
      <c r="RRT74" s="800"/>
      <c r="RRU74" s="800"/>
      <c r="RRV74" s="705"/>
      <c r="RRW74" s="799"/>
      <c r="RRX74" s="800"/>
      <c r="RRY74" s="800"/>
      <c r="RRZ74" s="800"/>
      <c r="RSA74" s="800"/>
      <c r="RSB74" s="800"/>
      <c r="RSC74" s="705"/>
      <c r="RSD74" s="799"/>
      <c r="RSE74" s="800"/>
      <c r="RSF74" s="800"/>
      <c r="RSG74" s="800"/>
      <c r="RSH74" s="800"/>
      <c r="RSI74" s="800"/>
      <c r="RSJ74" s="705"/>
      <c r="RSK74" s="799"/>
      <c r="RSL74" s="800"/>
      <c r="RSM74" s="800"/>
      <c r="RSN74" s="800"/>
      <c r="RSO74" s="800"/>
      <c r="RSP74" s="800"/>
      <c r="RSQ74" s="705"/>
      <c r="RSR74" s="799"/>
      <c r="RSS74" s="800"/>
      <c r="RST74" s="800"/>
      <c r="RSU74" s="800"/>
      <c r="RSV74" s="800"/>
      <c r="RSW74" s="800"/>
      <c r="RSX74" s="705"/>
      <c r="RSY74" s="799"/>
      <c r="RSZ74" s="800"/>
      <c r="RTA74" s="800"/>
      <c r="RTB74" s="800"/>
      <c r="RTC74" s="800"/>
      <c r="RTD74" s="800"/>
      <c r="RTE74" s="705"/>
      <c r="RTF74" s="799"/>
      <c r="RTG74" s="800"/>
      <c r="RTH74" s="800"/>
      <c r="RTI74" s="800"/>
      <c r="RTJ74" s="800"/>
      <c r="RTK74" s="800"/>
      <c r="RTL74" s="705"/>
      <c r="RTM74" s="799"/>
      <c r="RTN74" s="800"/>
      <c r="RTO74" s="800"/>
      <c r="RTP74" s="800"/>
      <c r="RTQ74" s="800"/>
      <c r="RTR74" s="800"/>
      <c r="RTS74" s="705"/>
      <c r="RTT74" s="799"/>
      <c r="RTU74" s="800"/>
      <c r="RTV74" s="800"/>
      <c r="RTW74" s="800"/>
      <c r="RTX74" s="800"/>
      <c r="RTY74" s="800"/>
      <c r="RTZ74" s="705"/>
      <c r="RUA74" s="799"/>
      <c r="RUB74" s="800"/>
      <c r="RUC74" s="800"/>
      <c r="RUD74" s="800"/>
      <c r="RUE74" s="800"/>
      <c r="RUF74" s="800"/>
      <c r="RUG74" s="705"/>
      <c r="RUH74" s="799"/>
      <c r="RUI74" s="800"/>
      <c r="RUJ74" s="800"/>
      <c r="RUK74" s="800"/>
      <c r="RUL74" s="800"/>
      <c r="RUM74" s="800"/>
      <c r="RUN74" s="705"/>
      <c r="RUO74" s="799"/>
      <c r="RUP74" s="800"/>
      <c r="RUQ74" s="800"/>
      <c r="RUR74" s="800"/>
      <c r="RUS74" s="800"/>
      <c r="RUT74" s="800"/>
      <c r="RUU74" s="705"/>
      <c r="RUV74" s="799"/>
      <c r="RUW74" s="800"/>
      <c r="RUX74" s="800"/>
      <c r="RUY74" s="800"/>
      <c r="RUZ74" s="800"/>
      <c r="RVA74" s="800"/>
      <c r="RVB74" s="705"/>
      <c r="RVC74" s="799"/>
      <c r="RVD74" s="800"/>
      <c r="RVE74" s="800"/>
      <c r="RVF74" s="800"/>
      <c r="RVG74" s="800"/>
      <c r="RVH74" s="800"/>
      <c r="RVI74" s="705"/>
      <c r="RVJ74" s="799"/>
      <c r="RVK74" s="800"/>
      <c r="RVL74" s="800"/>
      <c r="RVM74" s="800"/>
      <c r="RVN74" s="800"/>
      <c r="RVO74" s="800"/>
      <c r="RVP74" s="705"/>
      <c r="RVQ74" s="799"/>
      <c r="RVR74" s="800"/>
      <c r="RVS74" s="800"/>
      <c r="RVT74" s="800"/>
      <c r="RVU74" s="800"/>
      <c r="RVV74" s="800"/>
      <c r="RVW74" s="705"/>
      <c r="RVX74" s="799"/>
      <c r="RVY74" s="800"/>
      <c r="RVZ74" s="800"/>
      <c r="RWA74" s="800"/>
      <c r="RWB74" s="800"/>
      <c r="RWC74" s="800"/>
      <c r="RWD74" s="705"/>
      <c r="RWE74" s="799"/>
      <c r="RWF74" s="800"/>
      <c r="RWG74" s="800"/>
      <c r="RWH74" s="800"/>
      <c r="RWI74" s="800"/>
      <c r="RWJ74" s="800"/>
      <c r="RWK74" s="705"/>
      <c r="RWL74" s="799"/>
      <c r="RWM74" s="800"/>
      <c r="RWN74" s="800"/>
      <c r="RWO74" s="800"/>
      <c r="RWP74" s="800"/>
      <c r="RWQ74" s="800"/>
      <c r="RWR74" s="705"/>
      <c r="RWS74" s="799"/>
      <c r="RWT74" s="800"/>
      <c r="RWU74" s="800"/>
      <c r="RWV74" s="800"/>
      <c r="RWW74" s="800"/>
      <c r="RWX74" s="800"/>
      <c r="RWY74" s="705"/>
      <c r="RWZ74" s="799"/>
      <c r="RXA74" s="800"/>
      <c r="RXB74" s="800"/>
      <c r="RXC74" s="800"/>
      <c r="RXD74" s="800"/>
      <c r="RXE74" s="800"/>
      <c r="RXF74" s="705"/>
      <c r="RXG74" s="799"/>
      <c r="RXH74" s="800"/>
      <c r="RXI74" s="800"/>
      <c r="RXJ74" s="800"/>
      <c r="RXK74" s="800"/>
      <c r="RXL74" s="800"/>
      <c r="RXM74" s="705"/>
      <c r="RXN74" s="799"/>
      <c r="RXO74" s="800"/>
      <c r="RXP74" s="800"/>
      <c r="RXQ74" s="800"/>
      <c r="RXR74" s="800"/>
      <c r="RXS74" s="800"/>
      <c r="RXT74" s="705"/>
      <c r="RXU74" s="799"/>
      <c r="RXV74" s="800"/>
      <c r="RXW74" s="800"/>
      <c r="RXX74" s="800"/>
      <c r="RXY74" s="800"/>
      <c r="RXZ74" s="800"/>
      <c r="RYA74" s="705"/>
      <c r="RYB74" s="799"/>
      <c r="RYC74" s="800"/>
      <c r="RYD74" s="800"/>
      <c r="RYE74" s="800"/>
      <c r="RYF74" s="800"/>
      <c r="RYG74" s="800"/>
      <c r="RYH74" s="705"/>
      <c r="RYI74" s="799"/>
      <c r="RYJ74" s="800"/>
      <c r="RYK74" s="800"/>
      <c r="RYL74" s="800"/>
      <c r="RYM74" s="800"/>
      <c r="RYN74" s="800"/>
      <c r="RYO74" s="705"/>
      <c r="RYP74" s="799"/>
      <c r="RYQ74" s="800"/>
      <c r="RYR74" s="800"/>
      <c r="RYS74" s="800"/>
      <c r="RYT74" s="800"/>
      <c r="RYU74" s="800"/>
      <c r="RYV74" s="705"/>
      <c r="RYW74" s="799"/>
      <c r="RYX74" s="800"/>
      <c r="RYY74" s="800"/>
      <c r="RYZ74" s="800"/>
      <c r="RZA74" s="800"/>
      <c r="RZB74" s="800"/>
      <c r="RZC74" s="705"/>
      <c r="RZD74" s="799"/>
      <c r="RZE74" s="800"/>
      <c r="RZF74" s="800"/>
      <c r="RZG74" s="800"/>
      <c r="RZH74" s="800"/>
      <c r="RZI74" s="800"/>
      <c r="RZJ74" s="705"/>
      <c r="RZK74" s="799"/>
      <c r="RZL74" s="800"/>
      <c r="RZM74" s="800"/>
      <c r="RZN74" s="800"/>
      <c r="RZO74" s="800"/>
      <c r="RZP74" s="800"/>
      <c r="RZQ74" s="705"/>
      <c r="RZR74" s="799"/>
      <c r="RZS74" s="800"/>
      <c r="RZT74" s="800"/>
      <c r="RZU74" s="800"/>
      <c r="RZV74" s="800"/>
      <c r="RZW74" s="800"/>
      <c r="RZX74" s="705"/>
      <c r="RZY74" s="799"/>
      <c r="RZZ74" s="800"/>
      <c r="SAA74" s="800"/>
      <c r="SAB74" s="800"/>
      <c r="SAC74" s="800"/>
      <c r="SAD74" s="800"/>
      <c r="SAE74" s="705"/>
      <c r="SAF74" s="799"/>
      <c r="SAG74" s="800"/>
      <c r="SAH74" s="800"/>
      <c r="SAI74" s="800"/>
      <c r="SAJ74" s="800"/>
      <c r="SAK74" s="800"/>
      <c r="SAL74" s="705"/>
      <c r="SAM74" s="799"/>
      <c r="SAN74" s="800"/>
      <c r="SAO74" s="800"/>
      <c r="SAP74" s="800"/>
      <c r="SAQ74" s="800"/>
      <c r="SAR74" s="800"/>
      <c r="SAS74" s="705"/>
      <c r="SAT74" s="799"/>
      <c r="SAU74" s="800"/>
      <c r="SAV74" s="800"/>
      <c r="SAW74" s="800"/>
      <c r="SAX74" s="800"/>
      <c r="SAY74" s="800"/>
      <c r="SAZ74" s="705"/>
      <c r="SBA74" s="799"/>
      <c r="SBB74" s="800"/>
      <c r="SBC74" s="800"/>
      <c r="SBD74" s="800"/>
      <c r="SBE74" s="800"/>
      <c r="SBF74" s="800"/>
      <c r="SBG74" s="705"/>
      <c r="SBH74" s="799"/>
      <c r="SBI74" s="800"/>
      <c r="SBJ74" s="800"/>
      <c r="SBK74" s="800"/>
      <c r="SBL74" s="800"/>
      <c r="SBM74" s="800"/>
      <c r="SBN74" s="705"/>
      <c r="SBO74" s="799"/>
      <c r="SBP74" s="800"/>
      <c r="SBQ74" s="800"/>
      <c r="SBR74" s="800"/>
      <c r="SBS74" s="800"/>
      <c r="SBT74" s="800"/>
      <c r="SBU74" s="705"/>
      <c r="SBV74" s="799"/>
      <c r="SBW74" s="800"/>
      <c r="SBX74" s="800"/>
      <c r="SBY74" s="800"/>
      <c r="SBZ74" s="800"/>
      <c r="SCA74" s="800"/>
      <c r="SCB74" s="705"/>
      <c r="SCC74" s="799"/>
      <c r="SCD74" s="800"/>
      <c r="SCE74" s="800"/>
      <c r="SCF74" s="800"/>
      <c r="SCG74" s="800"/>
      <c r="SCH74" s="800"/>
      <c r="SCI74" s="705"/>
      <c r="SCJ74" s="799"/>
      <c r="SCK74" s="800"/>
      <c r="SCL74" s="800"/>
      <c r="SCM74" s="800"/>
      <c r="SCN74" s="800"/>
      <c r="SCO74" s="800"/>
      <c r="SCP74" s="705"/>
      <c r="SCQ74" s="799"/>
      <c r="SCR74" s="800"/>
      <c r="SCS74" s="800"/>
      <c r="SCT74" s="800"/>
      <c r="SCU74" s="800"/>
      <c r="SCV74" s="800"/>
      <c r="SCW74" s="705"/>
      <c r="SCX74" s="799"/>
      <c r="SCY74" s="800"/>
      <c r="SCZ74" s="800"/>
      <c r="SDA74" s="800"/>
      <c r="SDB74" s="800"/>
      <c r="SDC74" s="800"/>
      <c r="SDD74" s="705"/>
      <c r="SDE74" s="799"/>
      <c r="SDF74" s="800"/>
      <c r="SDG74" s="800"/>
      <c r="SDH74" s="800"/>
      <c r="SDI74" s="800"/>
      <c r="SDJ74" s="800"/>
      <c r="SDK74" s="705"/>
      <c r="SDL74" s="799"/>
      <c r="SDM74" s="800"/>
      <c r="SDN74" s="800"/>
      <c r="SDO74" s="800"/>
      <c r="SDP74" s="800"/>
      <c r="SDQ74" s="800"/>
      <c r="SDR74" s="705"/>
      <c r="SDS74" s="799"/>
      <c r="SDT74" s="800"/>
      <c r="SDU74" s="800"/>
      <c r="SDV74" s="800"/>
      <c r="SDW74" s="800"/>
      <c r="SDX74" s="800"/>
      <c r="SDY74" s="705"/>
      <c r="SDZ74" s="799"/>
      <c r="SEA74" s="800"/>
      <c r="SEB74" s="800"/>
      <c r="SEC74" s="800"/>
      <c r="SED74" s="800"/>
      <c r="SEE74" s="800"/>
      <c r="SEF74" s="705"/>
      <c r="SEG74" s="799"/>
      <c r="SEH74" s="800"/>
      <c r="SEI74" s="800"/>
      <c r="SEJ74" s="800"/>
      <c r="SEK74" s="800"/>
      <c r="SEL74" s="800"/>
      <c r="SEM74" s="705"/>
      <c r="SEN74" s="799"/>
      <c r="SEO74" s="800"/>
      <c r="SEP74" s="800"/>
      <c r="SEQ74" s="800"/>
      <c r="SER74" s="800"/>
      <c r="SES74" s="800"/>
      <c r="SET74" s="705"/>
      <c r="SEU74" s="799"/>
      <c r="SEV74" s="800"/>
      <c r="SEW74" s="800"/>
      <c r="SEX74" s="800"/>
      <c r="SEY74" s="800"/>
      <c r="SEZ74" s="800"/>
      <c r="SFA74" s="705"/>
      <c r="SFB74" s="799"/>
      <c r="SFC74" s="800"/>
      <c r="SFD74" s="800"/>
      <c r="SFE74" s="800"/>
      <c r="SFF74" s="800"/>
      <c r="SFG74" s="800"/>
      <c r="SFH74" s="705"/>
      <c r="SFI74" s="799"/>
      <c r="SFJ74" s="800"/>
      <c r="SFK74" s="800"/>
      <c r="SFL74" s="800"/>
      <c r="SFM74" s="800"/>
      <c r="SFN74" s="800"/>
      <c r="SFO74" s="705"/>
      <c r="SFP74" s="799"/>
      <c r="SFQ74" s="800"/>
      <c r="SFR74" s="800"/>
      <c r="SFS74" s="800"/>
      <c r="SFT74" s="800"/>
      <c r="SFU74" s="800"/>
      <c r="SFV74" s="705"/>
      <c r="SFW74" s="799"/>
      <c r="SFX74" s="800"/>
      <c r="SFY74" s="800"/>
      <c r="SFZ74" s="800"/>
      <c r="SGA74" s="800"/>
      <c r="SGB74" s="800"/>
      <c r="SGC74" s="705"/>
      <c r="SGD74" s="799"/>
      <c r="SGE74" s="800"/>
      <c r="SGF74" s="800"/>
      <c r="SGG74" s="800"/>
      <c r="SGH74" s="800"/>
      <c r="SGI74" s="800"/>
      <c r="SGJ74" s="705"/>
      <c r="SGK74" s="799"/>
      <c r="SGL74" s="800"/>
      <c r="SGM74" s="800"/>
      <c r="SGN74" s="800"/>
      <c r="SGO74" s="800"/>
      <c r="SGP74" s="800"/>
      <c r="SGQ74" s="705"/>
      <c r="SGR74" s="799"/>
      <c r="SGS74" s="800"/>
      <c r="SGT74" s="800"/>
      <c r="SGU74" s="800"/>
      <c r="SGV74" s="800"/>
      <c r="SGW74" s="800"/>
      <c r="SGX74" s="705"/>
      <c r="SGY74" s="799"/>
      <c r="SGZ74" s="800"/>
      <c r="SHA74" s="800"/>
      <c r="SHB74" s="800"/>
      <c r="SHC74" s="800"/>
      <c r="SHD74" s="800"/>
      <c r="SHE74" s="705"/>
      <c r="SHF74" s="799"/>
      <c r="SHG74" s="800"/>
      <c r="SHH74" s="800"/>
      <c r="SHI74" s="800"/>
      <c r="SHJ74" s="800"/>
      <c r="SHK74" s="800"/>
      <c r="SHL74" s="705"/>
      <c r="SHM74" s="799"/>
      <c r="SHN74" s="800"/>
      <c r="SHO74" s="800"/>
      <c r="SHP74" s="800"/>
      <c r="SHQ74" s="800"/>
      <c r="SHR74" s="800"/>
      <c r="SHS74" s="705"/>
      <c r="SHT74" s="799"/>
      <c r="SHU74" s="800"/>
      <c r="SHV74" s="800"/>
      <c r="SHW74" s="800"/>
      <c r="SHX74" s="800"/>
      <c r="SHY74" s="800"/>
      <c r="SHZ74" s="705"/>
      <c r="SIA74" s="799"/>
      <c r="SIB74" s="800"/>
      <c r="SIC74" s="800"/>
      <c r="SID74" s="800"/>
      <c r="SIE74" s="800"/>
      <c r="SIF74" s="800"/>
      <c r="SIG74" s="705"/>
      <c r="SIH74" s="799"/>
      <c r="SII74" s="800"/>
      <c r="SIJ74" s="800"/>
      <c r="SIK74" s="800"/>
      <c r="SIL74" s="800"/>
      <c r="SIM74" s="800"/>
      <c r="SIN74" s="705"/>
      <c r="SIO74" s="799"/>
      <c r="SIP74" s="800"/>
      <c r="SIQ74" s="800"/>
      <c r="SIR74" s="800"/>
      <c r="SIS74" s="800"/>
      <c r="SIT74" s="800"/>
      <c r="SIU74" s="705"/>
      <c r="SIV74" s="799"/>
      <c r="SIW74" s="800"/>
      <c r="SIX74" s="800"/>
      <c r="SIY74" s="800"/>
      <c r="SIZ74" s="800"/>
      <c r="SJA74" s="800"/>
      <c r="SJB74" s="705"/>
      <c r="SJC74" s="799"/>
      <c r="SJD74" s="800"/>
      <c r="SJE74" s="800"/>
      <c r="SJF74" s="800"/>
      <c r="SJG74" s="800"/>
      <c r="SJH74" s="800"/>
      <c r="SJI74" s="705"/>
      <c r="SJJ74" s="799"/>
      <c r="SJK74" s="800"/>
      <c r="SJL74" s="800"/>
      <c r="SJM74" s="800"/>
      <c r="SJN74" s="800"/>
      <c r="SJO74" s="800"/>
      <c r="SJP74" s="705"/>
      <c r="SJQ74" s="799"/>
      <c r="SJR74" s="800"/>
      <c r="SJS74" s="800"/>
      <c r="SJT74" s="800"/>
      <c r="SJU74" s="800"/>
      <c r="SJV74" s="800"/>
      <c r="SJW74" s="705"/>
      <c r="SJX74" s="799"/>
      <c r="SJY74" s="800"/>
      <c r="SJZ74" s="800"/>
      <c r="SKA74" s="800"/>
      <c r="SKB74" s="800"/>
      <c r="SKC74" s="800"/>
      <c r="SKD74" s="705"/>
      <c r="SKE74" s="799"/>
      <c r="SKF74" s="800"/>
      <c r="SKG74" s="800"/>
      <c r="SKH74" s="800"/>
      <c r="SKI74" s="800"/>
      <c r="SKJ74" s="800"/>
      <c r="SKK74" s="705"/>
      <c r="SKL74" s="799"/>
      <c r="SKM74" s="800"/>
      <c r="SKN74" s="800"/>
      <c r="SKO74" s="800"/>
      <c r="SKP74" s="800"/>
      <c r="SKQ74" s="800"/>
      <c r="SKR74" s="705"/>
      <c r="SKS74" s="799"/>
      <c r="SKT74" s="800"/>
      <c r="SKU74" s="800"/>
      <c r="SKV74" s="800"/>
      <c r="SKW74" s="800"/>
      <c r="SKX74" s="800"/>
      <c r="SKY74" s="705"/>
      <c r="SKZ74" s="799"/>
      <c r="SLA74" s="800"/>
      <c r="SLB74" s="800"/>
      <c r="SLC74" s="800"/>
      <c r="SLD74" s="800"/>
      <c r="SLE74" s="800"/>
      <c r="SLF74" s="705"/>
      <c r="SLG74" s="799"/>
      <c r="SLH74" s="800"/>
      <c r="SLI74" s="800"/>
      <c r="SLJ74" s="800"/>
      <c r="SLK74" s="800"/>
      <c r="SLL74" s="800"/>
      <c r="SLM74" s="705"/>
      <c r="SLN74" s="799"/>
      <c r="SLO74" s="800"/>
      <c r="SLP74" s="800"/>
      <c r="SLQ74" s="800"/>
      <c r="SLR74" s="800"/>
      <c r="SLS74" s="800"/>
      <c r="SLT74" s="705"/>
      <c r="SLU74" s="799"/>
      <c r="SLV74" s="800"/>
      <c r="SLW74" s="800"/>
      <c r="SLX74" s="800"/>
      <c r="SLY74" s="800"/>
      <c r="SLZ74" s="800"/>
      <c r="SMA74" s="705"/>
      <c r="SMB74" s="799"/>
      <c r="SMC74" s="800"/>
      <c r="SMD74" s="800"/>
      <c r="SME74" s="800"/>
      <c r="SMF74" s="800"/>
      <c r="SMG74" s="800"/>
      <c r="SMH74" s="705"/>
      <c r="SMI74" s="799"/>
      <c r="SMJ74" s="800"/>
      <c r="SMK74" s="800"/>
      <c r="SML74" s="800"/>
      <c r="SMM74" s="800"/>
      <c r="SMN74" s="800"/>
      <c r="SMO74" s="705"/>
      <c r="SMP74" s="799"/>
      <c r="SMQ74" s="800"/>
      <c r="SMR74" s="800"/>
      <c r="SMS74" s="800"/>
      <c r="SMT74" s="800"/>
      <c r="SMU74" s="800"/>
      <c r="SMV74" s="705"/>
      <c r="SMW74" s="799"/>
      <c r="SMX74" s="800"/>
      <c r="SMY74" s="800"/>
      <c r="SMZ74" s="800"/>
      <c r="SNA74" s="800"/>
      <c r="SNB74" s="800"/>
      <c r="SNC74" s="705"/>
      <c r="SND74" s="799"/>
      <c r="SNE74" s="800"/>
      <c r="SNF74" s="800"/>
      <c r="SNG74" s="800"/>
      <c r="SNH74" s="800"/>
      <c r="SNI74" s="800"/>
      <c r="SNJ74" s="705"/>
      <c r="SNK74" s="799"/>
      <c r="SNL74" s="800"/>
      <c r="SNM74" s="800"/>
      <c r="SNN74" s="800"/>
      <c r="SNO74" s="800"/>
      <c r="SNP74" s="800"/>
      <c r="SNQ74" s="705"/>
      <c r="SNR74" s="799"/>
      <c r="SNS74" s="800"/>
      <c r="SNT74" s="800"/>
      <c r="SNU74" s="800"/>
      <c r="SNV74" s="800"/>
      <c r="SNW74" s="800"/>
      <c r="SNX74" s="705"/>
      <c r="SNY74" s="799"/>
      <c r="SNZ74" s="800"/>
      <c r="SOA74" s="800"/>
      <c r="SOB74" s="800"/>
      <c r="SOC74" s="800"/>
      <c r="SOD74" s="800"/>
      <c r="SOE74" s="705"/>
      <c r="SOF74" s="799"/>
      <c r="SOG74" s="800"/>
      <c r="SOH74" s="800"/>
      <c r="SOI74" s="800"/>
      <c r="SOJ74" s="800"/>
      <c r="SOK74" s="800"/>
      <c r="SOL74" s="705"/>
      <c r="SOM74" s="799"/>
      <c r="SON74" s="800"/>
      <c r="SOO74" s="800"/>
      <c r="SOP74" s="800"/>
      <c r="SOQ74" s="800"/>
      <c r="SOR74" s="800"/>
      <c r="SOS74" s="705"/>
      <c r="SOT74" s="799"/>
      <c r="SOU74" s="800"/>
      <c r="SOV74" s="800"/>
      <c r="SOW74" s="800"/>
      <c r="SOX74" s="800"/>
      <c r="SOY74" s="800"/>
      <c r="SOZ74" s="705"/>
      <c r="SPA74" s="799"/>
      <c r="SPB74" s="800"/>
      <c r="SPC74" s="800"/>
      <c r="SPD74" s="800"/>
      <c r="SPE74" s="800"/>
      <c r="SPF74" s="800"/>
      <c r="SPG74" s="705"/>
      <c r="SPH74" s="799"/>
      <c r="SPI74" s="800"/>
      <c r="SPJ74" s="800"/>
      <c r="SPK74" s="800"/>
      <c r="SPL74" s="800"/>
      <c r="SPM74" s="800"/>
      <c r="SPN74" s="705"/>
      <c r="SPO74" s="799"/>
      <c r="SPP74" s="800"/>
      <c r="SPQ74" s="800"/>
      <c r="SPR74" s="800"/>
      <c r="SPS74" s="800"/>
      <c r="SPT74" s="800"/>
      <c r="SPU74" s="705"/>
      <c r="SPV74" s="799"/>
      <c r="SPW74" s="800"/>
      <c r="SPX74" s="800"/>
      <c r="SPY74" s="800"/>
      <c r="SPZ74" s="800"/>
      <c r="SQA74" s="800"/>
      <c r="SQB74" s="705"/>
      <c r="SQC74" s="799"/>
      <c r="SQD74" s="800"/>
      <c r="SQE74" s="800"/>
      <c r="SQF74" s="800"/>
      <c r="SQG74" s="800"/>
      <c r="SQH74" s="800"/>
      <c r="SQI74" s="705"/>
      <c r="SQJ74" s="799"/>
      <c r="SQK74" s="800"/>
      <c r="SQL74" s="800"/>
      <c r="SQM74" s="800"/>
      <c r="SQN74" s="800"/>
      <c r="SQO74" s="800"/>
      <c r="SQP74" s="705"/>
      <c r="SQQ74" s="799"/>
      <c r="SQR74" s="800"/>
      <c r="SQS74" s="800"/>
      <c r="SQT74" s="800"/>
      <c r="SQU74" s="800"/>
      <c r="SQV74" s="800"/>
      <c r="SQW74" s="705"/>
      <c r="SQX74" s="799"/>
      <c r="SQY74" s="800"/>
      <c r="SQZ74" s="800"/>
      <c r="SRA74" s="800"/>
      <c r="SRB74" s="800"/>
      <c r="SRC74" s="800"/>
      <c r="SRD74" s="705"/>
      <c r="SRE74" s="799"/>
      <c r="SRF74" s="800"/>
      <c r="SRG74" s="800"/>
      <c r="SRH74" s="800"/>
      <c r="SRI74" s="800"/>
      <c r="SRJ74" s="800"/>
      <c r="SRK74" s="705"/>
      <c r="SRL74" s="799"/>
      <c r="SRM74" s="800"/>
      <c r="SRN74" s="800"/>
      <c r="SRO74" s="800"/>
      <c r="SRP74" s="800"/>
      <c r="SRQ74" s="800"/>
      <c r="SRR74" s="705"/>
      <c r="SRS74" s="799"/>
      <c r="SRT74" s="800"/>
      <c r="SRU74" s="800"/>
      <c r="SRV74" s="800"/>
      <c r="SRW74" s="800"/>
      <c r="SRX74" s="800"/>
      <c r="SRY74" s="705"/>
      <c r="SRZ74" s="799"/>
      <c r="SSA74" s="800"/>
      <c r="SSB74" s="800"/>
      <c r="SSC74" s="800"/>
      <c r="SSD74" s="800"/>
      <c r="SSE74" s="800"/>
      <c r="SSF74" s="705"/>
      <c r="SSG74" s="799"/>
      <c r="SSH74" s="800"/>
      <c r="SSI74" s="800"/>
      <c r="SSJ74" s="800"/>
      <c r="SSK74" s="800"/>
      <c r="SSL74" s="800"/>
      <c r="SSM74" s="705"/>
      <c r="SSN74" s="799"/>
      <c r="SSO74" s="800"/>
      <c r="SSP74" s="800"/>
      <c r="SSQ74" s="800"/>
      <c r="SSR74" s="800"/>
      <c r="SSS74" s="800"/>
      <c r="SST74" s="705"/>
      <c r="SSU74" s="799"/>
      <c r="SSV74" s="800"/>
      <c r="SSW74" s="800"/>
      <c r="SSX74" s="800"/>
      <c r="SSY74" s="800"/>
      <c r="SSZ74" s="800"/>
      <c r="STA74" s="705"/>
      <c r="STB74" s="799"/>
      <c r="STC74" s="800"/>
      <c r="STD74" s="800"/>
      <c r="STE74" s="800"/>
      <c r="STF74" s="800"/>
      <c r="STG74" s="800"/>
      <c r="STH74" s="705"/>
      <c r="STI74" s="799"/>
      <c r="STJ74" s="800"/>
      <c r="STK74" s="800"/>
      <c r="STL74" s="800"/>
      <c r="STM74" s="800"/>
      <c r="STN74" s="800"/>
      <c r="STO74" s="705"/>
      <c r="STP74" s="799"/>
      <c r="STQ74" s="800"/>
      <c r="STR74" s="800"/>
      <c r="STS74" s="800"/>
      <c r="STT74" s="800"/>
      <c r="STU74" s="800"/>
      <c r="STV74" s="705"/>
      <c r="STW74" s="799"/>
      <c r="STX74" s="800"/>
      <c r="STY74" s="800"/>
      <c r="STZ74" s="800"/>
      <c r="SUA74" s="800"/>
      <c r="SUB74" s="800"/>
      <c r="SUC74" s="705"/>
      <c r="SUD74" s="799"/>
      <c r="SUE74" s="800"/>
      <c r="SUF74" s="800"/>
      <c r="SUG74" s="800"/>
      <c r="SUH74" s="800"/>
      <c r="SUI74" s="800"/>
      <c r="SUJ74" s="705"/>
      <c r="SUK74" s="799"/>
      <c r="SUL74" s="800"/>
      <c r="SUM74" s="800"/>
      <c r="SUN74" s="800"/>
      <c r="SUO74" s="800"/>
      <c r="SUP74" s="800"/>
      <c r="SUQ74" s="705"/>
      <c r="SUR74" s="799"/>
      <c r="SUS74" s="800"/>
      <c r="SUT74" s="800"/>
      <c r="SUU74" s="800"/>
      <c r="SUV74" s="800"/>
      <c r="SUW74" s="800"/>
      <c r="SUX74" s="705"/>
      <c r="SUY74" s="799"/>
      <c r="SUZ74" s="800"/>
      <c r="SVA74" s="800"/>
      <c r="SVB74" s="800"/>
      <c r="SVC74" s="800"/>
      <c r="SVD74" s="800"/>
      <c r="SVE74" s="705"/>
      <c r="SVF74" s="799"/>
      <c r="SVG74" s="800"/>
      <c r="SVH74" s="800"/>
      <c r="SVI74" s="800"/>
      <c r="SVJ74" s="800"/>
      <c r="SVK74" s="800"/>
      <c r="SVL74" s="705"/>
      <c r="SVM74" s="799"/>
      <c r="SVN74" s="800"/>
      <c r="SVO74" s="800"/>
      <c r="SVP74" s="800"/>
      <c r="SVQ74" s="800"/>
      <c r="SVR74" s="800"/>
      <c r="SVS74" s="705"/>
      <c r="SVT74" s="799"/>
      <c r="SVU74" s="800"/>
      <c r="SVV74" s="800"/>
      <c r="SVW74" s="800"/>
      <c r="SVX74" s="800"/>
      <c r="SVY74" s="800"/>
      <c r="SVZ74" s="705"/>
      <c r="SWA74" s="799"/>
      <c r="SWB74" s="800"/>
      <c r="SWC74" s="800"/>
      <c r="SWD74" s="800"/>
      <c r="SWE74" s="800"/>
      <c r="SWF74" s="800"/>
      <c r="SWG74" s="705"/>
      <c r="SWH74" s="799"/>
      <c r="SWI74" s="800"/>
      <c r="SWJ74" s="800"/>
      <c r="SWK74" s="800"/>
      <c r="SWL74" s="800"/>
      <c r="SWM74" s="800"/>
      <c r="SWN74" s="705"/>
      <c r="SWO74" s="799"/>
      <c r="SWP74" s="800"/>
      <c r="SWQ74" s="800"/>
      <c r="SWR74" s="800"/>
      <c r="SWS74" s="800"/>
      <c r="SWT74" s="800"/>
      <c r="SWU74" s="705"/>
      <c r="SWV74" s="799"/>
      <c r="SWW74" s="800"/>
      <c r="SWX74" s="800"/>
      <c r="SWY74" s="800"/>
      <c r="SWZ74" s="800"/>
      <c r="SXA74" s="800"/>
      <c r="SXB74" s="705"/>
      <c r="SXC74" s="799"/>
      <c r="SXD74" s="800"/>
      <c r="SXE74" s="800"/>
      <c r="SXF74" s="800"/>
      <c r="SXG74" s="800"/>
      <c r="SXH74" s="800"/>
      <c r="SXI74" s="705"/>
      <c r="SXJ74" s="799"/>
      <c r="SXK74" s="800"/>
      <c r="SXL74" s="800"/>
      <c r="SXM74" s="800"/>
      <c r="SXN74" s="800"/>
      <c r="SXO74" s="800"/>
      <c r="SXP74" s="705"/>
      <c r="SXQ74" s="799"/>
      <c r="SXR74" s="800"/>
      <c r="SXS74" s="800"/>
      <c r="SXT74" s="800"/>
      <c r="SXU74" s="800"/>
      <c r="SXV74" s="800"/>
      <c r="SXW74" s="705"/>
      <c r="SXX74" s="799"/>
      <c r="SXY74" s="800"/>
      <c r="SXZ74" s="800"/>
      <c r="SYA74" s="800"/>
      <c r="SYB74" s="800"/>
      <c r="SYC74" s="800"/>
      <c r="SYD74" s="705"/>
      <c r="SYE74" s="799"/>
      <c r="SYF74" s="800"/>
      <c r="SYG74" s="800"/>
      <c r="SYH74" s="800"/>
      <c r="SYI74" s="800"/>
      <c r="SYJ74" s="800"/>
      <c r="SYK74" s="705"/>
      <c r="SYL74" s="799"/>
      <c r="SYM74" s="800"/>
      <c r="SYN74" s="800"/>
      <c r="SYO74" s="800"/>
      <c r="SYP74" s="800"/>
      <c r="SYQ74" s="800"/>
      <c r="SYR74" s="705"/>
      <c r="SYS74" s="799"/>
      <c r="SYT74" s="800"/>
      <c r="SYU74" s="800"/>
      <c r="SYV74" s="800"/>
      <c r="SYW74" s="800"/>
      <c r="SYX74" s="800"/>
      <c r="SYY74" s="705"/>
      <c r="SYZ74" s="799"/>
      <c r="SZA74" s="800"/>
      <c r="SZB74" s="800"/>
      <c r="SZC74" s="800"/>
      <c r="SZD74" s="800"/>
      <c r="SZE74" s="800"/>
      <c r="SZF74" s="705"/>
      <c r="SZG74" s="799"/>
      <c r="SZH74" s="800"/>
      <c r="SZI74" s="800"/>
      <c r="SZJ74" s="800"/>
      <c r="SZK74" s="800"/>
      <c r="SZL74" s="800"/>
      <c r="SZM74" s="705"/>
      <c r="SZN74" s="799"/>
      <c r="SZO74" s="800"/>
      <c r="SZP74" s="800"/>
      <c r="SZQ74" s="800"/>
      <c r="SZR74" s="800"/>
      <c r="SZS74" s="800"/>
      <c r="SZT74" s="705"/>
      <c r="SZU74" s="799"/>
      <c r="SZV74" s="800"/>
      <c r="SZW74" s="800"/>
      <c r="SZX74" s="800"/>
      <c r="SZY74" s="800"/>
      <c r="SZZ74" s="800"/>
      <c r="TAA74" s="705"/>
      <c r="TAB74" s="799"/>
      <c r="TAC74" s="800"/>
      <c r="TAD74" s="800"/>
      <c r="TAE74" s="800"/>
      <c r="TAF74" s="800"/>
      <c r="TAG74" s="800"/>
      <c r="TAH74" s="705"/>
      <c r="TAI74" s="799"/>
      <c r="TAJ74" s="800"/>
      <c r="TAK74" s="800"/>
      <c r="TAL74" s="800"/>
      <c r="TAM74" s="800"/>
      <c r="TAN74" s="800"/>
      <c r="TAO74" s="705"/>
      <c r="TAP74" s="799"/>
      <c r="TAQ74" s="800"/>
      <c r="TAR74" s="800"/>
      <c r="TAS74" s="800"/>
      <c r="TAT74" s="800"/>
      <c r="TAU74" s="800"/>
      <c r="TAV74" s="705"/>
      <c r="TAW74" s="799"/>
      <c r="TAX74" s="800"/>
      <c r="TAY74" s="800"/>
      <c r="TAZ74" s="800"/>
      <c r="TBA74" s="800"/>
      <c r="TBB74" s="800"/>
      <c r="TBC74" s="705"/>
      <c r="TBD74" s="799"/>
      <c r="TBE74" s="800"/>
      <c r="TBF74" s="800"/>
      <c r="TBG74" s="800"/>
      <c r="TBH74" s="800"/>
      <c r="TBI74" s="800"/>
      <c r="TBJ74" s="705"/>
      <c r="TBK74" s="799"/>
      <c r="TBL74" s="800"/>
      <c r="TBM74" s="800"/>
      <c r="TBN74" s="800"/>
      <c r="TBO74" s="800"/>
      <c r="TBP74" s="800"/>
      <c r="TBQ74" s="705"/>
      <c r="TBR74" s="799"/>
      <c r="TBS74" s="800"/>
      <c r="TBT74" s="800"/>
      <c r="TBU74" s="800"/>
      <c r="TBV74" s="800"/>
      <c r="TBW74" s="800"/>
      <c r="TBX74" s="705"/>
      <c r="TBY74" s="799"/>
      <c r="TBZ74" s="800"/>
      <c r="TCA74" s="800"/>
      <c r="TCB74" s="800"/>
      <c r="TCC74" s="800"/>
      <c r="TCD74" s="800"/>
      <c r="TCE74" s="705"/>
      <c r="TCF74" s="799"/>
      <c r="TCG74" s="800"/>
      <c r="TCH74" s="800"/>
      <c r="TCI74" s="800"/>
      <c r="TCJ74" s="800"/>
      <c r="TCK74" s="800"/>
      <c r="TCL74" s="705"/>
      <c r="TCM74" s="799"/>
      <c r="TCN74" s="800"/>
      <c r="TCO74" s="800"/>
      <c r="TCP74" s="800"/>
      <c r="TCQ74" s="800"/>
      <c r="TCR74" s="800"/>
      <c r="TCS74" s="705"/>
      <c r="TCT74" s="799"/>
      <c r="TCU74" s="800"/>
      <c r="TCV74" s="800"/>
      <c r="TCW74" s="800"/>
      <c r="TCX74" s="800"/>
      <c r="TCY74" s="800"/>
      <c r="TCZ74" s="705"/>
      <c r="TDA74" s="799"/>
      <c r="TDB74" s="800"/>
      <c r="TDC74" s="800"/>
      <c r="TDD74" s="800"/>
      <c r="TDE74" s="800"/>
      <c r="TDF74" s="800"/>
      <c r="TDG74" s="705"/>
      <c r="TDH74" s="799"/>
      <c r="TDI74" s="800"/>
      <c r="TDJ74" s="800"/>
      <c r="TDK74" s="800"/>
      <c r="TDL74" s="800"/>
      <c r="TDM74" s="800"/>
      <c r="TDN74" s="705"/>
      <c r="TDO74" s="799"/>
      <c r="TDP74" s="800"/>
      <c r="TDQ74" s="800"/>
      <c r="TDR74" s="800"/>
      <c r="TDS74" s="800"/>
      <c r="TDT74" s="800"/>
      <c r="TDU74" s="705"/>
      <c r="TDV74" s="799"/>
      <c r="TDW74" s="800"/>
      <c r="TDX74" s="800"/>
      <c r="TDY74" s="800"/>
      <c r="TDZ74" s="800"/>
      <c r="TEA74" s="800"/>
      <c r="TEB74" s="705"/>
      <c r="TEC74" s="799"/>
      <c r="TED74" s="800"/>
      <c r="TEE74" s="800"/>
      <c r="TEF74" s="800"/>
      <c r="TEG74" s="800"/>
      <c r="TEH74" s="800"/>
      <c r="TEI74" s="705"/>
      <c r="TEJ74" s="799"/>
      <c r="TEK74" s="800"/>
      <c r="TEL74" s="800"/>
      <c r="TEM74" s="800"/>
      <c r="TEN74" s="800"/>
      <c r="TEO74" s="800"/>
      <c r="TEP74" s="705"/>
      <c r="TEQ74" s="799"/>
      <c r="TER74" s="800"/>
      <c r="TES74" s="800"/>
      <c r="TET74" s="800"/>
      <c r="TEU74" s="800"/>
      <c r="TEV74" s="800"/>
      <c r="TEW74" s="705"/>
      <c r="TEX74" s="799"/>
      <c r="TEY74" s="800"/>
      <c r="TEZ74" s="800"/>
      <c r="TFA74" s="800"/>
      <c r="TFB74" s="800"/>
      <c r="TFC74" s="800"/>
      <c r="TFD74" s="705"/>
      <c r="TFE74" s="799"/>
      <c r="TFF74" s="800"/>
      <c r="TFG74" s="800"/>
      <c r="TFH74" s="800"/>
      <c r="TFI74" s="800"/>
      <c r="TFJ74" s="800"/>
      <c r="TFK74" s="705"/>
      <c r="TFL74" s="799"/>
      <c r="TFM74" s="800"/>
      <c r="TFN74" s="800"/>
      <c r="TFO74" s="800"/>
      <c r="TFP74" s="800"/>
      <c r="TFQ74" s="800"/>
      <c r="TFR74" s="705"/>
      <c r="TFS74" s="799"/>
      <c r="TFT74" s="800"/>
      <c r="TFU74" s="800"/>
      <c r="TFV74" s="800"/>
      <c r="TFW74" s="800"/>
      <c r="TFX74" s="800"/>
      <c r="TFY74" s="705"/>
      <c r="TFZ74" s="799"/>
      <c r="TGA74" s="800"/>
      <c r="TGB74" s="800"/>
      <c r="TGC74" s="800"/>
      <c r="TGD74" s="800"/>
      <c r="TGE74" s="800"/>
      <c r="TGF74" s="705"/>
      <c r="TGG74" s="799"/>
      <c r="TGH74" s="800"/>
      <c r="TGI74" s="800"/>
      <c r="TGJ74" s="800"/>
      <c r="TGK74" s="800"/>
      <c r="TGL74" s="800"/>
      <c r="TGM74" s="705"/>
      <c r="TGN74" s="799"/>
      <c r="TGO74" s="800"/>
      <c r="TGP74" s="800"/>
      <c r="TGQ74" s="800"/>
      <c r="TGR74" s="800"/>
      <c r="TGS74" s="800"/>
      <c r="TGT74" s="705"/>
      <c r="TGU74" s="799"/>
      <c r="TGV74" s="800"/>
      <c r="TGW74" s="800"/>
      <c r="TGX74" s="800"/>
      <c r="TGY74" s="800"/>
      <c r="TGZ74" s="800"/>
      <c r="THA74" s="705"/>
      <c r="THB74" s="799"/>
      <c r="THC74" s="800"/>
      <c r="THD74" s="800"/>
      <c r="THE74" s="800"/>
      <c r="THF74" s="800"/>
      <c r="THG74" s="800"/>
      <c r="THH74" s="705"/>
      <c r="THI74" s="799"/>
      <c r="THJ74" s="800"/>
      <c r="THK74" s="800"/>
      <c r="THL74" s="800"/>
      <c r="THM74" s="800"/>
      <c r="THN74" s="800"/>
      <c r="THO74" s="705"/>
      <c r="THP74" s="799"/>
      <c r="THQ74" s="800"/>
      <c r="THR74" s="800"/>
      <c r="THS74" s="800"/>
      <c r="THT74" s="800"/>
      <c r="THU74" s="800"/>
      <c r="THV74" s="705"/>
      <c r="THW74" s="799"/>
      <c r="THX74" s="800"/>
      <c r="THY74" s="800"/>
      <c r="THZ74" s="800"/>
      <c r="TIA74" s="800"/>
      <c r="TIB74" s="800"/>
      <c r="TIC74" s="705"/>
      <c r="TID74" s="799"/>
      <c r="TIE74" s="800"/>
      <c r="TIF74" s="800"/>
      <c r="TIG74" s="800"/>
      <c r="TIH74" s="800"/>
      <c r="TII74" s="800"/>
      <c r="TIJ74" s="705"/>
      <c r="TIK74" s="799"/>
      <c r="TIL74" s="800"/>
      <c r="TIM74" s="800"/>
      <c r="TIN74" s="800"/>
      <c r="TIO74" s="800"/>
      <c r="TIP74" s="800"/>
      <c r="TIQ74" s="705"/>
      <c r="TIR74" s="799"/>
      <c r="TIS74" s="800"/>
      <c r="TIT74" s="800"/>
      <c r="TIU74" s="800"/>
      <c r="TIV74" s="800"/>
      <c r="TIW74" s="800"/>
      <c r="TIX74" s="705"/>
      <c r="TIY74" s="799"/>
      <c r="TIZ74" s="800"/>
      <c r="TJA74" s="800"/>
      <c r="TJB74" s="800"/>
      <c r="TJC74" s="800"/>
      <c r="TJD74" s="800"/>
      <c r="TJE74" s="705"/>
      <c r="TJF74" s="799"/>
      <c r="TJG74" s="800"/>
      <c r="TJH74" s="800"/>
      <c r="TJI74" s="800"/>
      <c r="TJJ74" s="800"/>
      <c r="TJK74" s="800"/>
      <c r="TJL74" s="705"/>
      <c r="TJM74" s="799"/>
      <c r="TJN74" s="800"/>
      <c r="TJO74" s="800"/>
      <c r="TJP74" s="800"/>
      <c r="TJQ74" s="800"/>
      <c r="TJR74" s="800"/>
      <c r="TJS74" s="705"/>
      <c r="TJT74" s="799"/>
      <c r="TJU74" s="800"/>
      <c r="TJV74" s="800"/>
      <c r="TJW74" s="800"/>
      <c r="TJX74" s="800"/>
      <c r="TJY74" s="800"/>
      <c r="TJZ74" s="705"/>
      <c r="TKA74" s="799"/>
      <c r="TKB74" s="800"/>
      <c r="TKC74" s="800"/>
      <c r="TKD74" s="800"/>
      <c r="TKE74" s="800"/>
      <c r="TKF74" s="800"/>
      <c r="TKG74" s="705"/>
      <c r="TKH74" s="799"/>
      <c r="TKI74" s="800"/>
      <c r="TKJ74" s="800"/>
      <c r="TKK74" s="800"/>
      <c r="TKL74" s="800"/>
      <c r="TKM74" s="800"/>
      <c r="TKN74" s="705"/>
      <c r="TKO74" s="799"/>
      <c r="TKP74" s="800"/>
      <c r="TKQ74" s="800"/>
      <c r="TKR74" s="800"/>
      <c r="TKS74" s="800"/>
      <c r="TKT74" s="800"/>
      <c r="TKU74" s="705"/>
      <c r="TKV74" s="799"/>
      <c r="TKW74" s="800"/>
      <c r="TKX74" s="800"/>
      <c r="TKY74" s="800"/>
      <c r="TKZ74" s="800"/>
      <c r="TLA74" s="800"/>
      <c r="TLB74" s="705"/>
      <c r="TLC74" s="799"/>
      <c r="TLD74" s="800"/>
      <c r="TLE74" s="800"/>
      <c r="TLF74" s="800"/>
      <c r="TLG74" s="800"/>
      <c r="TLH74" s="800"/>
      <c r="TLI74" s="705"/>
      <c r="TLJ74" s="799"/>
      <c r="TLK74" s="800"/>
      <c r="TLL74" s="800"/>
      <c r="TLM74" s="800"/>
      <c r="TLN74" s="800"/>
      <c r="TLO74" s="800"/>
      <c r="TLP74" s="705"/>
      <c r="TLQ74" s="799"/>
      <c r="TLR74" s="800"/>
      <c r="TLS74" s="800"/>
      <c r="TLT74" s="800"/>
      <c r="TLU74" s="800"/>
      <c r="TLV74" s="800"/>
      <c r="TLW74" s="705"/>
      <c r="TLX74" s="799"/>
      <c r="TLY74" s="800"/>
      <c r="TLZ74" s="800"/>
      <c r="TMA74" s="800"/>
      <c r="TMB74" s="800"/>
      <c r="TMC74" s="800"/>
      <c r="TMD74" s="705"/>
      <c r="TME74" s="799"/>
      <c r="TMF74" s="800"/>
      <c r="TMG74" s="800"/>
      <c r="TMH74" s="800"/>
      <c r="TMI74" s="800"/>
      <c r="TMJ74" s="800"/>
      <c r="TMK74" s="705"/>
      <c r="TML74" s="799"/>
      <c r="TMM74" s="800"/>
      <c r="TMN74" s="800"/>
      <c r="TMO74" s="800"/>
      <c r="TMP74" s="800"/>
      <c r="TMQ74" s="800"/>
      <c r="TMR74" s="705"/>
      <c r="TMS74" s="799"/>
      <c r="TMT74" s="800"/>
      <c r="TMU74" s="800"/>
      <c r="TMV74" s="800"/>
      <c r="TMW74" s="800"/>
      <c r="TMX74" s="800"/>
      <c r="TMY74" s="705"/>
      <c r="TMZ74" s="799"/>
      <c r="TNA74" s="800"/>
      <c r="TNB74" s="800"/>
      <c r="TNC74" s="800"/>
      <c r="TND74" s="800"/>
      <c r="TNE74" s="800"/>
      <c r="TNF74" s="705"/>
      <c r="TNG74" s="799"/>
      <c r="TNH74" s="800"/>
      <c r="TNI74" s="800"/>
      <c r="TNJ74" s="800"/>
      <c r="TNK74" s="800"/>
      <c r="TNL74" s="800"/>
      <c r="TNM74" s="705"/>
      <c r="TNN74" s="799"/>
      <c r="TNO74" s="800"/>
      <c r="TNP74" s="800"/>
      <c r="TNQ74" s="800"/>
      <c r="TNR74" s="800"/>
      <c r="TNS74" s="800"/>
      <c r="TNT74" s="705"/>
      <c r="TNU74" s="799"/>
      <c r="TNV74" s="800"/>
      <c r="TNW74" s="800"/>
      <c r="TNX74" s="800"/>
      <c r="TNY74" s="800"/>
      <c r="TNZ74" s="800"/>
      <c r="TOA74" s="705"/>
      <c r="TOB74" s="799"/>
      <c r="TOC74" s="800"/>
      <c r="TOD74" s="800"/>
      <c r="TOE74" s="800"/>
      <c r="TOF74" s="800"/>
      <c r="TOG74" s="800"/>
      <c r="TOH74" s="705"/>
      <c r="TOI74" s="799"/>
      <c r="TOJ74" s="800"/>
      <c r="TOK74" s="800"/>
      <c r="TOL74" s="800"/>
      <c r="TOM74" s="800"/>
      <c r="TON74" s="800"/>
      <c r="TOO74" s="705"/>
      <c r="TOP74" s="799"/>
      <c r="TOQ74" s="800"/>
      <c r="TOR74" s="800"/>
      <c r="TOS74" s="800"/>
      <c r="TOT74" s="800"/>
      <c r="TOU74" s="800"/>
      <c r="TOV74" s="705"/>
      <c r="TOW74" s="799"/>
      <c r="TOX74" s="800"/>
      <c r="TOY74" s="800"/>
      <c r="TOZ74" s="800"/>
      <c r="TPA74" s="800"/>
      <c r="TPB74" s="800"/>
      <c r="TPC74" s="705"/>
      <c r="TPD74" s="799"/>
      <c r="TPE74" s="800"/>
      <c r="TPF74" s="800"/>
      <c r="TPG74" s="800"/>
      <c r="TPH74" s="800"/>
      <c r="TPI74" s="800"/>
      <c r="TPJ74" s="705"/>
      <c r="TPK74" s="799"/>
      <c r="TPL74" s="800"/>
      <c r="TPM74" s="800"/>
      <c r="TPN74" s="800"/>
      <c r="TPO74" s="800"/>
      <c r="TPP74" s="800"/>
      <c r="TPQ74" s="705"/>
      <c r="TPR74" s="799"/>
      <c r="TPS74" s="800"/>
      <c r="TPT74" s="800"/>
      <c r="TPU74" s="800"/>
      <c r="TPV74" s="800"/>
      <c r="TPW74" s="800"/>
      <c r="TPX74" s="705"/>
      <c r="TPY74" s="799"/>
      <c r="TPZ74" s="800"/>
      <c r="TQA74" s="800"/>
      <c r="TQB74" s="800"/>
      <c r="TQC74" s="800"/>
      <c r="TQD74" s="800"/>
      <c r="TQE74" s="705"/>
      <c r="TQF74" s="799"/>
      <c r="TQG74" s="800"/>
      <c r="TQH74" s="800"/>
      <c r="TQI74" s="800"/>
      <c r="TQJ74" s="800"/>
      <c r="TQK74" s="800"/>
      <c r="TQL74" s="705"/>
      <c r="TQM74" s="799"/>
      <c r="TQN74" s="800"/>
      <c r="TQO74" s="800"/>
      <c r="TQP74" s="800"/>
      <c r="TQQ74" s="800"/>
      <c r="TQR74" s="800"/>
      <c r="TQS74" s="705"/>
      <c r="TQT74" s="799"/>
      <c r="TQU74" s="800"/>
      <c r="TQV74" s="800"/>
      <c r="TQW74" s="800"/>
      <c r="TQX74" s="800"/>
      <c r="TQY74" s="800"/>
      <c r="TQZ74" s="705"/>
      <c r="TRA74" s="799"/>
      <c r="TRB74" s="800"/>
      <c r="TRC74" s="800"/>
      <c r="TRD74" s="800"/>
      <c r="TRE74" s="800"/>
      <c r="TRF74" s="800"/>
      <c r="TRG74" s="705"/>
      <c r="TRH74" s="799"/>
      <c r="TRI74" s="800"/>
      <c r="TRJ74" s="800"/>
      <c r="TRK74" s="800"/>
      <c r="TRL74" s="800"/>
      <c r="TRM74" s="800"/>
      <c r="TRN74" s="705"/>
      <c r="TRO74" s="799"/>
      <c r="TRP74" s="800"/>
      <c r="TRQ74" s="800"/>
      <c r="TRR74" s="800"/>
      <c r="TRS74" s="800"/>
      <c r="TRT74" s="800"/>
      <c r="TRU74" s="705"/>
      <c r="TRV74" s="799"/>
      <c r="TRW74" s="800"/>
      <c r="TRX74" s="800"/>
      <c r="TRY74" s="800"/>
      <c r="TRZ74" s="800"/>
      <c r="TSA74" s="800"/>
      <c r="TSB74" s="705"/>
      <c r="TSC74" s="799"/>
      <c r="TSD74" s="800"/>
      <c r="TSE74" s="800"/>
      <c r="TSF74" s="800"/>
      <c r="TSG74" s="800"/>
      <c r="TSH74" s="800"/>
      <c r="TSI74" s="705"/>
      <c r="TSJ74" s="799"/>
      <c r="TSK74" s="800"/>
      <c r="TSL74" s="800"/>
      <c r="TSM74" s="800"/>
      <c r="TSN74" s="800"/>
      <c r="TSO74" s="800"/>
      <c r="TSP74" s="705"/>
      <c r="TSQ74" s="799"/>
      <c r="TSR74" s="800"/>
      <c r="TSS74" s="800"/>
      <c r="TST74" s="800"/>
      <c r="TSU74" s="800"/>
      <c r="TSV74" s="800"/>
      <c r="TSW74" s="705"/>
      <c r="TSX74" s="799"/>
      <c r="TSY74" s="800"/>
      <c r="TSZ74" s="800"/>
      <c r="TTA74" s="800"/>
      <c r="TTB74" s="800"/>
      <c r="TTC74" s="800"/>
      <c r="TTD74" s="705"/>
      <c r="TTE74" s="799"/>
      <c r="TTF74" s="800"/>
      <c r="TTG74" s="800"/>
      <c r="TTH74" s="800"/>
      <c r="TTI74" s="800"/>
      <c r="TTJ74" s="800"/>
      <c r="TTK74" s="705"/>
      <c r="TTL74" s="799"/>
      <c r="TTM74" s="800"/>
      <c r="TTN74" s="800"/>
      <c r="TTO74" s="800"/>
      <c r="TTP74" s="800"/>
      <c r="TTQ74" s="800"/>
      <c r="TTR74" s="705"/>
      <c r="TTS74" s="799"/>
      <c r="TTT74" s="800"/>
      <c r="TTU74" s="800"/>
      <c r="TTV74" s="800"/>
      <c r="TTW74" s="800"/>
      <c r="TTX74" s="800"/>
      <c r="TTY74" s="705"/>
      <c r="TTZ74" s="799"/>
      <c r="TUA74" s="800"/>
      <c r="TUB74" s="800"/>
      <c r="TUC74" s="800"/>
      <c r="TUD74" s="800"/>
      <c r="TUE74" s="800"/>
      <c r="TUF74" s="705"/>
      <c r="TUG74" s="799"/>
      <c r="TUH74" s="800"/>
      <c r="TUI74" s="800"/>
      <c r="TUJ74" s="800"/>
      <c r="TUK74" s="800"/>
      <c r="TUL74" s="800"/>
      <c r="TUM74" s="705"/>
      <c r="TUN74" s="799"/>
      <c r="TUO74" s="800"/>
      <c r="TUP74" s="800"/>
      <c r="TUQ74" s="800"/>
      <c r="TUR74" s="800"/>
      <c r="TUS74" s="800"/>
      <c r="TUT74" s="705"/>
      <c r="TUU74" s="799"/>
      <c r="TUV74" s="800"/>
      <c r="TUW74" s="800"/>
      <c r="TUX74" s="800"/>
      <c r="TUY74" s="800"/>
      <c r="TUZ74" s="800"/>
      <c r="TVA74" s="705"/>
      <c r="TVB74" s="799"/>
      <c r="TVC74" s="800"/>
      <c r="TVD74" s="800"/>
      <c r="TVE74" s="800"/>
      <c r="TVF74" s="800"/>
      <c r="TVG74" s="800"/>
      <c r="TVH74" s="705"/>
      <c r="TVI74" s="799"/>
      <c r="TVJ74" s="800"/>
      <c r="TVK74" s="800"/>
      <c r="TVL74" s="800"/>
      <c r="TVM74" s="800"/>
      <c r="TVN74" s="800"/>
      <c r="TVO74" s="705"/>
      <c r="TVP74" s="799"/>
      <c r="TVQ74" s="800"/>
      <c r="TVR74" s="800"/>
      <c r="TVS74" s="800"/>
      <c r="TVT74" s="800"/>
      <c r="TVU74" s="800"/>
      <c r="TVV74" s="705"/>
      <c r="TVW74" s="799"/>
      <c r="TVX74" s="800"/>
      <c r="TVY74" s="800"/>
      <c r="TVZ74" s="800"/>
      <c r="TWA74" s="800"/>
      <c r="TWB74" s="800"/>
      <c r="TWC74" s="705"/>
      <c r="TWD74" s="799"/>
      <c r="TWE74" s="800"/>
      <c r="TWF74" s="800"/>
      <c r="TWG74" s="800"/>
      <c r="TWH74" s="800"/>
      <c r="TWI74" s="800"/>
      <c r="TWJ74" s="705"/>
      <c r="TWK74" s="799"/>
      <c r="TWL74" s="800"/>
      <c r="TWM74" s="800"/>
      <c r="TWN74" s="800"/>
      <c r="TWO74" s="800"/>
      <c r="TWP74" s="800"/>
      <c r="TWQ74" s="705"/>
      <c r="TWR74" s="799"/>
      <c r="TWS74" s="800"/>
      <c r="TWT74" s="800"/>
      <c r="TWU74" s="800"/>
      <c r="TWV74" s="800"/>
      <c r="TWW74" s="800"/>
      <c r="TWX74" s="705"/>
      <c r="TWY74" s="799"/>
      <c r="TWZ74" s="800"/>
      <c r="TXA74" s="800"/>
      <c r="TXB74" s="800"/>
      <c r="TXC74" s="800"/>
      <c r="TXD74" s="800"/>
      <c r="TXE74" s="705"/>
      <c r="TXF74" s="799"/>
      <c r="TXG74" s="800"/>
      <c r="TXH74" s="800"/>
      <c r="TXI74" s="800"/>
      <c r="TXJ74" s="800"/>
      <c r="TXK74" s="800"/>
      <c r="TXL74" s="705"/>
      <c r="TXM74" s="799"/>
      <c r="TXN74" s="800"/>
      <c r="TXO74" s="800"/>
      <c r="TXP74" s="800"/>
      <c r="TXQ74" s="800"/>
      <c r="TXR74" s="800"/>
      <c r="TXS74" s="705"/>
      <c r="TXT74" s="799"/>
      <c r="TXU74" s="800"/>
      <c r="TXV74" s="800"/>
      <c r="TXW74" s="800"/>
      <c r="TXX74" s="800"/>
      <c r="TXY74" s="800"/>
      <c r="TXZ74" s="705"/>
      <c r="TYA74" s="799"/>
      <c r="TYB74" s="800"/>
      <c r="TYC74" s="800"/>
      <c r="TYD74" s="800"/>
      <c r="TYE74" s="800"/>
      <c r="TYF74" s="800"/>
      <c r="TYG74" s="705"/>
      <c r="TYH74" s="799"/>
      <c r="TYI74" s="800"/>
      <c r="TYJ74" s="800"/>
      <c r="TYK74" s="800"/>
      <c r="TYL74" s="800"/>
      <c r="TYM74" s="800"/>
      <c r="TYN74" s="705"/>
      <c r="TYO74" s="799"/>
      <c r="TYP74" s="800"/>
      <c r="TYQ74" s="800"/>
      <c r="TYR74" s="800"/>
      <c r="TYS74" s="800"/>
      <c r="TYT74" s="800"/>
      <c r="TYU74" s="705"/>
      <c r="TYV74" s="799"/>
      <c r="TYW74" s="800"/>
      <c r="TYX74" s="800"/>
      <c r="TYY74" s="800"/>
      <c r="TYZ74" s="800"/>
      <c r="TZA74" s="800"/>
      <c r="TZB74" s="705"/>
      <c r="TZC74" s="799"/>
      <c r="TZD74" s="800"/>
      <c r="TZE74" s="800"/>
      <c r="TZF74" s="800"/>
      <c r="TZG74" s="800"/>
      <c r="TZH74" s="800"/>
      <c r="TZI74" s="705"/>
      <c r="TZJ74" s="799"/>
      <c r="TZK74" s="800"/>
      <c r="TZL74" s="800"/>
      <c r="TZM74" s="800"/>
      <c r="TZN74" s="800"/>
      <c r="TZO74" s="800"/>
      <c r="TZP74" s="705"/>
      <c r="TZQ74" s="799"/>
      <c r="TZR74" s="800"/>
      <c r="TZS74" s="800"/>
      <c r="TZT74" s="800"/>
      <c r="TZU74" s="800"/>
      <c r="TZV74" s="800"/>
      <c r="TZW74" s="705"/>
      <c r="TZX74" s="799"/>
      <c r="TZY74" s="800"/>
      <c r="TZZ74" s="800"/>
      <c r="UAA74" s="800"/>
      <c r="UAB74" s="800"/>
      <c r="UAC74" s="800"/>
      <c r="UAD74" s="705"/>
      <c r="UAE74" s="799"/>
      <c r="UAF74" s="800"/>
      <c r="UAG74" s="800"/>
      <c r="UAH74" s="800"/>
      <c r="UAI74" s="800"/>
      <c r="UAJ74" s="800"/>
      <c r="UAK74" s="705"/>
      <c r="UAL74" s="799"/>
      <c r="UAM74" s="800"/>
      <c r="UAN74" s="800"/>
      <c r="UAO74" s="800"/>
      <c r="UAP74" s="800"/>
      <c r="UAQ74" s="800"/>
      <c r="UAR74" s="705"/>
      <c r="UAS74" s="799"/>
      <c r="UAT74" s="800"/>
      <c r="UAU74" s="800"/>
      <c r="UAV74" s="800"/>
      <c r="UAW74" s="800"/>
      <c r="UAX74" s="800"/>
      <c r="UAY74" s="705"/>
      <c r="UAZ74" s="799"/>
      <c r="UBA74" s="800"/>
      <c r="UBB74" s="800"/>
      <c r="UBC74" s="800"/>
      <c r="UBD74" s="800"/>
      <c r="UBE74" s="800"/>
      <c r="UBF74" s="705"/>
      <c r="UBG74" s="799"/>
      <c r="UBH74" s="800"/>
      <c r="UBI74" s="800"/>
      <c r="UBJ74" s="800"/>
      <c r="UBK74" s="800"/>
      <c r="UBL74" s="800"/>
      <c r="UBM74" s="705"/>
      <c r="UBN74" s="799"/>
      <c r="UBO74" s="800"/>
      <c r="UBP74" s="800"/>
      <c r="UBQ74" s="800"/>
      <c r="UBR74" s="800"/>
      <c r="UBS74" s="800"/>
      <c r="UBT74" s="705"/>
      <c r="UBU74" s="799"/>
      <c r="UBV74" s="800"/>
      <c r="UBW74" s="800"/>
      <c r="UBX74" s="800"/>
      <c r="UBY74" s="800"/>
      <c r="UBZ74" s="800"/>
      <c r="UCA74" s="705"/>
      <c r="UCB74" s="799"/>
      <c r="UCC74" s="800"/>
      <c r="UCD74" s="800"/>
      <c r="UCE74" s="800"/>
      <c r="UCF74" s="800"/>
      <c r="UCG74" s="800"/>
      <c r="UCH74" s="705"/>
      <c r="UCI74" s="799"/>
      <c r="UCJ74" s="800"/>
      <c r="UCK74" s="800"/>
      <c r="UCL74" s="800"/>
      <c r="UCM74" s="800"/>
      <c r="UCN74" s="800"/>
      <c r="UCO74" s="705"/>
      <c r="UCP74" s="799"/>
      <c r="UCQ74" s="800"/>
      <c r="UCR74" s="800"/>
      <c r="UCS74" s="800"/>
      <c r="UCT74" s="800"/>
      <c r="UCU74" s="800"/>
      <c r="UCV74" s="705"/>
      <c r="UCW74" s="799"/>
      <c r="UCX74" s="800"/>
      <c r="UCY74" s="800"/>
      <c r="UCZ74" s="800"/>
      <c r="UDA74" s="800"/>
      <c r="UDB74" s="800"/>
      <c r="UDC74" s="705"/>
      <c r="UDD74" s="799"/>
      <c r="UDE74" s="800"/>
      <c r="UDF74" s="800"/>
      <c r="UDG74" s="800"/>
      <c r="UDH74" s="800"/>
      <c r="UDI74" s="800"/>
      <c r="UDJ74" s="705"/>
      <c r="UDK74" s="799"/>
      <c r="UDL74" s="800"/>
      <c r="UDM74" s="800"/>
      <c r="UDN74" s="800"/>
      <c r="UDO74" s="800"/>
      <c r="UDP74" s="800"/>
      <c r="UDQ74" s="705"/>
      <c r="UDR74" s="799"/>
      <c r="UDS74" s="800"/>
      <c r="UDT74" s="800"/>
      <c r="UDU74" s="800"/>
      <c r="UDV74" s="800"/>
      <c r="UDW74" s="800"/>
      <c r="UDX74" s="705"/>
      <c r="UDY74" s="799"/>
      <c r="UDZ74" s="800"/>
      <c r="UEA74" s="800"/>
      <c r="UEB74" s="800"/>
      <c r="UEC74" s="800"/>
      <c r="UED74" s="800"/>
      <c r="UEE74" s="705"/>
      <c r="UEF74" s="799"/>
      <c r="UEG74" s="800"/>
      <c r="UEH74" s="800"/>
      <c r="UEI74" s="800"/>
      <c r="UEJ74" s="800"/>
      <c r="UEK74" s="800"/>
      <c r="UEL74" s="705"/>
      <c r="UEM74" s="799"/>
      <c r="UEN74" s="800"/>
      <c r="UEO74" s="800"/>
      <c r="UEP74" s="800"/>
      <c r="UEQ74" s="800"/>
      <c r="UER74" s="800"/>
      <c r="UES74" s="705"/>
      <c r="UET74" s="799"/>
      <c r="UEU74" s="800"/>
      <c r="UEV74" s="800"/>
      <c r="UEW74" s="800"/>
      <c r="UEX74" s="800"/>
      <c r="UEY74" s="800"/>
      <c r="UEZ74" s="705"/>
      <c r="UFA74" s="799"/>
      <c r="UFB74" s="800"/>
      <c r="UFC74" s="800"/>
      <c r="UFD74" s="800"/>
      <c r="UFE74" s="800"/>
      <c r="UFF74" s="800"/>
      <c r="UFG74" s="705"/>
      <c r="UFH74" s="799"/>
      <c r="UFI74" s="800"/>
      <c r="UFJ74" s="800"/>
      <c r="UFK74" s="800"/>
      <c r="UFL74" s="800"/>
      <c r="UFM74" s="800"/>
      <c r="UFN74" s="705"/>
      <c r="UFO74" s="799"/>
      <c r="UFP74" s="800"/>
      <c r="UFQ74" s="800"/>
      <c r="UFR74" s="800"/>
      <c r="UFS74" s="800"/>
      <c r="UFT74" s="800"/>
      <c r="UFU74" s="705"/>
      <c r="UFV74" s="799"/>
      <c r="UFW74" s="800"/>
      <c r="UFX74" s="800"/>
      <c r="UFY74" s="800"/>
      <c r="UFZ74" s="800"/>
      <c r="UGA74" s="800"/>
      <c r="UGB74" s="705"/>
      <c r="UGC74" s="799"/>
      <c r="UGD74" s="800"/>
      <c r="UGE74" s="800"/>
      <c r="UGF74" s="800"/>
      <c r="UGG74" s="800"/>
      <c r="UGH74" s="800"/>
      <c r="UGI74" s="705"/>
      <c r="UGJ74" s="799"/>
      <c r="UGK74" s="800"/>
      <c r="UGL74" s="800"/>
      <c r="UGM74" s="800"/>
      <c r="UGN74" s="800"/>
      <c r="UGO74" s="800"/>
      <c r="UGP74" s="705"/>
      <c r="UGQ74" s="799"/>
      <c r="UGR74" s="800"/>
      <c r="UGS74" s="800"/>
      <c r="UGT74" s="800"/>
      <c r="UGU74" s="800"/>
      <c r="UGV74" s="800"/>
      <c r="UGW74" s="705"/>
      <c r="UGX74" s="799"/>
      <c r="UGY74" s="800"/>
      <c r="UGZ74" s="800"/>
      <c r="UHA74" s="800"/>
      <c r="UHB74" s="800"/>
      <c r="UHC74" s="800"/>
      <c r="UHD74" s="705"/>
      <c r="UHE74" s="799"/>
      <c r="UHF74" s="800"/>
      <c r="UHG74" s="800"/>
      <c r="UHH74" s="800"/>
      <c r="UHI74" s="800"/>
      <c r="UHJ74" s="800"/>
      <c r="UHK74" s="705"/>
      <c r="UHL74" s="799"/>
      <c r="UHM74" s="800"/>
      <c r="UHN74" s="800"/>
      <c r="UHO74" s="800"/>
      <c r="UHP74" s="800"/>
      <c r="UHQ74" s="800"/>
      <c r="UHR74" s="705"/>
      <c r="UHS74" s="799"/>
      <c r="UHT74" s="800"/>
      <c r="UHU74" s="800"/>
      <c r="UHV74" s="800"/>
      <c r="UHW74" s="800"/>
      <c r="UHX74" s="800"/>
      <c r="UHY74" s="705"/>
      <c r="UHZ74" s="799"/>
      <c r="UIA74" s="800"/>
      <c r="UIB74" s="800"/>
      <c r="UIC74" s="800"/>
      <c r="UID74" s="800"/>
      <c r="UIE74" s="800"/>
      <c r="UIF74" s="705"/>
      <c r="UIG74" s="799"/>
      <c r="UIH74" s="800"/>
      <c r="UII74" s="800"/>
      <c r="UIJ74" s="800"/>
      <c r="UIK74" s="800"/>
      <c r="UIL74" s="800"/>
      <c r="UIM74" s="705"/>
      <c r="UIN74" s="799"/>
      <c r="UIO74" s="800"/>
      <c r="UIP74" s="800"/>
      <c r="UIQ74" s="800"/>
      <c r="UIR74" s="800"/>
      <c r="UIS74" s="800"/>
      <c r="UIT74" s="705"/>
      <c r="UIU74" s="799"/>
      <c r="UIV74" s="800"/>
      <c r="UIW74" s="800"/>
      <c r="UIX74" s="800"/>
      <c r="UIY74" s="800"/>
      <c r="UIZ74" s="800"/>
      <c r="UJA74" s="705"/>
      <c r="UJB74" s="799"/>
      <c r="UJC74" s="800"/>
      <c r="UJD74" s="800"/>
      <c r="UJE74" s="800"/>
      <c r="UJF74" s="800"/>
      <c r="UJG74" s="800"/>
      <c r="UJH74" s="705"/>
      <c r="UJI74" s="799"/>
      <c r="UJJ74" s="800"/>
      <c r="UJK74" s="800"/>
      <c r="UJL74" s="800"/>
      <c r="UJM74" s="800"/>
      <c r="UJN74" s="800"/>
      <c r="UJO74" s="705"/>
      <c r="UJP74" s="799"/>
      <c r="UJQ74" s="800"/>
      <c r="UJR74" s="800"/>
      <c r="UJS74" s="800"/>
      <c r="UJT74" s="800"/>
      <c r="UJU74" s="800"/>
      <c r="UJV74" s="705"/>
      <c r="UJW74" s="799"/>
      <c r="UJX74" s="800"/>
      <c r="UJY74" s="800"/>
      <c r="UJZ74" s="800"/>
      <c r="UKA74" s="800"/>
      <c r="UKB74" s="800"/>
      <c r="UKC74" s="705"/>
      <c r="UKD74" s="799"/>
      <c r="UKE74" s="800"/>
      <c r="UKF74" s="800"/>
      <c r="UKG74" s="800"/>
      <c r="UKH74" s="800"/>
      <c r="UKI74" s="800"/>
      <c r="UKJ74" s="705"/>
      <c r="UKK74" s="799"/>
      <c r="UKL74" s="800"/>
      <c r="UKM74" s="800"/>
      <c r="UKN74" s="800"/>
      <c r="UKO74" s="800"/>
      <c r="UKP74" s="800"/>
      <c r="UKQ74" s="705"/>
      <c r="UKR74" s="799"/>
      <c r="UKS74" s="800"/>
      <c r="UKT74" s="800"/>
      <c r="UKU74" s="800"/>
      <c r="UKV74" s="800"/>
      <c r="UKW74" s="800"/>
      <c r="UKX74" s="705"/>
      <c r="UKY74" s="799"/>
      <c r="UKZ74" s="800"/>
      <c r="ULA74" s="800"/>
      <c r="ULB74" s="800"/>
      <c r="ULC74" s="800"/>
      <c r="ULD74" s="800"/>
      <c r="ULE74" s="705"/>
      <c r="ULF74" s="799"/>
      <c r="ULG74" s="800"/>
      <c r="ULH74" s="800"/>
      <c r="ULI74" s="800"/>
      <c r="ULJ74" s="800"/>
      <c r="ULK74" s="800"/>
      <c r="ULL74" s="705"/>
      <c r="ULM74" s="799"/>
      <c r="ULN74" s="800"/>
      <c r="ULO74" s="800"/>
      <c r="ULP74" s="800"/>
      <c r="ULQ74" s="800"/>
      <c r="ULR74" s="800"/>
      <c r="ULS74" s="705"/>
      <c r="ULT74" s="799"/>
      <c r="ULU74" s="800"/>
      <c r="ULV74" s="800"/>
      <c r="ULW74" s="800"/>
      <c r="ULX74" s="800"/>
      <c r="ULY74" s="800"/>
      <c r="ULZ74" s="705"/>
      <c r="UMA74" s="799"/>
      <c r="UMB74" s="800"/>
      <c r="UMC74" s="800"/>
      <c r="UMD74" s="800"/>
      <c r="UME74" s="800"/>
      <c r="UMF74" s="800"/>
      <c r="UMG74" s="705"/>
      <c r="UMH74" s="799"/>
      <c r="UMI74" s="800"/>
      <c r="UMJ74" s="800"/>
      <c r="UMK74" s="800"/>
      <c r="UML74" s="800"/>
      <c r="UMM74" s="800"/>
      <c r="UMN74" s="705"/>
      <c r="UMO74" s="799"/>
      <c r="UMP74" s="800"/>
      <c r="UMQ74" s="800"/>
      <c r="UMR74" s="800"/>
      <c r="UMS74" s="800"/>
      <c r="UMT74" s="800"/>
      <c r="UMU74" s="705"/>
      <c r="UMV74" s="799"/>
      <c r="UMW74" s="800"/>
      <c r="UMX74" s="800"/>
      <c r="UMY74" s="800"/>
      <c r="UMZ74" s="800"/>
      <c r="UNA74" s="800"/>
      <c r="UNB74" s="705"/>
      <c r="UNC74" s="799"/>
      <c r="UND74" s="800"/>
      <c r="UNE74" s="800"/>
      <c r="UNF74" s="800"/>
      <c r="UNG74" s="800"/>
      <c r="UNH74" s="800"/>
      <c r="UNI74" s="705"/>
      <c r="UNJ74" s="799"/>
      <c r="UNK74" s="800"/>
      <c r="UNL74" s="800"/>
      <c r="UNM74" s="800"/>
      <c r="UNN74" s="800"/>
      <c r="UNO74" s="800"/>
      <c r="UNP74" s="705"/>
      <c r="UNQ74" s="799"/>
      <c r="UNR74" s="800"/>
      <c r="UNS74" s="800"/>
      <c r="UNT74" s="800"/>
      <c r="UNU74" s="800"/>
      <c r="UNV74" s="800"/>
      <c r="UNW74" s="705"/>
      <c r="UNX74" s="799"/>
      <c r="UNY74" s="800"/>
      <c r="UNZ74" s="800"/>
      <c r="UOA74" s="800"/>
      <c r="UOB74" s="800"/>
      <c r="UOC74" s="800"/>
      <c r="UOD74" s="705"/>
      <c r="UOE74" s="799"/>
      <c r="UOF74" s="800"/>
      <c r="UOG74" s="800"/>
      <c r="UOH74" s="800"/>
      <c r="UOI74" s="800"/>
      <c r="UOJ74" s="800"/>
      <c r="UOK74" s="705"/>
      <c r="UOL74" s="799"/>
      <c r="UOM74" s="800"/>
      <c r="UON74" s="800"/>
      <c r="UOO74" s="800"/>
      <c r="UOP74" s="800"/>
      <c r="UOQ74" s="800"/>
      <c r="UOR74" s="705"/>
      <c r="UOS74" s="799"/>
      <c r="UOT74" s="800"/>
      <c r="UOU74" s="800"/>
      <c r="UOV74" s="800"/>
      <c r="UOW74" s="800"/>
      <c r="UOX74" s="800"/>
      <c r="UOY74" s="705"/>
      <c r="UOZ74" s="799"/>
      <c r="UPA74" s="800"/>
      <c r="UPB74" s="800"/>
      <c r="UPC74" s="800"/>
      <c r="UPD74" s="800"/>
      <c r="UPE74" s="800"/>
      <c r="UPF74" s="705"/>
      <c r="UPG74" s="799"/>
      <c r="UPH74" s="800"/>
      <c r="UPI74" s="800"/>
      <c r="UPJ74" s="800"/>
      <c r="UPK74" s="800"/>
      <c r="UPL74" s="800"/>
      <c r="UPM74" s="705"/>
      <c r="UPN74" s="799"/>
      <c r="UPO74" s="800"/>
      <c r="UPP74" s="800"/>
      <c r="UPQ74" s="800"/>
      <c r="UPR74" s="800"/>
      <c r="UPS74" s="800"/>
      <c r="UPT74" s="705"/>
      <c r="UPU74" s="799"/>
      <c r="UPV74" s="800"/>
      <c r="UPW74" s="800"/>
      <c r="UPX74" s="800"/>
      <c r="UPY74" s="800"/>
      <c r="UPZ74" s="800"/>
      <c r="UQA74" s="705"/>
      <c r="UQB74" s="799"/>
      <c r="UQC74" s="800"/>
      <c r="UQD74" s="800"/>
      <c r="UQE74" s="800"/>
      <c r="UQF74" s="800"/>
      <c r="UQG74" s="800"/>
      <c r="UQH74" s="705"/>
      <c r="UQI74" s="799"/>
      <c r="UQJ74" s="800"/>
      <c r="UQK74" s="800"/>
      <c r="UQL74" s="800"/>
      <c r="UQM74" s="800"/>
      <c r="UQN74" s="800"/>
      <c r="UQO74" s="705"/>
      <c r="UQP74" s="799"/>
      <c r="UQQ74" s="800"/>
      <c r="UQR74" s="800"/>
      <c r="UQS74" s="800"/>
      <c r="UQT74" s="800"/>
      <c r="UQU74" s="800"/>
      <c r="UQV74" s="705"/>
      <c r="UQW74" s="799"/>
      <c r="UQX74" s="800"/>
      <c r="UQY74" s="800"/>
      <c r="UQZ74" s="800"/>
      <c r="URA74" s="800"/>
      <c r="URB74" s="800"/>
      <c r="URC74" s="705"/>
      <c r="URD74" s="799"/>
      <c r="URE74" s="800"/>
      <c r="URF74" s="800"/>
      <c r="URG74" s="800"/>
      <c r="URH74" s="800"/>
      <c r="URI74" s="800"/>
      <c r="URJ74" s="705"/>
      <c r="URK74" s="799"/>
      <c r="URL74" s="800"/>
      <c r="URM74" s="800"/>
      <c r="URN74" s="800"/>
      <c r="URO74" s="800"/>
      <c r="URP74" s="800"/>
      <c r="URQ74" s="705"/>
      <c r="URR74" s="799"/>
      <c r="URS74" s="800"/>
      <c r="URT74" s="800"/>
      <c r="URU74" s="800"/>
      <c r="URV74" s="800"/>
      <c r="URW74" s="800"/>
      <c r="URX74" s="705"/>
      <c r="URY74" s="799"/>
      <c r="URZ74" s="800"/>
      <c r="USA74" s="800"/>
      <c r="USB74" s="800"/>
      <c r="USC74" s="800"/>
      <c r="USD74" s="800"/>
      <c r="USE74" s="705"/>
      <c r="USF74" s="799"/>
      <c r="USG74" s="800"/>
      <c r="USH74" s="800"/>
      <c r="USI74" s="800"/>
      <c r="USJ74" s="800"/>
      <c r="USK74" s="800"/>
      <c r="USL74" s="705"/>
      <c r="USM74" s="799"/>
      <c r="USN74" s="800"/>
      <c r="USO74" s="800"/>
      <c r="USP74" s="800"/>
      <c r="USQ74" s="800"/>
      <c r="USR74" s="800"/>
      <c r="USS74" s="705"/>
      <c r="UST74" s="799"/>
      <c r="USU74" s="800"/>
      <c r="USV74" s="800"/>
      <c r="USW74" s="800"/>
      <c r="USX74" s="800"/>
      <c r="USY74" s="800"/>
      <c r="USZ74" s="705"/>
      <c r="UTA74" s="799"/>
      <c r="UTB74" s="800"/>
      <c r="UTC74" s="800"/>
      <c r="UTD74" s="800"/>
      <c r="UTE74" s="800"/>
      <c r="UTF74" s="800"/>
      <c r="UTG74" s="705"/>
      <c r="UTH74" s="799"/>
      <c r="UTI74" s="800"/>
      <c r="UTJ74" s="800"/>
      <c r="UTK74" s="800"/>
      <c r="UTL74" s="800"/>
      <c r="UTM74" s="800"/>
      <c r="UTN74" s="705"/>
      <c r="UTO74" s="799"/>
      <c r="UTP74" s="800"/>
      <c r="UTQ74" s="800"/>
      <c r="UTR74" s="800"/>
      <c r="UTS74" s="800"/>
      <c r="UTT74" s="800"/>
      <c r="UTU74" s="705"/>
      <c r="UTV74" s="799"/>
      <c r="UTW74" s="800"/>
      <c r="UTX74" s="800"/>
      <c r="UTY74" s="800"/>
      <c r="UTZ74" s="800"/>
      <c r="UUA74" s="800"/>
      <c r="UUB74" s="705"/>
      <c r="UUC74" s="799"/>
      <c r="UUD74" s="800"/>
      <c r="UUE74" s="800"/>
      <c r="UUF74" s="800"/>
      <c r="UUG74" s="800"/>
      <c r="UUH74" s="800"/>
      <c r="UUI74" s="705"/>
      <c r="UUJ74" s="799"/>
      <c r="UUK74" s="800"/>
      <c r="UUL74" s="800"/>
      <c r="UUM74" s="800"/>
      <c r="UUN74" s="800"/>
      <c r="UUO74" s="800"/>
      <c r="UUP74" s="705"/>
      <c r="UUQ74" s="799"/>
      <c r="UUR74" s="800"/>
      <c r="UUS74" s="800"/>
      <c r="UUT74" s="800"/>
      <c r="UUU74" s="800"/>
      <c r="UUV74" s="800"/>
      <c r="UUW74" s="705"/>
      <c r="UUX74" s="799"/>
      <c r="UUY74" s="800"/>
      <c r="UUZ74" s="800"/>
      <c r="UVA74" s="800"/>
      <c r="UVB74" s="800"/>
      <c r="UVC74" s="800"/>
      <c r="UVD74" s="705"/>
      <c r="UVE74" s="799"/>
      <c r="UVF74" s="800"/>
      <c r="UVG74" s="800"/>
      <c r="UVH74" s="800"/>
      <c r="UVI74" s="800"/>
      <c r="UVJ74" s="800"/>
      <c r="UVK74" s="705"/>
      <c r="UVL74" s="799"/>
      <c r="UVM74" s="800"/>
      <c r="UVN74" s="800"/>
      <c r="UVO74" s="800"/>
      <c r="UVP74" s="800"/>
      <c r="UVQ74" s="800"/>
      <c r="UVR74" s="705"/>
      <c r="UVS74" s="799"/>
      <c r="UVT74" s="800"/>
      <c r="UVU74" s="800"/>
      <c r="UVV74" s="800"/>
      <c r="UVW74" s="800"/>
      <c r="UVX74" s="800"/>
      <c r="UVY74" s="705"/>
      <c r="UVZ74" s="799"/>
      <c r="UWA74" s="800"/>
      <c r="UWB74" s="800"/>
      <c r="UWC74" s="800"/>
      <c r="UWD74" s="800"/>
      <c r="UWE74" s="800"/>
      <c r="UWF74" s="705"/>
      <c r="UWG74" s="799"/>
      <c r="UWH74" s="800"/>
      <c r="UWI74" s="800"/>
      <c r="UWJ74" s="800"/>
      <c r="UWK74" s="800"/>
      <c r="UWL74" s="800"/>
      <c r="UWM74" s="705"/>
      <c r="UWN74" s="799"/>
      <c r="UWO74" s="800"/>
      <c r="UWP74" s="800"/>
      <c r="UWQ74" s="800"/>
      <c r="UWR74" s="800"/>
      <c r="UWS74" s="800"/>
      <c r="UWT74" s="705"/>
      <c r="UWU74" s="799"/>
      <c r="UWV74" s="800"/>
      <c r="UWW74" s="800"/>
      <c r="UWX74" s="800"/>
      <c r="UWY74" s="800"/>
      <c r="UWZ74" s="800"/>
      <c r="UXA74" s="705"/>
      <c r="UXB74" s="799"/>
      <c r="UXC74" s="800"/>
      <c r="UXD74" s="800"/>
      <c r="UXE74" s="800"/>
      <c r="UXF74" s="800"/>
      <c r="UXG74" s="800"/>
      <c r="UXH74" s="705"/>
      <c r="UXI74" s="799"/>
      <c r="UXJ74" s="800"/>
      <c r="UXK74" s="800"/>
      <c r="UXL74" s="800"/>
      <c r="UXM74" s="800"/>
      <c r="UXN74" s="800"/>
      <c r="UXO74" s="705"/>
      <c r="UXP74" s="799"/>
      <c r="UXQ74" s="800"/>
      <c r="UXR74" s="800"/>
      <c r="UXS74" s="800"/>
      <c r="UXT74" s="800"/>
      <c r="UXU74" s="800"/>
      <c r="UXV74" s="705"/>
      <c r="UXW74" s="799"/>
      <c r="UXX74" s="800"/>
      <c r="UXY74" s="800"/>
      <c r="UXZ74" s="800"/>
      <c r="UYA74" s="800"/>
      <c r="UYB74" s="800"/>
      <c r="UYC74" s="705"/>
      <c r="UYD74" s="799"/>
      <c r="UYE74" s="800"/>
      <c r="UYF74" s="800"/>
      <c r="UYG74" s="800"/>
      <c r="UYH74" s="800"/>
      <c r="UYI74" s="800"/>
      <c r="UYJ74" s="705"/>
      <c r="UYK74" s="799"/>
      <c r="UYL74" s="800"/>
      <c r="UYM74" s="800"/>
      <c r="UYN74" s="800"/>
      <c r="UYO74" s="800"/>
      <c r="UYP74" s="800"/>
      <c r="UYQ74" s="705"/>
      <c r="UYR74" s="799"/>
      <c r="UYS74" s="800"/>
      <c r="UYT74" s="800"/>
      <c r="UYU74" s="800"/>
      <c r="UYV74" s="800"/>
      <c r="UYW74" s="800"/>
      <c r="UYX74" s="705"/>
      <c r="UYY74" s="799"/>
      <c r="UYZ74" s="800"/>
      <c r="UZA74" s="800"/>
      <c r="UZB74" s="800"/>
      <c r="UZC74" s="800"/>
      <c r="UZD74" s="800"/>
      <c r="UZE74" s="705"/>
      <c r="UZF74" s="799"/>
      <c r="UZG74" s="800"/>
      <c r="UZH74" s="800"/>
      <c r="UZI74" s="800"/>
      <c r="UZJ74" s="800"/>
      <c r="UZK74" s="800"/>
      <c r="UZL74" s="705"/>
      <c r="UZM74" s="799"/>
      <c r="UZN74" s="800"/>
      <c r="UZO74" s="800"/>
      <c r="UZP74" s="800"/>
      <c r="UZQ74" s="800"/>
      <c r="UZR74" s="800"/>
      <c r="UZS74" s="705"/>
      <c r="UZT74" s="799"/>
      <c r="UZU74" s="800"/>
      <c r="UZV74" s="800"/>
      <c r="UZW74" s="800"/>
      <c r="UZX74" s="800"/>
      <c r="UZY74" s="800"/>
      <c r="UZZ74" s="705"/>
      <c r="VAA74" s="799"/>
      <c r="VAB74" s="800"/>
      <c r="VAC74" s="800"/>
      <c r="VAD74" s="800"/>
      <c r="VAE74" s="800"/>
      <c r="VAF74" s="800"/>
      <c r="VAG74" s="705"/>
      <c r="VAH74" s="799"/>
      <c r="VAI74" s="800"/>
      <c r="VAJ74" s="800"/>
      <c r="VAK74" s="800"/>
      <c r="VAL74" s="800"/>
      <c r="VAM74" s="800"/>
      <c r="VAN74" s="705"/>
      <c r="VAO74" s="799"/>
      <c r="VAP74" s="800"/>
      <c r="VAQ74" s="800"/>
      <c r="VAR74" s="800"/>
      <c r="VAS74" s="800"/>
      <c r="VAT74" s="800"/>
      <c r="VAU74" s="705"/>
      <c r="VAV74" s="799"/>
      <c r="VAW74" s="800"/>
      <c r="VAX74" s="800"/>
      <c r="VAY74" s="800"/>
      <c r="VAZ74" s="800"/>
      <c r="VBA74" s="800"/>
      <c r="VBB74" s="705"/>
      <c r="VBC74" s="799"/>
      <c r="VBD74" s="800"/>
      <c r="VBE74" s="800"/>
      <c r="VBF74" s="800"/>
      <c r="VBG74" s="800"/>
      <c r="VBH74" s="800"/>
      <c r="VBI74" s="705"/>
      <c r="VBJ74" s="799"/>
      <c r="VBK74" s="800"/>
      <c r="VBL74" s="800"/>
      <c r="VBM74" s="800"/>
      <c r="VBN74" s="800"/>
      <c r="VBO74" s="800"/>
      <c r="VBP74" s="705"/>
      <c r="VBQ74" s="799"/>
      <c r="VBR74" s="800"/>
      <c r="VBS74" s="800"/>
      <c r="VBT74" s="800"/>
      <c r="VBU74" s="800"/>
      <c r="VBV74" s="800"/>
      <c r="VBW74" s="705"/>
      <c r="VBX74" s="799"/>
      <c r="VBY74" s="800"/>
      <c r="VBZ74" s="800"/>
      <c r="VCA74" s="800"/>
      <c r="VCB74" s="800"/>
      <c r="VCC74" s="800"/>
      <c r="VCD74" s="705"/>
      <c r="VCE74" s="799"/>
      <c r="VCF74" s="800"/>
      <c r="VCG74" s="800"/>
      <c r="VCH74" s="800"/>
      <c r="VCI74" s="800"/>
      <c r="VCJ74" s="800"/>
      <c r="VCK74" s="705"/>
      <c r="VCL74" s="799"/>
      <c r="VCM74" s="800"/>
      <c r="VCN74" s="800"/>
      <c r="VCO74" s="800"/>
      <c r="VCP74" s="800"/>
      <c r="VCQ74" s="800"/>
      <c r="VCR74" s="705"/>
      <c r="VCS74" s="799"/>
      <c r="VCT74" s="800"/>
      <c r="VCU74" s="800"/>
      <c r="VCV74" s="800"/>
      <c r="VCW74" s="800"/>
      <c r="VCX74" s="800"/>
      <c r="VCY74" s="705"/>
      <c r="VCZ74" s="799"/>
      <c r="VDA74" s="800"/>
      <c r="VDB74" s="800"/>
      <c r="VDC74" s="800"/>
      <c r="VDD74" s="800"/>
      <c r="VDE74" s="800"/>
      <c r="VDF74" s="705"/>
      <c r="VDG74" s="799"/>
      <c r="VDH74" s="800"/>
      <c r="VDI74" s="800"/>
      <c r="VDJ74" s="800"/>
      <c r="VDK74" s="800"/>
      <c r="VDL74" s="800"/>
      <c r="VDM74" s="705"/>
      <c r="VDN74" s="799"/>
      <c r="VDO74" s="800"/>
      <c r="VDP74" s="800"/>
      <c r="VDQ74" s="800"/>
      <c r="VDR74" s="800"/>
      <c r="VDS74" s="800"/>
      <c r="VDT74" s="705"/>
      <c r="VDU74" s="799"/>
      <c r="VDV74" s="800"/>
      <c r="VDW74" s="800"/>
      <c r="VDX74" s="800"/>
      <c r="VDY74" s="800"/>
      <c r="VDZ74" s="800"/>
      <c r="VEA74" s="705"/>
      <c r="VEB74" s="799"/>
      <c r="VEC74" s="800"/>
      <c r="VED74" s="800"/>
      <c r="VEE74" s="800"/>
      <c r="VEF74" s="800"/>
      <c r="VEG74" s="800"/>
      <c r="VEH74" s="705"/>
      <c r="VEI74" s="799"/>
      <c r="VEJ74" s="800"/>
      <c r="VEK74" s="800"/>
      <c r="VEL74" s="800"/>
      <c r="VEM74" s="800"/>
      <c r="VEN74" s="800"/>
      <c r="VEO74" s="705"/>
      <c r="VEP74" s="799"/>
      <c r="VEQ74" s="800"/>
      <c r="VER74" s="800"/>
      <c r="VES74" s="800"/>
      <c r="VET74" s="800"/>
      <c r="VEU74" s="800"/>
      <c r="VEV74" s="705"/>
      <c r="VEW74" s="799"/>
      <c r="VEX74" s="800"/>
      <c r="VEY74" s="800"/>
      <c r="VEZ74" s="800"/>
      <c r="VFA74" s="800"/>
      <c r="VFB74" s="800"/>
      <c r="VFC74" s="705"/>
      <c r="VFD74" s="799"/>
      <c r="VFE74" s="800"/>
      <c r="VFF74" s="800"/>
      <c r="VFG74" s="800"/>
      <c r="VFH74" s="800"/>
      <c r="VFI74" s="800"/>
      <c r="VFJ74" s="705"/>
      <c r="VFK74" s="799"/>
      <c r="VFL74" s="800"/>
      <c r="VFM74" s="800"/>
      <c r="VFN74" s="800"/>
      <c r="VFO74" s="800"/>
      <c r="VFP74" s="800"/>
      <c r="VFQ74" s="705"/>
      <c r="VFR74" s="799"/>
      <c r="VFS74" s="800"/>
      <c r="VFT74" s="800"/>
      <c r="VFU74" s="800"/>
      <c r="VFV74" s="800"/>
      <c r="VFW74" s="800"/>
      <c r="VFX74" s="705"/>
      <c r="VFY74" s="799"/>
      <c r="VFZ74" s="800"/>
      <c r="VGA74" s="800"/>
      <c r="VGB74" s="800"/>
      <c r="VGC74" s="800"/>
      <c r="VGD74" s="800"/>
      <c r="VGE74" s="705"/>
      <c r="VGF74" s="799"/>
      <c r="VGG74" s="800"/>
      <c r="VGH74" s="800"/>
      <c r="VGI74" s="800"/>
      <c r="VGJ74" s="800"/>
      <c r="VGK74" s="800"/>
      <c r="VGL74" s="705"/>
      <c r="VGM74" s="799"/>
      <c r="VGN74" s="800"/>
      <c r="VGO74" s="800"/>
      <c r="VGP74" s="800"/>
      <c r="VGQ74" s="800"/>
      <c r="VGR74" s="800"/>
      <c r="VGS74" s="705"/>
      <c r="VGT74" s="799"/>
      <c r="VGU74" s="800"/>
      <c r="VGV74" s="800"/>
      <c r="VGW74" s="800"/>
      <c r="VGX74" s="800"/>
      <c r="VGY74" s="800"/>
      <c r="VGZ74" s="705"/>
      <c r="VHA74" s="799"/>
      <c r="VHB74" s="800"/>
      <c r="VHC74" s="800"/>
      <c r="VHD74" s="800"/>
      <c r="VHE74" s="800"/>
      <c r="VHF74" s="800"/>
      <c r="VHG74" s="705"/>
      <c r="VHH74" s="799"/>
      <c r="VHI74" s="800"/>
      <c r="VHJ74" s="800"/>
      <c r="VHK74" s="800"/>
      <c r="VHL74" s="800"/>
      <c r="VHM74" s="800"/>
      <c r="VHN74" s="705"/>
      <c r="VHO74" s="799"/>
      <c r="VHP74" s="800"/>
      <c r="VHQ74" s="800"/>
      <c r="VHR74" s="800"/>
      <c r="VHS74" s="800"/>
      <c r="VHT74" s="800"/>
      <c r="VHU74" s="705"/>
      <c r="VHV74" s="799"/>
      <c r="VHW74" s="800"/>
      <c r="VHX74" s="800"/>
      <c r="VHY74" s="800"/>
      <c r="VHZ74" s="800"/>
      <c r="VIA74" s="800"/>
      <c r="VIB74" s="705"/>
      <c r="VIC74" s="799"/>
      <c r="VID74" s="800"/>
      <c r="VIE74" s="800"/>
      <c r="VIF74" s="800"/>
      <c r="VIG74" s="800"/>
      <c r="VIH74" s="800"/>
      <c r="VII74" s="705"/>
      <c r="VIJ74" s="799"/>
      <c r="VIK74" s="800"/>
      <c r="VIL74" s="800"/>
      <c r="VIM74" s="800"/>
      <c r="VIN74" s="800"/>
      <c r="VIO74" s="800"/>
      <c r="VIP74" s="705"/>
      <c r="VIQ74" s="799"/>
      <c r="VIR74" s="800"/>
      <c r="VIS74" s="800"/>
      <c r="VIT74" s="800"/>
      <c r="VIU74" s="800"/>
      <c r="VIV74" s="800"/>
      <c r="VIW74" s="705"/>
      <c r="VIX74" s="799"/>
      <c r="VIY74" s="800"/>
      <c r="VIZ74" s="800"/>
      <c r="VJA74" s="800"/>
      <c r="VJB74" s="800"/>
      <c r="VJC74" s="800"/>
      <c r="VJD74" s="705"/>
      <c r="VJE74" s="799"/>
      <c r="VJF74" s="800"/>
      <c r="VJG74" s="800"/>
      <c r="VJH74" s="800"/>
      <c r="VJI74" s="800"/>
      <c r="VJJ74" s="800"/>
      <c r="VJK74" s="705"/>
      <c r="VJL74" s="799"/>
      <c r="VJM74" s="800"/>
      <c r="VJN74" s="800"/>
      <c r="VJO74" s="800"/>
      <c r="VJP74" s="800"/>
      <c r="VJQ74" s="800"/>
      <c r="VJR74" s="705"/>
      <c r="VJS74" s="799"/>
      <c r="VJT74" s="800"/>
      <c r="VJU74" s="800"/>
      <c r="VJV74" s="800"/>
      <c r="VJW74" s="800"/>
      <c r="VJX74" s="800"/>
      <c r="VJY74" s="705"/>
      <c r="VJZ74" s="799"/>
      <c r="VKA74" s="800"/>
      <c r="VKB74" s="800"/>
      <c r="VKC74" s="800"/>
      <c r="VKD74" s="800"/>
      <c r="VKE74" s="800"/>
      <c r="VKF74" s="705"/>
      <c r="VKG74" s="799"/>
      <c r="VKH74" s="800"/>
      <c r="VKI74" s="800"/>
      <c r="VKJ74" s="800"/>
      <c r="VKK74" s="800"/>
      <c r="VKL74" s="800"/>
      <c r="VKM74" s="705"/>
      <c r="VKN74" s="799"/>
      <c r="VKO74" s="800"/>
      <c r="VKP74" s="800"/>
      <c r="VKQ74" s="800"/>
      <c r="VKR74" s="800"/>
      <c r="VKS74" s="800"/>
      <c r="VKT74" s="705"/>
      <c r="VKU74" s="799"/>
      <c r="VKV74" s="800"/>
      <c r="VKW74" s="800"/>
      <c r="VKX74" s="800"/>
      <c r="VKY74" s="800"/>
      <c r="VKZ74" s="800"/>
      <c r="VLA74" s="705"/>
      <c r="VLB74" s="799"/>
      <c r="VLC74" s="800"/>
      <c r="VLD74" s="800"/>
      <c r="VLE74" s="800"/>
      <c r="VLF74" s="800"/>
      <c r="VLG74" s="800"/>
      <c r="VLH74" s="705"/>
      <c r="VLI74" s="799"/>
      <c r="VLJ74" s="800"/>
      <c r="VLK74" s="800"/>
      <c r="VLL74" s="800"/>
      <c r="VLM74" s="800"/>
      <c r="VLN74" s="800"/>
      <c r="VLO74" s="705"/>
      <c r="VLP74" s="799"/>
      <c r="VLQ74" s="800"/>
      <c r="VLR74" s="800"/>
      <c r="VLS74" s="800"/>
      <c r="VLT74" s="800"/>
      <c r="VLU74" s="800"/>
      <c r="VLV74" s="705"/>
      <c r="VLW74" s="799"/>
      <c r="VLX74" s="800"/>
      <c r="VLY74" s="800"/>
      <c r="VLZ74" s="800"/>
      <c r="VMA74" s="800"/>
      <c r="VMB74" s="800"/>
      <c r="VMC74" s="705"/>
      <c r="VMD74" s="799"/>
      <c r="VME74" s="800"/>
      <c r="VMF74" s="800"/>
      <c r="VMG74" s="800"/>
      <c r="VMH74" s="800"/>
      <c r="VMI74" s="800"/>
      <c r="VMJ74" s="705"/>
      <c r="VMK74" s="799"/>
      <c r="VML74" s="800"/>
      <c r="VMM74" s="800"/>
      <c r="VMN74" s="800"/>
      <c r="VMO74" s="800"/>
      <c r="VMP74" s="800"/>
      <c r="VMQ74" s="705"/>
      <c r="VMR74" s="799"/>
      <c r="VMS74" s="800"/>
      <c r="VMT74" s="800"/>
      <c r="VMU74" s="800"/>
      <c r="VMV74" s="800"/>
      <c r="VMW74" s="800"/>
      <c r="VMX74" s="705"/>
      <c r="VMY74" s="799"/>
      <c r="VMZ74" s="800"/>
      <c r="VNA74" s="800"/>
      <c r="VNB74" s="800"/>
      <c r="VNC74" s="800"/>
      <c r="VND74" s="800"/>
      <c r="VNE74" s="705"/>
      <c r="VNF74" s="799"/>
      <c r="VNG74" s="800"/>
      <c r="VNH74" s="800"/>
      <c r="VNI74" s="800"/>
      <c r="VNJ74" s="800"/>
      <c r="VNK74" s="800"/>
      <c r="VNL74" s="705"/>
      <c r="VNM74" s="799"/>
      <c r="VNN74" s="800"/>
      <c r="VNO74" s="800"/>
      <c r="VNP74" s="800"/>
      <c r="VNQ74" s="800"/>
      <c r="VNR74" s="800"/>
      <c r="VNS74" s="705"/>
      <c r="VNT74" s="799"/>
      <c r="VNU74" s="800"/>
      <c r="VNV74" s="800"/>
      <c r="VNW74" s="800"/>
      <c r="VNX74" s="800"/>
      <c r="VNY74" s="800"/>
      <c r="VNZ74" s="705"/>
      <c r="VOA74" s="799"/>
      <c r="VOB74" s="800"/>
      <c r="VOC74" s="800"/>
      <c r="VOD74" s="800"/>
      <c r="VOE74" s="800"/>
      <c r="VOF74" s="800"/>
      <c r="VOG74" s="705"/>
      <c r="VOH74" s="799"/>
      <c r="VOI74" s="800"/>
      <c r="VOJ74" s="800"/>
      <c r="VOK74" s="800"/>
      <c r="VOL74" s="800"/>
      <c r="VOM74" s="800"/>
      <c r="VON74" s="705"/>
      <c r="VOO74" s="799"/>
      <c r="VOP74" s="800"/>
      <c r="VOQ74" s="800"/>
      <c r="VOR74" s="800"/>
      <c r="VOS74" s="800"/>
      <c r="VOT74" s="800"/>
      <c r="VOU74" s="705"/>
      <c r="VOV74" s="799"/>
      <c r="VOW74" s="800"/>
      <c r="VOX74" s="800"/>
      <c r="VOY74" s="800"/>
      <c r="VOZ74" s="800"/>
      <c r="VPA74" s="800"/>
      <c r="VPB74" s="705"/>
      <c r="VPC74" s="799"/>
      <c r="VPD74" s="800"/>
      <c r="VPE74" s="800"/>
      <c r="VPF74" s="800"/>
      <c r="VPG74" s="800"/>
      <c r="VPH74" s="800"/>
      <c r="VPI74" s="705"/>
      <c r="VPJ74" s="799"/>
      <c r="VPK74" s="800"/>
      <c r="VPL74" s="800"/>
      <c r="VPM74" s="800"/>
      <c r="VPN74" s="800"/>
      <c r="VPO74" s="800"/>
      <c r="VPP74" s="705"/>
      <c r="VPQ74" s="799"/>
      <c r="VPR74" s="800"/>
      <c r="VPS74" s="800"/>
      <c r="VPT74" s="800"/>
      <c r="VPU74" s="800"/>
      <c r="VPV74" s="800"/>
      <c r="VPW74" s="705"/>
      <c r="VPX74" s="799"/>
      <c r="VPY74" s="800"/>
      <c r="VPZ74" s="800"/>
      <c r="VQA74" s="800"/>
      <c r="VQB74" s="800"/>
      <c r="VQC74" s="800"/>
      <c r="VQD74" s="705"/>
      <c r="VQE74" s="799"/>
      <c r="VQF74" s="800"/>
      <c r="VQG74" s="800"/>
      <c r="VQH74" s="800"/>
      <c r="VQI74" s="800"/>
      <c r="VQJ74" s="800"/>
      <c r="VQK74" s="705"/>
      <c r="VQL74" s="799"/>
      <c r="VQM74" s="800"/>
      <c r="VQN74" s="800"/>
      <c r="VQO74" s="800"/>
      <c r="VQP74" s="800"/>
      <c r="VQQ74" s="800"/>
      <c r="VQR74" s="705"/>
      <c r="VQS74" s="799"/>
      <c r="VQT74" s="800"/>
      <c r="VQU74" s="800"/>
      <c r="VQV74" s="800"/>
      <c r="VQW74" s="800"/>
      <c r="VQX74" s="800"/>
      <c r="VQY74" s="705"/>
      <c r="VQZ74" s="799"/>
      <c r="VRA74" s="800"/>
      <c r="VRB74" s="800"/>
      <c r="VRC74" s="800"/>
      <c r="VRD74" s="800"/>
      <c r="VRE74" s="800"/>
      <c r="VRF74" s="705"/>
      <c r="VRG74" s="799"/>
      <c r="VRH74" s="800"/>
      <c r="VRI74" s="800"/>
      <c r="VRJ74" s="800"/>
      <c r="VRK74" s="800"/>
      <c r="VRL74" s="800"/>
      <c r="VRM74" s="705"/>
      <c r="VRN74" s="799"/>
      <c r="VRO74" s="800"/>
      <c r="VRP74" s="800"/>
      <c r="VRQ74" s="800"/>
      <c r="VRR74" s="800"/>
      <c r="VRS74" s="800"/>
      <c r="VRT74" s="705"/>
      <c r="VRU74" s="799"/>
      <c r="VRV74" s="800"/>
      <c r="VRW74" s="800"/>
      <c r="VRX74" s="800"/>
      <c r="VRY74" s="800"/>
      <c r="VRZ74" s="800"/>
      <c r="VSA74" s="705"/>
      <c r="VSB74" s="799"/>
      <c r="VSC74" s="800"/>
      <c r="VSD74" s="800"/>
      <c r="VSE74" s="800"/>
      <c r="VSF74" s="800"/>
      <c r="VSG74" s="800"/>
      <c r="VSH74" s="705"/>
      <c r="VSI74" s="799"/>
      <c r="VSJ74" s="800"/>
      <c r="VSK74" s="800"/>
      <c r="VSL74" s="800"/>
      <c r="VSM74" s="800"/>
      <c r="VSN74" s="800"/>
      <c r="VSO74" s="705"/>
      <c r="VSP74" s="799"/>
      <c r="VSQ74" s="800"/>
      <c r="VSR74" s="800"/>
      <c r="VSS74" s="800"/>
      <c r="VST74" s="800"/>
      <c r="VSU74" s="800"/>
      <c r="VSV74" s="705"/>
      <c r="VSW74" s="799"/>
      <c r="VSX74" s="800"/>
      <c r="VSY74" s="800"/>
      <c r="VSZ74" s="800"/>
      <c r="VTA74" s="800"/>
      <c r="VTB74" s="800"/>
      <c r="VTC74" s="705"/>
      <c r="VTD74" s="799"/>
      <c r="VTE74" s="800"/>
      <c r="VTF74" s="800"/>
      <c r="VTG74" s="800"/>
      <c r="VTH74" s="800"/>
      <c r="VTI74" s="800"/>
      <c r="VTJ74" s="705"/>
      <c r="VTK74" s="799"/>
      <c r="VTL74" s="800"/>
      <c r="VTM74" s="800"/>
      <c r="VTN74" s="800"/>
      <c r="VTO74" s="800"/>
      <c r="VTP74" s="800"/>
      <c r="VTQ74" s="705"/>
      <c r="VTR74" s="799"/>
      <c r="VTS74" s="800"/>
      <c r="VTT74" s="800"/>
      <c r="VTU74" s="800"/>
      <c r="VTV74" s="800"/>
      <c r="VTW74" s="800"/>
      <c r="VTX74" s="705"/>
      <c r="VTY74" s="799"/>
      <c r="VTZ74" s="800"/>
      <c r="VUA74" s="800"/>
      <c r="VUB74" s="800"/>
      <c r="VUC74" s="800"/>
      <c r="VUD74" s="800"/>
      <c r="VUE74" s="705"/>
      <c r="VUF74" s="799"/>
      <c r="VUG74" s="800"/>
      <c r="VUH74" s="800"/>
      <c r="VUI74" s="800"/>
      <c r="VUJ74" s="800"/>
      <c r="VUK74" s="800"/>
      <c r="VUL74" s="705"/>
      <c r="VUM74" s="799"/>
      <c r="VUN74" s="800"/>
      <c r="VUO74" s="800"/>
      <c r="VUP74" s="800"/>
      <c r="VUQ74" s="800"/>
      <c r="VUR74" s="800"/>
      <c r="VUS74" s="705"/>
      <c r="VUT74" s="799"/>
      <c r="VUU74" s="800"/>
      <c r="VUV74" s="800"/>
      <c r="VUW74" s="800"/>
      <c r="VUX74" s="800"/>
      <c r="VUY74" s="800"/>
      <c r="VUZ74" s="705"/>
      <c r="VVA74" s="799"/>
      <c r="VVB74" s="800"/>
      <c r="VVC74" s="800"/>
      <c r="VVD74" s="800"/>
      <c r="VVE74" s="800"/>
      <c r="VVF74" s="800"/>
      <c r="VVG74" s="705"/>
      <c r="VVH74" s="799"/>
      <c r="VVI74" s="800"/>
      <c r="VVJ74" s="800"/>
      <c r="VVK74" s="800"/>
      <c r="VVL74" s="800"/>
      <c r="VVM74" s="800"/>
      <c r="VVN74" s="705"/>
      <c r="VVO74" s="799"/>
      <c r="VVP74" s="800"/>
      <c r="VVQ74" s="800"/>
      <c r="VVR74" s="800"/>
      <c r="VVS74" s="800"/>
      <c r="VVT74" s="800"/>
      <c r="VVU74" s="705"/>
      <c r="VVV74" s="799"/>
      <c r="VVW74" s="800"/>
      <c r="VVX74" s="800"/>
      <c r="VVY74" s="800"/>
      <c r="VVZ74" s="800"/>
      <c r="VWA74" s="800"/>
      <c r="VWB74" s="705"/>
      <c r="VWC74" s="799"/>
      <c r="VWD74" s="800"/>
      <c r="VWE74" s="800"/>
      <c r="VWF74" s="800"/>
      <c r="VWG74" s="800"/>
      <c r="VWH74" s="800"/>
      <c r="VWI74" s="705"/>
      <c r="VWJ74" s="799"/>
      <c r="VWK74" s="800"/>
      <c r="VWL74" s="800"/>
      <c r="VWM74" s="800"/>
      <c r="VWN74" s="800"/>
      <c r="VWO74" s="800"/>
      <c r="VWP74" s="705"/>
      <c r="VWQ74" s="799"/>
      <c r="VWR74" s="800"/>
      <c r="VWS74" s="800"/>
      <c r="VWT74" s="800"/>
      <c r="VWU74" s="800"/>
      <c r="VWV74" s="800"/>
      <c r="VWW74" s="705"/>
      <c r="VWX74" s="799"/>
      <c r="VWY74" s="800"/>
      <c r="VWZ74" s="800"/>
      <c r="VXA74" s="800"/>
      <c r="VXB74" s="800"/>
      <c r="VXC74" s="800"/>
      <c r="VXD74" s="705"/>
      <c r="VXE74" s="799"/>
      <c r="VXF74" s="800"/>
      <c r="VXG74" s="800"/>
      <c r="VXH74" s="800"/>
      <c r="VXI74" s="800"/>
      <c r="VXJ74" s="800"/>
      <c r="VXK74" s="705"/>
      <c r="VXL74" s="799"/>
      <c r="VXM74" s="800"/>
      <c r="VXN74" s="800"/>
      <c r="VXO74" s="800"/>
      <c r="VXP74" s="800"/>
      <c r="VXQ74" s="800"/>
      <c r="VXR74" s="705"/>
      <c r="VXS74" s="799"/>
      <c r="VXT74" s="800"/>
      <c r="VXU74" s="800"/>
      <c r="VXV74" s="800"/>
      <c r="VXW74" s="800"/>
      <c r="VXX74" s="800"/>
      <c r="VXY74" s="705"/>
      <c r="VXZ74" s="799"/>
      <c r="VYA74" s="800"/>
      <c r="VYB74" s="800"/>
      <c r="VYC74" s="800"/>
      <c r="VYD74" s="800"/>
      <c r="VYE74" s="800"/>
      <c r="VYF74" s="705"/>
      <c r="VYG74" s="799"/>
      <c r="VYH74" s="800"/>
      <c r="VYI74" s="800"/>
      <c r="VYJ74" s="800"/>
      <c r="VYK74" s="800"/>
      <c r="VYL74" s="800"/>
      <c r="VYM74" s="705"/>
      <c r="VYN74" s="799"/>
      <c r="VYO74" s="800"/>
      <c r="VYP74" s="800"/>
      <c r="VYQ74" s="800"/>
      <c r="VYR74" s="800"/>
      <c r="VYS74" s="800"/>
      <c r="VYT74" s="705"/>
      <c r="VYU74" s="799"/>
      <c r="VYV74" s="800"/>
      <c r="VYW74" s="800"/>
      <c r="VYX74" s="800"/>
      <c r="VYY74" s="800"/>
      <c r="VYZ74" s="800"/>
      <c r="VZA74" s="705"/>
      <c r="VZB74" s="799"/>
      <c r="VZC74" s="800"/>
      <c r="VZD74" s="800"/>
      <c r="VZE74" s="800"/>
      <c r="VZF74" s="800"/>
      <c r="VZG74" s="800"/>
      <c r="VZH74" s="705"/>
      <c r="VZI74" s="799"/>
      <c r="VZJ74" s="800"/>
      <c r="VZK74" s="800"/>
      <c r="VZL74" s="800"/>
      <c r="VZM74" s="800"/>
      <c r="VZN74" s="800"/>
      <c r="VZO74" s="705"/>
      <c r="VZP74" s="799"/>
      <c r="VZQ74" s="800"/>
      <c r="VZR74" s="800"/>
      <c r="VZS74" s="800"/>
      <c r="VZT74" s="800"/>
      <c r="VZU74" s="800"/>
      <c r="VZV74" s="705"/>
      <c r="VZW74" s="799"/>
      <c r="VZX74" s="800"/>
      <c r="VZY74" s="800"/>
      <c r="VZZ74" s="800"/>
      <c r="WAA74" s="800"/>
      <c r="WAB74" s="800"/>
      <c r="WAC74" s="705"/>
      <c r="WAD74" s="799"/>
      <c r="WAE74" s="800"/>
      <c r="WAF74" s="800"/>
      <c r="WAG74" s="800"/>
      <c r="WAH74" s="800"/>
      <c r="WAI74" s="800"/>
      <c r="WAJ74" s="705"/>
      <c r="WAK74" s="799"/>
      <c r="WAL74" s="800"/>
      <c r="WAM74" s="800"/>
      <c r="WAN74" s="800"/>
      <c r="WAO74" s="800"/>
      <c r="WAP74" s="800"/>
      <c r="WAQ74" s="705"/>
      <c r="WAR74" s="799"/>
      <c r="WAS74" s="800"/>
      <c r="WAT74" s="800"/>
      <c r="WAU74" s="800"/>
      <c r="WAV74" s="800"/>
      <c r="WAW74" s="800"/>
      <c r="WAX74" s="705"/>
      <c r="WAY74" s="799"/>
      <c r="WAZ74" s="800"/>
      <c r="WBA74" s="800"/>
      <c r="WBB74" s="800"/>
      <c r="WBC74" s="800"/>
      <c r="WBD74" s="800"/>
      <c r="WBE74" s="705"/>
      <c r="WBF74" s="799"/>
      <c r="WBG74" s="800"/>
      <c r="WBH74" s="800"/>
      <c r="WBI74" s="800"/>
      <c r="WBJ74" s="800"/>
      <c r="WBK74" s="800"/>
      <c r="WBL74" s="705"/>
      <c r="WBM74" s="799"/>
      <c r="WBN74" s="800"/>
      <c r="WBO74" s="800"/>
      <c r="WBP74" s="800"/>
      <c r="WBQ74" s="800"/>
      <c r="WBR74" s="800"/>
      <c r="WBS74" s="705"/>
      <c r="WBT74" s="799"/>
      <c r="WBU74" s="800"/>
      <c r="WBV74" s="800"/>
      <c r="WBW74" s="800"/>
      <c r="WBX74" s="800"/>
      <c r="WBY74" s="800"/>
      <c r="WBZ74" s="705"/>
      <c r="WCA74" s="799"/>
      <c r="WCB74" s="800"/>
      <c r="WCC74" s="800"/>
      <c r="WCD74" s="800"/>
      <c r="WCE74" s="800"/>
      <c r="WCF74" s="800"/>
      <c r="WCG74" s="705"/>
      <c r="WCH74" s="799"/>
      <c r="WCI74" s="800"/>
      <c r="WCJ74" s="800"/>
      <c r="WCK74" s="800"/>
      <c r="WCL74" s="800"/>
      <c r="WCM74" s="800"/>
      <c r="WCN74" s="705"/>
      <c r="WCO74" s="799"/>
      <c r="WCP74" s="800"/>
      <c r="WCQ74" s="800"/>
      <c r="WCR74" s="800"/>
      <c r="WCS74" s="800"/>
      <c r="WCT74" s="800"/>
      <c r="WCU74" s="705"/>
      <c r="WCV74" s="799"/>
      <c r="WCW74" s="800"/>
      <c r="WCX74" s="800"/>
      <c r="WCY74" s="800"/>
      <c r="WCZ74" s="800"/>
      <c r="WDA74" s="800"/>
      <c r="WDB74" s="705"/>
      <c r="WDC74" s="799"/>
      <c r="WDD74" s="800"/>
      <c r="WDE74" s="800"/>
      <c r="WDF74" s="800"/>
      <c r="WDG74" s="800"/>
      <c r="WDH74" s="800"/>
      <c r="WDI74" s="705"/>
      <c r="WDJ74" s="799"/>
      <c r="WDK74" s="800"/>
      <c r="WDL74" s="800"/>
      <c r="WDM74" s="800"/>
      <c r="WDN74" s="800"/>
      <c r="WDO74" s="800"/>
      <c r="WDP74" s="705"/>
      <c r="WDQ74" s="799"/>
      <c r="WDR74" s="800"/>
      <c r="WDS74" s="800"/>
      <c r="WDT74" s="800"/>
      <c r="WDU74" s="800"/>
      <c r="WDV74" s="800"/>
      <c r="WDW74" s="705"/>
      <c r="WDX74" s="799"/>
      <c r="WDY74" s="800"/>
      <c r="WDZ74" s="800"/>
      <c r="WEA74" s="800"/>
      <c r="WEB74" s="800"/>
      <c r="WEC74" s="800"/>
      <c r="WED74" s="705"/>
      <c r="WEE74" s="799"/>
      <c r="WEF74" s="800"/>
      <c r="WEG74" s="800"/>
      <c r="WEH74" s="800"/>
      <c r="WEI74" s="800"/>
      <c r="WEJ74" s="800"/>
      <c r="WEK74" s="705"/>
      <c r="WEL74" s="799"/>
      <c r="WEM74" s="800"/>
      <c r="WEN74" s="800"/>
      <c r="WEO74" s="800"/>
      <c r="WEP74" s="800"/>
      <c r="WEQ74" s="800"/>
      <c r="WER74" s="705"/>
      <c r="WES74" s="799"/>
      <c r="WET74" s="800"/>
      <c r="WEU74" s="800"/>
      <c r="WEV74" s="800"/>
      <c r="WEW74" s="800"/>
      <c r="WEX74" s="800"/>
      <c r="WEY74" s="705"/>
      <c r="WEZ74" s="799"/>
      <c r="WFA74" s="800"/>
      <c r="WFB74" s="800"/>
      <c r="WFC74" s="800"/>
      <c r="WFD74" s="800"/>
      <c r="WFE74" s="800"/>
      <c r="WFF74" s="705"/>
      <c r="WFG74" s="799"/>
      <c r="WFH74" s="800"/>
      <c r="WFI74" s="800"/>
      <c r="WFJ74" s="800"/>
      <c r="WFK74" s="800"/>
      <c r="WFL74" s="800"/>
      <c r="WFM74" s="705"/>
      <c r="WFN74" s="799"/>
      <c r="WFO74" s="800"/>
      <c r="WFP74" s="800"/>
      <c r="WFQ74" s="800"/>
      <c r="WFR74" s="800"/>
      <c r="WFS74" s="800"/>
      <c r="WFT74" s="705"/>
      <c r="WFU74" s="799"/>
      <c r="WFV74" s="800"/>
      <c r="WFW74" s="800"/>
      <c r="WFX74" s="800"/>
      <c r="WFY74" s="800"/>
      <c r="WFZ74" s="800"/>
      <c r="WGA74" s="705"/>
      <c r="WGB74" s="799"/>
      <c r="WGC74" s="800"/>
      <c r="WGD74" s="800"/>
      <c r="WGE74" s="800"/>
      <c r="WGF74" s="800"/>
      <c r="WGG74" s="800"/>
      <c r="WGH74" s="705"/>
      <c r="WGI74" s="799"/>
      <c r="WGJ74" s="800"/>
      <c r="WGK74" s="800"/>
      <c r="WGL74" s="800"/>
      <c r="WGM74" s="800"/>
      <c r="WGN74" s="800"/>
      <c r="WGO74" s="705"/>
      <c r="WGP74" s="799"/>
      <c r="WGQ74" s="800"/>
      <c r="WGR74" s="800"/>
      <c r="WGS74" s="800"/>
      <c r="WGT74" s="800"/>
      <c r="WGU74" s="800"/>
      <c r="WGV74" s="705"/>
      <c r="WGW74" s="799"/>
      <c r="WGX74" s="800"/>
      <c r="WGY74" s="800"/>
      <c r="WGZ74" s="800"/>
      <c r="WHA74" s="800"/>
      <c r="WHB74" s="800"/>
      <c r="WHC74" s="705"/>
      <c r="WHD74" s="799"/>
      <c r="WHE74" s="800"/>
      <c r="WHF74" s="800"/>
      <c r="WHG74" s="800"/>
      <c r="WHH74" s="800"/>
      <c r="WHI74" s="800"/>
      <c r="WHJ74" s="705"/>
      <c r="WHK74" s="799"/>
      <c r="WHL74" s="800"/>
      <c r="WHM74" s="800"/>
      <c r="WHN74" s="800"/>
      <c r="WHO74" s="800"/>
      <c r="WHP74" s="800"/>
      <c r="WHQ74" s="705"/>
      <c r="WHR74" s="799"/>
      <c r="WHS74" s="800"/>
      <c r="WHT74" s="800"/>
      <c r="WHU74" s="800"/>
      <c r="WHV74" s="800"/>
      <c r="WHW74" s="800"/>
      <c r="WHX74" s="705"/>
      <c r="WHY74" s="799"/>
      <c r="WHZ74" s="800"/>
      <c r="WIA74" s="800"/>
      <c r="WIB74" s="800"/>
      <c r="WIC74" s="800"/>
      <c r="WID74" s="800"/>
      <c r="WIE74" s="705"/>
      <c r="WIF74" s="799"/>
      <c r="WIG74" s="800"/>
      <c r="WIH74" s="800"/>
      <c r="WII74" s="800"/>
      <c r="WIJ74" s="800"/>
      <c r="WIK74" s="800"/>
      <c r="WIL74" s="705"/>
      <c r="WIM74" s="799"/>
      <c r="WIN74" s="800"/>
      <c r="WIO74" s="800"/>
      <c r="WIP74" s="800"/>
      <c r="WIQ74" s="800"/>
      <c r="WIR74" s="800"/>
      <c r="WIS74" s="705"/>
      <c r="WIT74" s="799"/>
      <c r="WIU74" s="800"/>
      <c r="WIV74" s="800"/>
      <c r="WIW74" s="800"/>
      <c r="WIX74" s="800"/>
      <c r="WIY74" s="800"/>
      <c r="WIZ74" s="705"/>
      <c r="WJA74" s="799"/>
      <c r="WJB74" s="800"/>
      <c r="WJC74" s="800"/>
      <c r="WJD74" s="800"/>
      <c r="WJE74" s="800"/>
      <c r="WJF74" s="800"/>
      <c r="WJG74" s="705"/>
      <c r="WJH74" s="799"/>
      <c r="WJI74" s="800"/>
      <c r="WJJ74" s="800"/>
      <c r="WJK74" s="800"/>
      <c r="WJL74" s="800"/>
      <c r="WJM74" s="800"/>
      <c r="WJN74" s="705"/>
      <c r="WJO74" s="799"/>
      <c r="WJP74" s="800"/>
      <c r="WJQ74" s="800"/>
      <c r="WJR74" s="800"/>
      <c r="WJS74" s="800"/>
      <c r="WJT74" s="800"/>
      <c r="WJU74" s="705"/>
      <c r="WJV74" s="799"/>
      <c r="WJW74" s="800"/>
      <c r="WJX74" s="800"/>
      <c r="WJY74" s="800"/>
      <c r="WJZ74" s="800"/>
      <c r="WKA74" s="800"/>
      <c r="WKB74" s="705"/>
      <c r="WKC74" s="799"/>
      <c r="WKD74" s="800"/>
      <c r="WKE74" s="800"/>
      <c r="WKF74" s="800"/>
      <c r="WKG74" s="800"/>
      <c r="WKH74" s="800"/>
      <c r="WKI74" s="705"/>
      <c r="WKJ74" s="799"/>
      <c r="WKK74" s="800"/>
      <c r="WKL74" s="800"/>
      <c r="WKM74" s="800"/>
      <c r="WKN74" s="800"/>
      <c r="WKO74" s="800"/>
      <c r="WKP74" s="705"/>
      <c r="WKQ74" s="799"/>
      <c r="WKR74" s="800"/>
      <c r="WKS74" s="800"/>
      <c r="WKT74" s="800"/>
      <c r="WKU74" s="800"/>
      <c r="WKV74" s="800"/>
      <c r="WKW74" s="705"/>
      <c r="WKX74" s="799"/>
      <c r="WKY74" s="800"/>
      <c r="WKZ74" s="800"/>
      <c r="WLA74" s="800"/>
      <c r="WLB74" s="800"/>
      <c r="WLC74" s="800"/>
      <c r="WLD74" s="705"/>
      <c r="WLE74" s="799"/>
      <c r="WLF74" s="800"/>
      <c r="WLG74" s="800"/>
      <c r="WLH74" s="800"/>
      <c r="WLI74" s="800"/>
      <c r="WLJ74" s="800"/>
      <c r="WLK74" s="705"/>
      <c r="WLL74" s="799"/>
      <c r="WLM74" s="800"/>
      <c r="WLN74" s="800"/>
      <c r="WLO74" s="800"/>
      <c r="WLP74" s="800"/>
      <c r="WLQ74" s="800"/>
      <c r="WLR74" s="705"/>
      <c r="WLS74" s="799"/>
      <c r="WLT74" s="800"/>
      <c r="WLU74" s="800"/>
      <c r="WLV74" s="800"/>
      <c r="WLW74" s="800"/>
      <c r="WLX74" s="800"/>
      <c r="WLY74" s="705"/>
      <c r="WLZ74" s="799"/>
      <c r="WMA74" s="800"/>
      <c r="WMB74" s="800"/>
      <c r="WMC74" s="800"/>
      <c r="WMD74" s="800"/>
      <c r="WME74" s="800"/>
      <c r="WMF74" s="705"/>
      <c r="WMG74" s="799"/>
      <c r="WMH74" s="800"/>
      <c r="WMI74" s="800"/>
      <c r="WMJ74" s="800"/>
      <c r="WMK74" s="800"/>
      <c r="WML74" s="800"/>
      <c r="WMM74" s="705"/>
      <c r="WMN74" s="799"/>
      <c r="WMO74" s="800"/>
      <c r="WMP74" s="800"/>
      <c r="WMQ74" s="800"/>
      <c r="WMR74" s="800"/>
      <c r="WMS74" s="800"/>
      <c r="WMT74" s="705"/>
      <c r="WMU74" s="799"/>
      <c r="WMV74" s="800"/>
      <c r="WMW74" s="800"/>
      <c r="WMX74" s="800"/>
      <c r="WMY74" s="800"/>
      <c r="WMZ74" s="800"/>
      <c r="WNA74" s="705"/>
      <c r="WNB74" s="799"/>
      <c r="WNC74" s="800"/>
      <c r="WND74" s="800"/>
      <c r="WNE74" s="800"/>
      <c r="WNF74" s="800"/>
      <c r="WNG74" s="800"/>
      <c r="WNH74" s="705"/>
      <c r="WNI74" s="799"/>
      <c r="WNJ74" s="800"/>
      <c r="WNK74" s="800"/>
      <c r="WNL74" s="800"/>
      <c r="WNM74" s="800"/>
      <c r="WNN74" s="800"/>
      <c r="WNO74" s="705"/>
      <c r="WNP74" s="799"/>
      <c r="WNQ74" s="800"/>
      <c r="WNR74" s="800"/>
      <c r="WNS74" s="800"/>
      <c r="WNT74" s="800"/>
      <c r="WNU74" s="800"/>
      <c r="WNV74" s="705"/>
      <c r="WNW74" s="799"/>
      <c r="WNX74" s="800"/>
      <c r="WNY74" s="800"/>
      <c r="WNZ74" s="800"/>
      <c r="WOA74" s="800"/>
      <c r="WOB74" s="800"/>
      <c r="WOC74" s="705"/>
      <c r="WOD74" s="799"/>
      <c r="WOE74" s="800"/>
      <c r="WOF74" s="800"/>
      <c r="WOG74" s="800"/>
      <c r="WOH74" s="800"/>
      <c r="WOI74" s="800"/>
      <c r="WOJ74" s="705"/>
      <c r="WOK74" s="799"/>
      <c r="WOL74" s="800"/>
      <c r="WOM74" s="800"/>
      <c r="WON74" s="800"/>
      <c r="WOO74" s="800"/>
      <c r="WOP74" s="800"/>
      <c r="WOQ74" s="705"/>
      <c r="WOR74" s="799"/>
      <c r="WOS74" s="800"/>
      <c r="WOT74" s="800"/>
      <c r="WOU74" s="800"/>
      <c r="WOV74" s="800"/>
      <c r="WOW74" s="800"/>
      <c r="WOX74" s="705"/>
      <c r="WOY74" s="799"/>
      <c r="WOZ74" s="800"/>
      <c r="WPA74" s="800"/>
      <c r="WPB74" s="800"/>
      <c r="WPC74" s="800"/>
      <c r="WPD74" s="800"/>
      <c r="WPE74" s="705"/>
      <c r="WPF74" s="799"/>
      <c r="WPG74" s="800"/>
      <c r="WPH74" s="800"/>
      <c r="WPI74" s="800"/>
      <c r="WPJ74" s="800"/>
      <c r="WPK74" s="800"/>
      <c r="WPL74" s="705"/>
      <c r="WPM74" s="799"/>
      <c r="WPN74" s="800"/>
      <c r="WPO74" s="800"/>
      <c r="WPP74" s="800"/>
      <c r="WPQ74" s="800"/>
      <c r="WPR74" s="800"/>
      <c r="WPS74" s="705"/>
      <c r="WPT74" s="799"/>
      <c r="WPU74" s="800"/>
      <c r="WPV74" s="800"/>
      <c r="WPW74" s="800"/>
      <c r="WPX74" s="800"/>
      <c r="WPY74" s="800"/>
      <c r="WPZ74" s="705"/>
      <c r="WQA74" s="799"/>
      <c r="WQB74" s="800"/>
      <c r="WQC74" s="800"/>
      <c r="WQD74" s="800"/>
      <c r="WQE74" s="800"/>
      <c r="WQF74" s="800"/>
      <c r="WQG74" s="705"/>
      <c r="WQH74" s="799"/>
      <c r="WQI74" s="800"/>
      <c r="WQJ74" s="800"/>
      <c r="WQK74" s="800"/>
      <c r="WQL74" s="800"/>
      <c r="WQM74" s="800"/>
      <c r="WQN74" s="705"/>
      <c r="WQO74" s="799"/>
      <c r="WQP74" s="800"/>
      <c r="WQQ74" s="800"/>
      <c r="WQR74" s="800"/>
      <c r="WQS74" s="800"/>
      <c r="WQT74" s="800"/>
      <c r="WQU74" s="705"/>
      <c r="WQV74" s="799"/>
      <c r="WQW74" s="800"/>
      <c r="WQX74" s="800"/>
      <c r="WQY74" s="800"/>
      <c r="WQZ74" s="800"/>
      <c r="WRA74" s="800"/>
      <c r="WRB74" s="705"/>
      <c r="WRC74" s="799"/>
      <c r="WRD74" s="800"/>
      <c r="WRE74" s="800"/>
      <c r="WRF74" s="800"/>
      <c r="WRG74" s="800"/>
      <c r="WRH74" s="800"/>
      <c r="WRI74" s="705"/>
      <c r="WRJ74" s="799"/>
      <c r="WRK74" s="800"/>
      <c r="WRL74" s="800"/>
      <c r="WRM74" s="800"/>
      <c r="WRN74" s="800"/>
      <c r="WRO74" s="800"/>
      <c r="WRP74" s="705"/>
      <c r="WRQ74" s="799"/>
      <c r="WRR74" s="800"/>
      <c r="WRS74" s="800"/>
      <c r="WRT74" s="800"/>
      <c r="WRU74" s="800"/>
      <c r="WRV74" s="800"/>
      <c r="WRW74" s="705"/>
      <c r="WRX74" s="799"/>
      <c r="WRY74" s="800"/>
      <c r="WRZ74" s="800"/>
      <c r="WSA74" s="800"/>
      <c r="WSB74" s="800"/>
      <c r="WSC74" s="800"/>
      <c r="WSD74" s="705"/>
      <c r="WSE74" s="799"/>
      <c r="WSF74" s="800"/>
      <c r="WSG74" s="800"/>
      <c r="WSH74" s="800"/>
      <c r="WSI74" s="800"/>
      <c r="WSJ74" s="800"/>
      <c r="WSK74" s="705"/>
      <c r="WSL74" s="799"/>
      <c r="WSM74" s="800"/>
      <c r="WSN74" s="800"/>
      <c r="WSO74" s="800"/>
      <c r="WSP74" s="800"/>
      <c r="WSQ74" s="800"/>
      <c r="WSR74" s="705"/>
      <c r="WSS74" s="799"/>
      <c r="WST74" s="800"/>
      <c r="WSU74" s="800"/>
      <c r="WSV74" s="800"/>
      <c r="WSW74" s="800"/>
      <c r="WSX74" s="800"/>
      <c r="WSY74" s="705"/>
      <c r="WSZ74" s="799"/>
      <c r="WTA74" s="800"/>
      <c r="WTB74" s="800"/>
      <c r="WTC74" s="800"/>
      <c r="WTD74" s="800"/>
      <c r="WTE74" s="800"/>
      <c r="WTF74" s="705"/>
      <c r="WTG74" s="799"/>
      <c r="WTH74" s="800"/>
      <c r="WTI74" s="800"/>
      <c r="WTJ74" s="800"/>
      <c r="WTK74" s="800"/>
      <c r="WTL74" s="800"/>
      <c r="WTM74" s="705"/>
      <c r="WTN74" s="799"/>
      <c r="WTO74" s="800"/>
      <c r="WTP74" s="800"/>
      <c r="WTQ74" s="800"/>
      <c r="WTR74" s="800"/>
      <c r="WTS74" s="800"/>
      <c r="WTT74" s="705"/>
      <c r="WTU74" s="799"/>
      <c r="WTV74" s="800"/>
      <c r="WTW74" s="800"/>
      <c r="WTX74" s="800"/>
      <c r="WTY74" s="800"/>
      <c r="WTZ74" s="800"/>
      <c r="WUA74" s="705"/>
      <c r="WUB74" s="799"/>
      <c r="WUC74" s="800"/>
      <c r="WUD74" s="800"/>
      <c r="WUE74" s="800"/>
      <c r="WUF74" s="800"/>
      <c r="WUG74" s="800"/>
      <c r="WUH74" s="705"/>
      <c r="WUI74" s="799"/>
      <c r="WUJ74" s="800"/>
      <c r="WUK74" s="800"/>
      <c r="WUL74" s="800"/>
      <c r="WUM74" s="800"/>
      <c r="WUN74" s="800"/>
      <c r="WUO74" s="705"/>
      <c r="WUP74" s="799"/>
      <c r="WUQ74" s="800"/>
      <c r="WUR74" s="800"/>
      <c r="WUS74" s="800"/>
      <c r="WUT74" s="800"/>
      <c r="WUU74" s="800"/>
      <c r="WUV74" s="705"/>
      <c r="WUW74" s="799"/>
      <c r="WUX74" s="800"/>
      <c r="WUY74" s="800"/>
      <c r="WUZ74" s="800"/>
      <c r="WVA74" s="800"/>
      <c r="WVB74" s="800"/>
      <c r="WVC74" s="705"/>
      <c r="WVD74" s="799"/>
      <c r="WVE74" s="800"/>
      <c r="WVF74" s="800"/>
      <c r="WVG74" s="800"/>
      <c r="WVH74" s="800"/>
      <c r="WVI74" s="800"/>
      <c r="WVJ74" s="705"/>
      <c r="WVK74" s="799"/>
      <c r="WVL74" s="800"/>
      <c r="WVM74" s="800"/>
      <c r="WVN74" s="800"/>
      <c r="WVO74" s="800"/>
      <c r="WVP74" s="800"/>
      <c r="WVQ74" s="705"/>
      <c r="WVR74" s="799"/>
      <c r="WVS74" s="800"/>
      <c r="WVT74" s="800"/>
      <c r="WVU74" s="800"/>
      <c r="WVV74" s="800"/>
      <c r="WVW74" s="800"/>
      <c r="WVX74" s="705"/>
      <c r="WVY74" s="799"/>
      <c r="WVZ74" s="800"/>
      <c r="WWA74" s="800"/>
      <c r="WWB74" s="800"/>
      <c r="WWC74" s="800"/>
      <c r="WWD74" s="800"/>
      <c r="WWE74" s="705"/>
      <c r="WWF74" s="799"/>
      <c r="WWG74" s="800"/>
      <c r="WWH74" s="800"/>
      <c r="WWI74" s="800"/>
      <c r="WWJ74" s="800"/>
      <c r="WWK74" s="800"/>
      <c r="WWL74" s="705"/>
      <c r="WWM74" s="799"/>
      <c r="WWN74" s="800"/>
      <c r="WWO74" s="800"/>
      <c r="WWP74" s="800"/>
      <c r="WWQ74" s="800"/>
      <c r="WWR74" s="800"/>
      <c r="WWS74" s="705"/>
      <c r="WWT74" s="799"/>
      <c r="WWU74" s="800"/>
      <c r="WWV74" s="800"/>
      <c r="WWW74" s="800"/>
      <c r="WWX74" s="800"/>
      <c r="WWY74" s="800"/>
      <c r="WWZ74" s="705"/>
      <c r="WXA74" s="799"/>
      <c r="WXB74" s="800"/>
      <c r="WXC74" s="800"/>
      <c r="WXD74" s="800"/>
      <c r="WXE74" s="800"/>
      <c r="WXF74" s="800"/>
      <c r="WXG74" s="705"/>
      <c r="WXH74" s="799"/>
      <c r="WXI74" s="800"/>
      <c r="WXJ74" s="800"/>
      <c r="WXK74" s="800"/>
      <c r="WXL74" s="800"/>
      <c r="WXM74" s="800"/>
      <c r="WXN74" s="705"/>
      <c r="WXO74" s="799"/>
      <c r="WXP74" s="800"/>
      <c r="WXQ74" s="800"/>
      <c r="WXR74" s="800"/>
      <c r="WXS74" s="800"/>
      <c r="WXT74" s="800"/>
      <c r="WXU74" s="705"/>
      <c r="WXV74" s="799"/>
      <c r="WXW74" s="800"/>
      <c r="WXX74" s="800"/>
      <c r="WXY74" s="800"/>
      <c r="WXZ74" s="800"/>
      <c r="WYA74" s="800"/>
      <c r="WYB74" s="705"/>
      <c r="WYC74" s="799"/>
      <c r="WYD74" s="800"/>
      <c r="WYE74" s="800"/>
      <c r="WYF74" s="800"/>
      <c r="WYG74" s="800"/>
      <c r="WYH74" s="800"/>
      <c r="WYI74" s="705"/>
      <c r="WYJ74" s="799"/>
      <c r="WYK74" s="800"/>
      <c r="WYL74" s="800"/>
      <c r="WYM74" s="800"/>
      <c r="WYN74" s="800"/>
      <c r="WYO74" s="800"/>
      <c r="WYP74" s="705"/>
      <c r="WYQ74" s="799"/>
      <c r="WYR74" s="800"/>
      <c r="WYS74" s="800"/>
      <c r="WYT74" s="800"/>
      <c r="WYU74" s="800"/>
      <c r="WYV74" s="800"/>
      <c r="WYW74" s="705"/>
      <c r="WYX74" s="799"/>
      <c r="WYY74" s="800"/>
      <c r="WYZ74" s="800"/>
      <c r="WZA74" s="800"/>
      <c r="WZB74" s="800"/>
      <c r="WZC74" s="800"/>
      <c r="WZD74" s="705"/>
      <c r="WZE74" s="799"/>
      <c r="WZF74" s="800"/>
      <c r="WZG74" s="800"/>
      <c r="WZH74" s="800"/>
      <c r="WZI74" s="800"/>
      <c r="WZJ74" s="800"/>
      <c r="WZK74" s="705"/>
      <c r="WZL74" s="799"/>
      <c r="WZM74" s="800"/>
      <c r="WZN74" s="800"/>
      <c r="WZO74" s="800"/>
      <c r="WZP74" s="800"/>
      <c r="WZQ74" s="800"/>
      <c r="WZR74" s="705"/>
      <c r="WZS74" s="799"/>
      <c r="WZT74" s="800"/>
      <c r="WZU74" s="800"/>
      <c r="WZV74" s="800"/>
      <c r="WZW74" s="800"/>
      <c r="WZX74" s="800"/>
      <c r="WZY74" s="705"/>
      <c r="WZZ74" s="799"/>
      <c r="XAA74" s="800"/>
      <c r="XAB74" s="800"/>
      <c r="XAC74" s="800"/>
      <c r="XAD74" s="800"/>
      <c r="XAE74" s="800"/>
      <c r="XAF74" s="705"/>
      <c r="XAG74" s="799"/>
      <c r="XAH74" s="800"/>
      <c r="XAI74" s="800"/>
      <c r="XAJ74" s="800"/>
      <c r="XAK74" s="800"/>
      <c r="XAL74" s="800"/>
      <c r="XAM74" s="705"/>
      <c r="XAN74" s="799"/>
      <c r="XAO74" s="800"/>
      <c r="XAP74" s="800"/>
      <c r="XAQ74" s="800"/>
      <c r="XAR74" s="800"/>
      <c r="XAS74" s="800"/>
      <c r="XAT74" s="705"/>
      <c r="XAU74" s="799"/>
      <c r="XAV74" s="800"/>
      <c r="XAW74" s="800"/>
      <c r="XAX74" s="800"/>
      <c r="XAY74" s="800"/>
      <c r="XAZ74" s="800"/>
      <c r="XBA74" s="705"/>
      <c r="XBB74" s="799"/>
      <c r="XBC74" s="800"/>
      <c r="XBD74" s="800"/>
      <c r="XBE74" s="800"/>
      <c r="XBF74" s="800"/>
      <c r="XBG74" s="800"/>
      <c r="XBH74" s="705"/>
      <c r="XBI74" s="799"/>
      <c r="XBJ74" s="800"/>
      <c r="XBK74" s="800"/>
      <c r="XBL74" s="800"/>
      <c r="XBM74" s="800"/>
      <c r="XBN74" s="800"/>
      <c r="XBO74" s="705"/>
      <c r="XBP74" s="799"/>
      <c r="XBQ74" s="800"/>
      <c r="XBR74" s="800"/>
      <c r="XBS74" s="800"/>
      <c r="XBT74" s="800"/>
      <c r="XBU74" s="800"/>
      <c r="XBV74" s="705"/>
      <c r="XBW74" s="799"/>
      <c r="XBX74" s="800"/>
      <c r="XBY74" s="800"/>
      <c r="XBZ74" s="800"/>
      <c r="XCA74" s="800"/>
      <c r="XCB74" s="800"/>
      <c r="XCC74" s="705"/>
      <c r="XCD74" s="799"/>
      <c r="XCE74" s="800"/>
      <c r="XCF74" s="800"/>
      <c r="XCG74" s="800"/>
      <c r="XCH74" s="800"/>
      <c r="XCI74" s="800"/>
      <c r="XCJ74" s="705"/>
      <c r="XCK74" s="799"/>
      <c r="XCL74" s="800"/>
      <c r="XCM74" s="800"/>
      <c r="XCN74" s="800"/>
      <c r="XCO74" s="800"/>
      <c r="XCP74" s="800"/>
      <c r="XCQ74" s="705"/>
      <c r="XCR74" s="799"/>
      <c r="XCS74" s="800"/>
      <c r="XCT74" s="800"/>
      <c r="XCU74" s="800"/>
      <c r="XCV74" s="800"/>
      <c r="XCW74" s="800"/>
      <c r="XCX74" s="705"/>
      <c r="XCY74" s="799"/>
      <c r="XCZ74" s="800"/>
      <c r="XDA74" s="800"/>
      <c r="XDB74" s="800"/>
      <c r="XDC74" s="800"/>
      <c r="XDD74" s="800"/>
      <c r="XDE74" s="705"/>
      <c r="XDF74" s="799"/>
      <c r="XDG74" s="800"/>
      <c r="XDH74" s="800"/>
      <c r="XDI74" s="800"/>
      <c r="XDJ74" s="800"/>
      <c r="XDK74" s="800"/>
      <c r="XDL74" s="705"/>
      <c r="XDM74" s="799"/>
      <c r="XDN74" s="800"/>
      <c r="XDO74" s="800"/>
      <c r="XDP74" s="800"/>
      <c r="XDQ74" s="800"/>
      <c r="XDR74" s="800"/>
      <c r="XDS74" s="705"/>
      <c r="XDT74" s="799"/>
      <c r="XDU74" s="800"/>
      <c r="XDV74" s="800"/>
      <c r="XDW74" s="800"/>
      <c r="XDX74" s="800"/>
      <c r="XDY74" s="800"/>
      <c r="XDZ74" s="705"/>
      <c r="XEA74" s="799"/>
      <c r="XEB74" s="800"/>
      <c r="XEC74" s="800"/>
      <c r="XED74" s="800"/>
      <c r="XEE74" s="800"/>
      <c r="XEF74" s="800"/>
      <c r="XEG74" s="705"/>
      <c r="XEH74" s="799"/>
      <c r="XEI74" s="800"/>
      <c r="XEJ74" s="800"/>
      <c r="XEK74" s="800"/>
      <c r="XEL74" s="800"/>
      <c r="XEM74" s="800"/>
      <c r="XEN74" s="705"/>
      <c r="XEO74" s="799"/>
      <c r="XEP74" s="800"/>
      <c r="XEQ74" s="800"/>
      <c r="XER74" s="800"/>
      <c r="XES74" s="800"/>
      <c r="XET74" s="800"/>
      <c r="XEU74" s="705"/>
      <c r="XEV74" s="799"/>
      <c r="XEW74" s="799"/>
      <c r="XEX74" s="799"/>
    </row>
    <row r="76" spans="1:16378" s="716" customFormat="1" ht="15" x14ac:dyDescent="0.25">
      <c r="A76" s="722" t="s">
        <v>1192</v>
      </c>
      <c r="D76" s="717"/>
      <c r="E76" s="710"/>
      <c r="F76" s="710"/>
      <c r="G76" s="710"/>
    </row>
    <row r="77" spans="1:16378" s="716" customFormat="1" ht="29.1" customHeight="1" x14ac:dyDescent="0.25">
      <c r="A77" s="705" t="s">
        <v>1243</v>
      </c>
      <c r="B77" s="799" t="s">
        <v>1257</v>
      </c>
      <c r="C77" s="800"/>
      <c r="D77" s="800"/>
      <c r="E77" s="800"/>
      <c r="F77" s="800"/>
      <c r="G77" s="800"/>
    </row>
    <row r="78" spans="1:16378" s="716" customFormat="1" ht="36" customHeight="1" x14ac:dyDescent="0.25">
      <c r="A78" s="705" t="s">
        <v>1244</v>
      </c>
      <c r="B78" s="799" t="s">
        <v>1258</v>
      </c>
      <c r="C78" s="800"/>
      <c r="D78" s="800"/>
      <c r="E78" s="800"/>
      <c r="F78" s="800"/>
      <c r="G78" s="800"/>
    </row>
    <row r="79" spans="1:16378" s="716" customFormat="1" ht="36" customHeight="1" x14ac:dyDescent="0.25">
      <c r="A79" s="705" t="s">
        <v>1245</v>
      </c>
      <c r="B79" s="799" t="s">
        <v>1259</v>
      </c>
      <c r="C79" s="800"/>
      <c r="D79" s="800"/>
      <c r="E79" s="800"/>
      <c r="F79" s="800"/>
      <c r="G79" s="800"/>
    </row>
    <row r="80" spans="1:16378" s="716" customFormat="1" ht="36" customHeight="1" x14ac:dyDescent="0.25">
      <c r="A80" s="723"/>
      <c r="B80" s="723"/>
      <c r="C80" s="724"/>
      <c r="D80" s="724"/>
      <c r="E80" s="724"/>
      <c r="F80" s="724"/>
      <c r="G80" s="724"/>
    </row>
    <row r="81" spans="1:8" s="716" customFormat="1" ht="15" x14ac:dyDescent="0.25">
      <c r="A81" s="722" t="s">
        <v>1193</v>
      </c>
      <c r="D81" s="717"/>
      <c r="E81" s="710"/>
      <c r="F81" s="710"/>
      <c r="G81" s="710"/>
    </row>
    <row r="82" spans="1:8" s="716" customFormat="1" ht="28.5" x14ac:dyDescent="0.25">
      <c r="A82" s="705" t="s">
        <v>1247</v>
      </c>
      <c r="B82" s="801" t="s">
        <v>1260</v>
      </c>
      <c r="C82" s="802"/>
      <c r="D82" s="802"/>
      <c r="E82" s="802"/>
      <c r="F82" s="802"/>
      <c r="G82" s="803"/>
    </row>
    <row r="83" spans="1:8" s="716" customFormat="1" ht="45.95" customHeight="1" x14ac:dyDescent="0.25">
      <c r="A83" s="705" t="s">
        <v>1246</v>
      </c>
      <c r="B83" s="801" t="s">
        <v>1341</v>
      </c>
      <c r="C83" s="802"/>
      <c r="D83" s="802"/>
      <c r="E83" s="802"/>
      <c r="F83" s="802"/>
      <c r="G83" s="803"/>
    </row>
    <row r="84" spans="1:8" s="716" customFormat="1" ht="59.1" customHeight="1" x14ac:dyDescent="0.25">
      <c r="A84" s="705" t="s">
        <v>1334</v>
      </c>
      <c r="B84" s="801" t="s">
        <v>1359</v>
      </c>
      <c r="C84" s="802"/>
      <c r="D84" s="802"/>
      <c r="E84" s="802"/>
      <c r="F84" s="802"/>
      <c r="G84" s="803"/>
    </row>
    <row r="85" spans="1:8" s="716" customFormat="1" ht="55.5" customHeight="1" x14ac:dyDescent="0.25">
      <c r="A85" s="705" t="s">
        <v>1248</v>
      </c>
      <c r="B85" s="801" t="s">
        <v>1360</v>
      </c>
      <c r="C85" s="802"/>
      <c r="D85" s="802"/>
      <c r="E85" s="802"/>
      <c r="F85" s="802"/>
      <c r="G85" s="803"/>
    </row>
    <row r="86" spans="1:8" s="716" customFormat="1" ht="72.599999999999994" customHeight="1" x14ac:dyDescent="0.25">
      <c r="A86" s="705" t="s">
        <v>1335</v>
      </c>
      <c r="B86" s="801" t="s">
        <v>1361</v>
      </c>
      <c r="C86" s="802"/>
      <c r="D86" s="802"/>
      <c r="E86" s="802"/>
      <c r="F86" s="802"/>
      <c r="G86" s="803"/>
    </row>
    <row r="87" spans="1:8" s="716" customFormat="1" ht="56.45" customHeight="1" x14ac:dyDescent="0.25">
      <c r="A87" s="705" t="s">
        <v>1338</v>
      </c>
      <c r="B87" s="801" t="s">
        <v>1362</v>
      </c>
      <c r="C87" s="802"/>
      <c r="D87" s="802"/>
      <c r="E87" s="802"/>
      <c r="F87" s="802"/>
      <c r="G87" s="803"/>
    </row>
    <row r="88" spans="1:8" s="716" customFormat="1" ht="55.5" customHeight="1" x14ac:dyDescent="0.25">
      <c r="A88" s="705" t="s">
        <v>1339</v>
      </c>
      <c r="B88" s="801" t="s">
        <v>1363</v>
      </c>
      <c r="C88" s="802"/>
      <c r="D88" s="802"/>
      <c r="E88" s="802"/>
      <c r="F88" s="802"/>
      <c r="G88" s="803"/>
    </row>
    <row r="89" spans="1:8" s="716" customFormat="1" ht="71.099999999999994" customHeight="1" x14ac:dyDescent="0.25">
      <c r="A89" s="705" t="s">
        <v>1340</v>
      </c>
      <c r="B89" s="809" t="s">
        <v>1336</v>
      </c>
      <c r="C89" s="810"/>
      <c r="D89" s="810"/>
      <c r="E89" s="810"/>
      <c r="F89" s="810"/>
      <c r="G89" s="811"/>
    </row>
    <row r="90" spans="1:8" s="716" customFormat="1" ht="99.6" customHeight="1" x14ac:dyDescent="0.25">
      <c r="A90" s="705" t="s">
        <v>1352</v>
      </c>
      <c r="B90" s="809" t="s">
        <v>1365</v>
      </c>
      <c r="C90" s="810"/>
      <c r="D90" s="810"/>
      <c r="E90" s="810"/>
      <c r="F90" s="810"/>
      <c r="G90" s="811"/>
    </row>
    <row r="91" spans="1:8" s="716" customFormat="1" ht="71.099999999999994" customHeight="1" x14ac:dyDescent="0.25">
      <c r="A91" s="705" t="s">
        <v>1351</v>
      </c>
      <c r="B91" s="809" t="s">
        <v>1364</v>
      </c>
      <c r="C91" s="810"/>
      <c r="D91" s="810"/>
      <c r="E91" s="810"/>
      <c r="F91" s="810"/>
      <c r="G91" s="811"/>
    </row>
    <row r="92" spans="1:8" s="716" customFormat="1" ht="60.6" customHeight="1" x14ac:dyDescent="0.25">
      <c r="A92" s="705" t="s">
        <v>1353</v>
      </c>
      <c r="B92" s="809" t="s">
        <v>1342</v>
      </c>
      <c r="C92" s="810"/>
      <c r="D92" s="810"/>
      <c r="E92" s="810"/>
      <c r="F92" s="810"/>
      <c r="G92" s="811"/>
    </row>
    <row r="93" spans="1:8" s="716" customFormat="1" ht="29.1" customHeight="1" x14ac:dyDescent="0.25">
      <c r="A93" s="705" t="s">
        <v>1343</v>
      </c>
      <c r="B93" s="801" t="s">
        <v>1194</v>
      </c>
      <c r="C93" s="802"/>
      <c r="D93" s="802"/>
      <c r="E93" s="802"/>
      <c r="F93" s="802"/>
      <c r="G93" s="803"/>
      <c r="H93" s="725"/>
    </row>
    <row r="94" spans="1:8" s="716" customFormat="1" x14ac:dyDescent="0.25">
      <c r="A94" s="705" t="s">
        <v>1346</v>
      </c>
      <c r="B94" s="801" t="s">
        <v>1195</v>
      </c>
      <c r="C94" s="802"/>
      <c r="D94" s="802"/>
      <c r="E94" s="802"/>
      <c r="F94" s="802"/>
      <c r="G94" s="803"/>
    </row>
    <row r="95" spans="1:8" s="716" customFormat="1" ht="14.45" customHeight="1" x14ac:dyDescent="0.25">
      <c r="A95" s="705" t="s">
        <v>1344</v>
      </c>
      <c r="B95" s="801" t="s">
        <v>1196</v>
      </c>
      <c r="C95" s="802"/>
      <c r="D95" s="802"/>
      <c r="E95" s="802"/>
      <c r="F95" s="802"/>
      <c r="G95" s="803"/>
    </row>
    <row r="96" spans="1:8" s="716" customFormat="1" x14ac:dyDescent="0.25">
      <c r="A96" s="705" t="s">
        <v>1345</v>
      </c>
      <c r="B96" s="806" t="s">
        <v>1197</v>
      </c>
      <c r="C96" s="807"/>
      <c r="D96" s="807"/>
      <c r="E96" s="807"/>
      <c r="F96" s="807"/>
      <c r="G96" s="808"/>
    </row>
    <row r="97" spans="1:7" s="716" customFormat="1" ht="30.95" customHeight="1" x14ac:dyDescent="0.25">
      <c r="A97" s="705" t="s">
        <v>1349</v>
      </c>
      <c r="B97" s="806" t="s">
        <v>1348</v>
      </c>
      <c r="C97" s="807"/>
      <c r="D97" s="807"/>
      <c r="E97" s="807"/>
      <c r="F97" s="807"/>
      <c r="G97" s="808"/>
    </row>
    <row r="98" spans="1:7" s="716" customFormat="1" ht="57.6" customHeight="1" x14ac:dyDescent="0.25">
      <c r="A98" s="705" t="s">
        <v>1355</v>
      </c>
      <c r="B98" s="806" t="s">
        <v>1347</v>
      </c>
      <c r="C98" s="807"/>
      <c r="D98" s="807"/>
      <c r="E98" s="807"/>
      <c r="F98" s="807"/>
      <c r="G98" s="808"/>
    </row>
    <row r="99" spans="1:7" s="716" customFormat="1" ht="33.6" customHeight="1" x14ac:dyDescent="0.25">
      <c r="A99" s="705" t="s">
        <v>1356</v>
      </c>
      <c r="B99" s="806" t="s">
        <v>1350</v>
      </c>
      <c r="C99" s="807"/>
      <c r="D99" s="807"/>
      <c r="E99" s="807"/>
      <c r="F99" s="807"/>
      <c r="G99" s="808"/>
    </row>
    <row r="100" spans="1:7" s="716" customFormat="1" ht="60.95" customHeight="1" x14ac:dyDescent="0.25">
      <c r="A100" s="705" t="s">
        <v>1357</v>
      </c>
      <c r="B100" s="806" t="s">
        <v>1354</v>
      </c>
      <c r="C100" s="807"/>
      <c r="D100" s="807"/>
      <c r="E100" s="807"/>
      <c r="F100" s="807"/>
      <c r="G100" s="808"/>
    </row>
    <row r="101" spans="1:7" s="716" customFormat="1" x14ac:dyDescent="0.25">
      <c r="A101" s="708" t="s">
        <v>1337</v>
      </c>
      <c r="B101" s="723"/>
      <c r="C101" s="723"/>
      <c r="D101" s="723"/>
      <c r="E101" s="723"/>
      <c r="F101" s="723"/>
      <c r="G101" s="723"/>
    </row>
    <row r="102" spans="1:7" s="716" customFormat="1" x14ac:dyDescent="0.25">
      <c r="A102" s="708"/>
      <c r="B102" s="723"/>
      <c r="C102" s="723"/>
      <c r="D102" s="723"/>
      <c r="E102" s="723"/>
      <c r="F102" s="723"/>
      <c r="G102" s="723"/>
    </row>
  </sheetData>
  <sheetProtection algorithmName="SHA-512" hashValue="iBJXYSWl0a72h66VQUdIZnr8Yvsp1wiOnWGX2NCwXoKemwLmOLxIVWqmRYHeljP/8fNLRV0AVlghlfqB8YaYRQ==" saltValue="bFNPONOw14DEgjz/+F7iJQ==" spinCount="100000" sheet="1" objects="1" scenarios="1"/>
  <mergeCells count="4758">
    <mergeCell ref="B84:G84"/>
    <mergeCell ref="B85:G85"/>
    <mergeCell ref="B86:G86"/>
    <mergeCell ref="B87:G87"/>
    <mergeCell ref="B88:G88"/>
    <mergeCell ref="B89:G89"/>
    <mergeCell ref="B92:G92"/>
    <mergeCell ref="B98:G98"/>
    <mergeCell ref="B97:G97"/>
    <mergeCell ref="B99:G99"/>
    <mergeCell ref="B90:G90"/>
    <mergeCell ref="B91:G91"/>
    <mergeCell ref="B100:G100"/>
    <mergeCell ref="B13:G13"/>
    <mergeCell ref="B12:G12"/>
    <mergeCell ref="B17:G17"/>
    <mergeCell ref="B18:G18"/>
    <mergeCell ref="B24:G24"/>
    <mergeCell ref="B94:G94"/>
    <mergeCell ref="B95:G95"/>
    <mergeCell ref="B96:G96"/>
    <mergeCell ref="B82:G82"/>
    <mergeCell ref="B93:G93"/>
    <mergeCell ref="B62:G62"/>
    <mergeCell ref="B63:G63"/>
    <mergeCell ref="B64:G64"/>
    <mergeCell ref="B65:G65"/>
    <mergeCell ref="B66:G66"/>
    <mergeCell ref="B69:G69"/>
    <mergeCell ref="B55:G55"/>
    <mergeCell ref="B58:G58"/>
    <mergeCell ref="B59:G59"/>
    <mergeCell ref="XEH74:XEM74"/>
    <mergeCell ref="XEO74:XET74"/>
    <mergeCell ref="XEV74:XEX74"/>
    <mergeCell ref="XCR74:XCW74"/>
    <mergeCell ref="XCY74:XDD74"/>
    <mergeCell ref="XDF74:XDK74"/>
    <mergeCell ref="XDM74:XDR74"/>
    <mergeCell ref="XDT74:XDY74"/>
    <mergeCell ref="XEA74:XEF74"/>
    <mergeCell ref="XBB74:XBG74"/>
    <mergeCell ref="XBI74:XBN74"/>
    <mergeCell ref="XBP74:XBU74"/>
    <mergeCell ref="XBW74:XCB74"/>
    <mergeCell ref="XCD74:XCI74"/>
    <mergeCell ref="XCK74:XCP74"/>
    <mergeCell ref="WZL74:WZQ74"/>
    <mergeCell ref="WZS74:WZX74"/>
    <mergeCell ref="WZZ74:XAE74"/>
    <mergeCell ref="XAG74:XAL74"/>
    <mergeCell ref="XAN74:XAS74"/>
    <mergeCell ref="XAU74:XAZ74"/>
    <mergeCell ref="WYJ74:WYO74"/>
    <mergeCell ref="WYQ74:WYV74"/>
    <mergeCell ref="WYX74:WZC74"/>
    <mergeCell ref="WZE74:WZJ74"/>
    <mergeCell ref="WWF74:WWK74"/>
    <mergeCell ref="WWM74:WWR74"/>
    <mergeCell ref="WWT74:WWY74"/>
    <mergeCell ref="WXA74:WXF74"/>
    <mergeCell ref="WXH74:WXM74"/>
    <mergeCell ref="WXO74:WXT74"/>
    <mergeCell ref="WUP74:WUU74"/>
    <mergeCell ref="WUW74:WVB74"/>
    <mergeCell ref="WVD74:WVI74"/>
    <mergeCell ref="WVK74:WVP74"/>
    <mergeCell ref="WVR74:WVW74"/>
    <mergeCell ref="WVY74:WWD74"/>
    <mergeCell ref="WSZ74:WTE74"/>
    <mergeCell ref="WTG74:WTL74"/>
    <mergeCell ref="WTN74:WTS74"/>
    <mergeCell ref="WTU74:WTZ74"/>
    <mergeCell ref="WUB74:WUG74"/>
    <mergeCell ref="WUI74:WUN74"/>
    <mergeCell ref="WXV74:WYA74"/>
    <mergeCell ref="WYC74:WYH74"/>
    <mergeCell ref="WRJ74:WRO74"/>
    <mergeCell ref="WRQ74:WRV74"/>
    <mergeCell ref="WRX74:WSC74"/>
    <mergeCell ref="WSE74:WSJ74"/>
    <mergeCell ref="WSL74:WSQ74"/>
    <mergeCell ref="WSS74:WSX74"/>
    <mergeCell ref="WPT74:WPY74"/>
    <mergeCell ref="WQA74:WQF74"/>
    <mergeCell ref="WQH74:WQM74"/>
    <mergeCell ref="WQO74:WQT74"/>
    <mergeCell ref="WQV74:WRA74"/>
    <mergeCell ref="WRC74:WRH74"/>
    <mergeCell ref="WOD74:WOI74"/>
    <mergeCell ref="WOK74:WOP74"/>
    <mergeCell ref="WOR74:WOW74"/>
    <mergeCell ref="WOY74:WPD74"/>
    <mergeCell ref="WPF74:WPK74"/>
    <mergeCell ref="WPM74:WPR74"/>
    <mergeCell ref="WMN74:WMS74"/>
    <mergeCell ref="WMU74:WMZ74"/>
    <mergeCell ref="WNB74:WNG74"/>
    <mergeCell ref="WNI74:WNN74"/>
    <mergeCell ref="WNP74:WNU74"/>
    <mergeCell ref="WNW74:WOB74"/>
    <mergeCell ref="WKX74:WLC74"/>
    <mergeCell ref="WLE74:WLJ74"/>
    <mergeCell ref="WLL74:WLQ74"/>
    <mergeCell ref="WLS74:WLX74"/>
    <mergeCell ref="WLZ74:WME74"/>
    <mergeCell ref="WMG74:WML74"/>
    <mergeCell ref="WJH74:WJM74"/>
    <mergeCell ref="WJO74:WJT74"/>
    <mergeCell ref="WJV74:WKA74"/>
    <mergeCell ref="WKC74:WKH74"/>
    <mergeCell ref="WKJ74:WKO74"/>
    <mergeCell ref="WKQ74:WKV74"/>
    <mergeCell ref="WHR74:WHW74"/>
    <mergeCell ref="WHY74:WID74"/>
    <mergeCell ref="WIF74:WIK74"/>
    <mergeCell ref="WIM74:WIR74"/>
    <mergeCell ref="WIT74:WIY74"/>
    <mergeCell ref="WJA74:WJF74"/>
    <mergeCell ref="WGB74:WGG74"/>
    <mergeCell ref="WGI74:WGN74"/>
    <mergeCell ref="WGP74:WGU74"/>
    <mergeCell ref="WGW74:WHB74"/>
    <mergeCell ref="WHD74:WHI74"/>
    <mergeCell ref="WHK74:WHP74"/>
    <mergeCell ref="WEL74:WEQ74"/>
    <mergeCell ref="WES74:WEX74"/>
    <mergeCell ref="WEZ74:WFE74"/>
    <mergeCell ref="WFG74:WFL74"/>
    <mergeCell ref="WFN74:WFS74"/>
    <mergeCell ref="WFU74:WFZ74"/>
    <mergeCell ref="WCV74:WDA74"/>
    <mergeCell ref="WDC74:WDH74"/>
    <mergeCell ref="WDJ74:WDO74"/>
    <mergeCell ref="WDQ74:WDV74"/>
    <mergeCell ref="WDX74:WEC74"/>
    <mergeCell ref="WEE74:WEJ74"/>
    <mergeCell ref="WBF74:WBK74"/>
    <mergeCell ref="WBM74:WBR74"/>
    <mergeCell ref="WBT74:WBY74"/>
    <mergeCell ref="WCA74:WCF74"/>
    <mergeCell ref="WCH74:WCM74"/>
    <mergeCell ref="WCO74:WCT74"/>
    <mergeCell ref="VZP74:VZU74"/>
    <mergeCell ref="VZW74:WAB74"/>
    <mergeCell ref="WAD74:WAI74"/>
    <mergeCell ref="WAK74:WAP74"/>
    <mergeCell ref="WAR74:WAW74"/>
    <mergeCell ref="WAY74:WBD74"/>
    <mergeCell ref="VXZ74:VYE74"/>
    <mergeCell ref="VYG74:VYL74"/>
    <mergeCell ref="VYN74:VYS74"/>
    <mergeCell ref="VYU74:VYZ74"/>
    <mergeCell ref="VZB74:VZG74"/>
    <mergeCell ref="VZI74:VZN74"/>
    <mergeCell ref="VWJ74:VWO74"/>
    <mergeCell ref="VWQ74:VWV74"/>
    <mergeCell ref="VWX74:VXC74"/>
    <mergeCell ref="VXE74:VXJ74"/>
    <mergeCell ref="VXL74:VXQ74"/>
    <mergeCell ref="VXS74:VXX74"/>
    <mergeCell ref="VUT74:VUY74"/>
    <mergeCell ref="VVA74:VVF74"/>
    <mergeCell ref="VVH74:VVM74"/>
    <mergeCell ref="VVO74:VVT74"/>
    <mergeCell ref="VVV74:VWA74"/>
    <mergeCell ref="VWC74:VWH74"/>
    <mergeCell ref="VTD74:VTI74"/>
    <mergeCell ref="VTK74:VTP74"/>
    <mergeCell ref="VTR74:VTW74"/>
    <mergeCell ref="VTY74:VUD74"/>
    <mergeCell ref="VUF74:VUK74"/>
    <mergeCell ref="VUM74:VUR74"/>
    <mergeCell ref="VRN74:VRS74"/>
    <mergeCell ref="VRU74:VRZ74"/>
    <mergeCell ref="VSB74:VSG74"/>
    <mergeCell ref="VSI74:VSN74"/>
    <mergeCell ref="VSP74:VSU74"/>
    <mergeCell ref="VSW74:VTB74"/>
    <mergeCell ref="VPX74:VQC74"/>
    <mergeCell ref="VQE74:VQJ74"/>
    <mergeCell ref="VQL74:VQQ74"/>
    <mergeCell ref="VQS74:VQX74"/>
    <mergeCell ref="VQZ74:VRE74"/>
    <mergeCell ref="VRG74:VRL74"/>
    <mergeCell ref="VOH74:VOM74"/>
    <mergeCell ref="VOO74:VOT74"/>
    <mergeCell ref="VOV74:VPA74"/>
    <mergeCell ref="VPC74:VPH74"/>
    <mergeCell ref="VPJ74:VPO74"/>
    <mergeCell ref="VPQ74:VPV74"/>
    <mergeCell ref="VMR74:VMW74"/>
    <mergeCell ref="VMY74:VND74"/>
    <mergeCell ref="VNF74:VNK74"/>
    <mergeCell ref="VNM74:VNR74"/>
    <mergeCell ref="VNT74:VNY74"/>
    <mergeCell ref="VOA74:VOF74"/>
    <mergeCell ref="VLB74:VLG74"/>
    <mergeCell ref="VLI74:VLN74"/>
    <mergeCell ref="VLP74:VLU74"/>
    <mergeCell ref="VLW74:VMB74"/>
    <mergeCell ref="VMD74:VMI74"/>
    <mergeCell ref="VMK74:VMP74"/>
    <mergeCell ref="VJL74:VJQ74"/>
    <mergeCell ref="VJS74:VJX74"/>
    <mergeCell ref="VJZ74:VKE74"/>
    <mergeCell ref="VKG74:VKL74"/>
    <mergeCell ref="VKN74:VKS74"/>
    <mergeCell ref="VKU74:VKZ74"/>
    <mergeCell ref="VHV74:VIA74"/>
    <mergeCell ref="VIC74:VIH74"/>
    <mergeCell ref="VIJ74:VIO74"/>
    <mergeCell ref="VIQ74:VIV74"/>
    <mergeCell ref="VIX74:VJC74"/>
    <mergeCell ref="VJE74:VJJ74"/>
    <mergeCell ref="VGF74:VGK74"/>
    <mergeCell ref="VGM74:VGR74"/>
    <mergeCell ref="VGT74:VGY74"/>
    <mergeCell ref="VHA74:VHF74"/>
    <mergeCell ref="VHH74:VHM74"/>
    <mergeCell ref="VHO74:VHT74"/>
    <mergeCell ref="VEP74:VEU74"/>
    <mergeCell ref="VEW74:VFB74"/>
    <mergeCell ref="VFD74:VFI74"/>
    <mergeCell ref="VFK74:VFP74"/>
    <mergeCell ref="VFR74:VFW74"/>
    <mergeCell ref="VFY74:VGD74"/>
    <mergeCell ref="VCZ74:VDE74"/>
    <mergeCell ref="VDG74:VDL74"/>
    <mergeCell ref="VDN74:VDS74"/>
    <mergeCell ref="VDU74:VDZ74"/>
    <mergeCell ref="VEB74:VEG74"/>
    <mergeCell ref="VEI74:VEN74"/>
    <mergeCell ref="VBJ74:VBO74"/>
    <mergeCell ref="VBQ74:VBV74"/>
    <mergeCell ref="VBX74:VCC74"/>
    <mergeCell ref="VCE74:VCJ74"/>
    <mergeCell ref="VCL74:VCQ74"/>
    <mergeCell ref="VCS74:VCX74"/>
    <mergeCell ref="UZT74:UZY74"/>
    <mergeCell ref="VAA74:VAF74"/>
    <mergeCell ref="VAH74:VAM74"/>
    <mergeCell ref="VAO74:VAT74"/>
    <mergeCell ref="VAV74:VBA74"/>
    <mergeCell ref="VBC74:VBH74"/>
    <mergeCell ref="UYD74:UYI74"/>
    <mergeCell ref="UYK74:UYP74"/>
    <mergeCell ref="UYR74:UYW74"/>
    <mergeCell ref="UYY74:UZD74"/>
    <mergeCell ref="UZF74:UZK74"/>
    <mergeCell ref="UZM74:UZR74"/>
    <mergeCell ref="UWN74:UWS74"/>
    <mergeCell ref="UWU74:UWZ74"/>
    <mergeCell ref="UXB74:UXG74"/>
    <mergeCell ref="UXI74:UXN74"/>
    <mergeCell ref="UXP74:UXU74"/>
    <mergeCell ref="UXW74:UYB74"/>
    <mergeCell ref="UUX74:UVC74"/>
    <mergeCell ref="UVE74:UVJ74"/>
    <mergeCell ref="UVL74:UVQ74"/>
    <mergeCell ref="UVS74:UVX74"/>
    <mergeCell ref="UVZ74:UWE74"/>
    <mergeCell ref="UWG74:UWL74"/>
    <mergeCell ref="UTH74:UTM74"/>
    <mergeCell ref="UTO74:UTT74"/>
    <mergeCell ref="UTV74:UUA74"/>
    <mergeCell ref="UUC74:UUH74"/>
    <mergeCell ref="UUJ74:UUO74"/>
    <mergeCell ref="UUQ74:UUV74"/>
    <mergeCell ref="URR74:URW74"/>
    <mergeCell ref="URY74:USD74"/>
    <mergeCell ref="USF74:USK74"/>
    <mergeCell ref="USM74:USR74"/>
    <mergeCell ref="UST74:USY74"/>
    <mergeCell ref="UTA74:UTF74"/>
    <mergeCell ref="UQB74:UQG74"/>
    <mergeCell ref="UQI74:UQN74"/>
    <mergeCell ref="UQP74:UQU74"/>
    <mergeCell ref="UQW74:URB74"/>
    <mergeCell ref="URD74:URI74"/>
    <mergeCell ref="URK74:URP74"/>
    <mergeCell ref="UOL74:UOQ74"/>
    <mergeCell ref="UOS74:UOX74"/>
    <mergeCell ref="UOZ74:UPE74"/>
    <mergeCell ref="UPG74:UPL74"/>
    <mergeCell ref="UPN74:UPS74"/>
    <mergeCell ref="UPU74:UPZ74"/>
    <mergeCell ref="UMV74:UNA74"/>
    <mergeCell ref="UNC74:UNH74"/>
    <mergeCell ref="UNJ74:UNO74"/>
    <mergeCell ref="UNQ74:UNV74"/>
    <mergeCell ref="UNX74:UOC74"/>
    <mergeCell ref="UOE74:UOJ74"/>
    <mergeCell ref="ULF74:ULK74"/>
    <mergeCell ref="ULM74:ULR74"/>
    <mergeCell ref="ULT74:ULY74"/>
    <mergeCell ref="UMA74:UMF74"/>
    <mergeCell ref="UMH74:UMM74"/>
    <mergeCell ref="UMO74:UMT74"/>
    <mergeCell ref="UJP74:UJU74"/>
    <mergeCell ref="UJW74:UKB74"/>
    <mergeCell ref="UKD74:UKI74"/>
    <mergeCell ref="UKK74:UKP74"/>
    <mergeCell ref="UKR74:UKW74"/>
    <mergeCell ref="UKY74:ULD74"/>
    <mergeCell ref="UHZ74:UIE74"/>
    <mergeCell ref="UIG74:UIL74"/>
    <mergeCell ref="UIN74:UIS74"/>
    <mergeCell ref="UIU74:UIZ74"/>
    <mergeCell ref="UJB74:UJG74"/>
    <mergeCell ref="UJI74:UJN74"/>
    <mergeCell ref="UGJ74:UGO74"/>
    <mergeCell ref="UGQ74:UGV74"/>
    <mergeCell ref="UGX74:UHC74"/>
    <mergeCell ref="UHE74:UHJ74"/>
    <mergeCell ref="UHL74:UHQ74"/>
    <mergeCell ref="UHS74:UHX74"/>
    <mergeCell ref="UET74:UEY74"/>
    <mergeCell ref="UFA74:UFF74"/>
    <mergeCell ref="UFH74:UFM74"/>
    <mergeCell ref="UFO74:UFT74"/>
    <mergeCell ref="UFV74:UGA74"/>
    <mergeCell ref="UGC74:UGH74"/>
    <mergeCell ref="UDD74:UDI74"/>
    <mergeCell ref="UDK74:UDP74"/>
    <mergeCell ref="UDR74:UDW74"/>
    <mergeCell ref="UDY74:UED74"/>
    <mergeCell ref="UEF74:UEK74"/>
    <mergeCell ref="UEM74:UER74"/>
    <mergeCell ref="UBN74:UBS74"/>
    <mergeCell ref="UBU74:UBZ74"/>
    <mergeCell ref="UCB74:UCG74"/>
    <mergeCell ref="UCI74:UCN74"/>
    <mergeCell ref="UCP74:UCU74"/>
    <mergeCell ref="UCW74:UDB74"/>
    <mergeCell ref="TZX74:UAC74"/>
    <mergeCell ref="UAE74:UAJ74"/>
    <mergeCell ref="UAL74:UAQ74"/>
    <mergeCell ref="UAS74:UAX74"/>
    <mergeCell ref="UAZ74:UBE74"/>
    <mergeCell ref="UBG74:UBL74"/>
    <mergeCell ref="TYH74:TYM74"/>
    <mergeCell ref="TYO74:TYT74"/>
    <mergeCell ref="TYV74:TZA74"/>
    <mergeCell ref="TZC74:TZH74"/>
    <mergeCell ref="TZJ74:TZO74"/>
    <mergeCell ref="TZQ74:TZV74"/>
    <mergeCell ref="TWR74:TWW74"/>
    <mergeCell ref="TWY74:TXD74"/>
    <mergeCell ref="TXF74:TXK74"/>
    <mergeCell ref="TXM74:TXR74"/>
    <mergeCell ref="TXT74:TXY74"/>
    <mergeCell ref="TYA74:TYF74"/>
    <mergeCell ref="TVB74:TVG74"/>
    <mergeCell ref="TVI74:TVN74"/>
    <mergeCell ref="TVP74:TVU74"/>
    <mergeCell ref="TVW74:TWB74"/>
    <mergeCell ref="TWD74:TWI74"/>
    <mergeCell ref="TWK74:TWP74"/>
    <mergeCell ref="TTL74:TTQ74"/>
    <mergeCell ref="TTS74:TTX74"/>
    <mergeCell ref="TTZ74:TUE74"/>
    <mergeCell ref="TUG74:TUL74"/>
    <mergeCell ref="TUN74:TUS74"/>
    <mergeCell ref="TUU74:TUZ74"/>
    <mergeCell ref="TRV74:TSA74"/>
    <mergeCell ref="TSC74:TSH74"/>
    <mergeCell ref="TSJ74:TSO74"/>
    <mergeCell ref="TSQ74:TSV74"/>
    <mergeCell ref="TSX74:TTC74"/>
    <mergeCell ref="TTE74:TTJ74"/>
    <mergeCell ref="TQF74:TQK74"/>
    <mergeCell ref="TQM74:TQR74"/>
    <mergeCell ref="TQT74:TQY74"/>
    <mergeCell ref="TRA74:TRF74"/>
    <mergeCell ref="TRH74:TRM74"/>
    <mergeCell ref="TRO74:TRT74"/>
    <mergeCell ref="TOP74:TOU74"/>
    <mergeCell ref="TOW74:TPB74"/>
    <mergeCell ref="TPD74:TPI74"/>
    <mergeCell ref="TPK74:TPP74"/>
    <mergeCell ref="TPR74:TPW74"/>
    <mergeCell ref="TPY74:TQD74"/>
    <mergeCell ref="TMZ74:TNE74"/>
    <mergeCell ref="TNG74:TNL74"/>
    <mergeCell ref="TNN74:TNS74"/>
    <mergeCell ref="TNU74:TNZ74"/>
    <mergeCell ref="TOB74:TOG74"/>
    <mergeCell ref="TOI74:TON74"/>
    <mergeCell ref="TLJ74:TLO74"/>
    <mergeCell ref="TLQ74:TLV74"/>
    <mergeCell ref="TLX74:TMC74"/>
    <mergeCell ref="TME74:TMJ74"/>
    <mergeCell ref="TML74:TMQ74"/>
    <mergeCell ref="TMS74:TMX74"/>
    <mergeCell ref="TJT74:TJY74"/>
    <mergeCell ref="TKA74:TKF74"/>
    <mergeCell ref="TKH74:TKM74"/>
    <mergeCell ref="TKO74:TKT74"/>
    <mergeCell ref="TKV74:TLA74"/>
    <mergeCell ref="TLC74:TLH74"/>
    <mergeCell ref="TID74:TII74"/>
    <mergeCell ref="TIK74:TIP74"/>
    <mergeCell ref="TIR74:TIW74"/>
    <mergeCell ref="TIY74:TJD74"/>
    <mergeCell ref="TJF74:TJK74"/>
    <mergeCell ref="TJM74:TJR74"/>
    <mergeCell ref="TGN74:TGS74"/>
    <mergeCell ref="TGU74:TGZ74"/>
    <mergeCell ref="THB74:THG74"/>
    <mergeCell ref="THI74:THN74"/>
    <mergeCell ref="THP74:THU74"/>
    <mergeCell ref="THW74:TIB74"/>
    <mergeCell ref="TEX74:TFC74"/>
    <mergeCell ref="TFE74:TFJ74"/>
    <mergeCell ref="TFL74:TFQ74"/>
    <mergeCell ref="TFS74:TFX74"/>
    <mergeCell ref="TFZ74:TGE74"/>
    <mergeCell ref="TGG74:TGL74"/>
    <mergeCell ref="TDH74:TDM74"/>
    <mergeCell ref="TDO74:TDT74"/>
    <mergeCell ref="TDV74:TEA74"/>
    <mergeCell ref="TEC74:TEH74"/>
    <mergeCell ref="TEJ74:TEO74"/>
    <mergeCell ref="TEQ74:TEV74"/>
    <mergeCell ref="TBR74:TBW74"/>
    <mergeCell ref="TBY74:TCD74"/>
    <mergeCell ref="TCF74:TCK74"/>
    <mergeCell ref="TCM74:TCR74"/>
    <mergeCell ref="TCT74:TCY74"/>
    <mergeCell ref="TDA74:TDF74"/>
    <mergeCell ref="TAB74:TAG74"/>
    <mergeCell ref="TAI74:TAN74"/>
    <mergeCell ref="TAP74:TAU74"/>
    <mergeCell ref="TAW74:TBB74"/>
    <mergeCell ref="TBD74:TBI74"/>
    <mergeCell ref="TBK74:TBP74"/>
    <mergeCell ref="SYL74:SYQ74"/>
    <mergeCell ref="SYS74:SYX74"/>
    <mergeCell ref="SYZ74:SZE74"/>
    <mergeCell ref="SZG74:SZL74"/>
    <mergeCell ref="SZN74:SZS74"/>
    <mergeCell ref="SZU74:SZZ74"/>
    <mergeCell ref="SWV74:SXA74"/>
    <mergeCell ref="SXC74:SXH74"/>
    <mergeCell ref="SXJ74:SXO74"/>
    <mergeCell ref="SXQ74:SXV74"/>
    <mergeCell ref="SXX74:SYC74"/>
    <mergeCell ref="SYE74:SYJ74"/>
    <mergeCell ref="SVF74:SVK74"/>
    <mergeCell ref="SVM74:SVR74"/>
    <mergeCell ref="SVT74:SVY74"/>
    <mergeCell ref="SWA74:SWF74"/>
    <mergeCell ref="SWH74:SWM74"/>
    <mergeCell ref="SWO74:SWT74"/>
    <mergeCell ref="STP74:STU74"/>
    <mergeCell ref="STW74:SUB74"/>
    <mergeCell ref="SUD74:SUI74"/>
    <mergeCell ref="SUK74:SUP74"/>
    <mergeCell ref="SUR74:SUW74"/>
    <mergeCell ref="SUY74:SVD74"/>
    <mergeCell ref="SRZ74:SSE74"/>
    <mergeCell ref="SSG74:SSL74"/>
    <mergeCell ref="SSN74:SSS74"/>
    <mergeCell ref="SSU74:SSZ74"/>
    <mergeCell ref="STB74:STG74"/>
    <mergeCell ref="STI74:STN74"/>
    <mergeCell ref="SQJ74:SQO74"/>
    <mergeCell ref="SQQ74:SQV74"/>
    <mergeCell ref="SQX74:SRC74"/>
    <mergeCell ref="SRE74:SRJ74"/>
    <mergeCell ref="SRL74:SRQ74"/>
    <mergeCell ref="SRS74:SRX74"/>
    <mergeCell ref="SOT74:SOY74"/>
    <mergeCell ref="SPA74:SPF74"/>
    <mergeCell ref="SPH74:SPM74"/>
    <mergeCell ref="SPO74:SPT74"/>
    <mergeCell ref="SPV74:SQA74"/>
    <mergeCell ref="SQC74:SQH74"/>
    <mergeCell ref="SND74:SNI74"/>
    <mergeCell ref="SNK74:SNP74"/>
    <mergeCell ref="SNR74:SNW74"/>
    <mergeCell ref="SNY74:SOD74"/>
    <mergeCell ref="SOF74:SOK74"/>
    <mergeCell ref="SOM74:SOR74"/>
    <mergeCell ref="SLN74:SLS74"/>
    <mergeCell ref="SLU74:SLZ74"/>
    <mergeCell ref="SMB74:SMG74"/>
    <mergeCell ref="SMI74:SMN74"/>
    <mergeCell ref="SMP74:SMU74"/>
    <mergeCell ref="SMW74:SNB74"/>
    <mergeCell ref="SJX74:SKC74"/>
    <mergeCell ref="SKE74:SKJ74"/>
    <mergeCell ref="SKL74:SKQ74"/>
    <mergeCell ref="SKS74:SKX74"/>
    <mergeCell ref="SKZ74:SLE74"/>
    <mergeCell ref="SLG74:SLL74"/>
    <mergeCell ref="SIH74:SIM74"/>
    <mergeCell ref="SIO74:SIT74"/>
    <mergeCell ref="SIV74:SJA74"/>
    <mergeCell ref="SJC74:SJH74"/>
    <mergeCell ref="SJJ74:SJO74"/>
    <mergeCell ref="SJQ74:SJV74"/>
    <mergeCell ref="SGR74:SGW74"/>
    <mergeCell ref="SGY74:SHD74"/>
    <mergeCell ref="SHF74:SHK74"/>
    <mergeCell ref="SHM74:SHR74"/>
    <mergeCell ref="SHT74:SHY74"/>
    <mergeCell ref="SIA74:SIF74"/>
    <mergeCell ref="SFB74:SFG74"/>
    <mergeCell ref="SFI74:SFN74"/>
    <mergeCell ref="SFP74:SFU74"/>
    <mergeCell ref="SFW74:SGB74"/>
    <mergeCell ref="SGD74:SGI74"/>
    <mergeCell ref="SGK74:SGP74"/>
    <mergeCell ref="SDL74:SDQ74"/>
    <mergeCell ref="SDS74:SDX74"/>
    <mergeCell ref="SDZ74:SEE74"/>
    <mergeCell ref="SEG74:SEL74"/>
    <mergeCell ref="SEN74:SES74"/>
    <mergeCell ref="SEU74:SEZ74"/>
    <mergeCell ref="SBV74:SCA74"/>
    <mergeCell ref="SCC74:SCH74"/>
    <mergeCell ref="SCJ74:SCO74"/>
    <mergeCell ref="SCQ74:SCV74"/>
    <mergeCell ref="SCX74:SDC74"/>
    <mergeCell ref="SDE74:SDJ74"/>
    <mergeCell ref="SAF74:SAK74"/>
    <mergeCell ref="SAM74:SAR74"/>
    <mergeCell ref="SAT74:SAY74"/>
    <mergeCell ref="SBA74:SBF74"/>
    <mergeCell ref="SBH74:SBM74"/>
    <mergeCell ref="SBO74:SBT74"/>
    <mergeCell ref="RYP74:RYU74"/>
    <mergeCell ref="RYW74:RZB74"/>
    <mergeCell ref="RZD74:RZI74"/>
    <mergeCell ref="RZK74:RZP74"/>
    <mergeCell ref="RZR74:RZW74"/>
    <mergeCell ref="RZY74:SAD74"/>
    <mergeCell ref="RWZ74:RXE74"/>
    <mergeCell ref="RXG74:RXL74"/>
    <mergeCell ref="RXN74:RXS74"/>
    <mergeCell ref="RXU74:RXZ74"/>
    <mergeCell ref="RYB74:RYG74"/>
    <mergeCell ref="RYI74:RYN74"/>
    <mergeCell ref="RVJ74:RVO74"/>
    <mergeCell ref="RVQ74:RVV74"/>
    <mergeCell ref="RVX74:RWC74"/>
    <mergeCell ref="RWE74:RWJ74"/>
    <mergeCell ref="RWL74:RWQ74"/>
    <mergeCell ref="RWS74:RWX74"/>
    <mergeCell ref="RTT74:RTY74"/>
    <mergeCell ref="RUA74:RUF74"/>
    <mergeCell ref="RUH74:RUM74"/>
    <mergeCell ref="RUO74:RUT74"/>
    <mergeCell ref="RUV74:RVA74"/>
    <mergeCell ref="RVC74:RVH74"/>
    <mergeCell ref="RSD74:RSI74"/>
    <mergeCell ref="RSK74:RSP74"/>
    <mergeCell ref="RSR74:RSW74"/>
    <mergeCell ref="RSY74:RTD74"/>
    <mergeCell ref="RTF74:RTK74"/>
    <mergeCell ref="RTM74:RTR74"/>
    <mergeCell ref="RQN74:RQS74"/>
    <mergeCell ref="RQU74:RQZ74"/>
    <mergeCell ref="RRB74:RRG74"/>
    <mergeCell ref="RRI74:RRN74"/>
    <mergeCell ref="RRP74:RRU74"/>
    <mergeCell ref="RRW74:RSB74"/>
    <mergeCell ref="ROX74:RPC74"/>
    <mergeCell ref="RPE74:RPJ74"/>
    <mergeCell ref="RPL74:RPQ74"/>
    <mergeCell ref="RPS74:RPX74"/>
    <mergeCell ref="RPZ74:RQE74"/>
    <mergeCell ref="RQG74:RQL74"/>
    <mergeCell ref="RNH74:RNM74"/>
    <mergeCell ref="RNO74:RNT74"/>
    <mergeCell ref="RNV74:ROA74"/>
    <mergeCell ref="ROC74:ROH74"/>
    <mergeCell ref="ROJ74:ROO74"/>
    <mergeCell ref="ROQ74:ROV74"/>
    <mergeCell ref="RLR74:RLW74"/>
    <mergeCell ref="RLY74:RMD74"/>
    <mergeCell ref="RMF74:RMK74"/>
    <mergeCell ref="RMM74:RMR74"/>
    <mergeCell ref="RMT74:RMY74"/>
    <mergeCell ref="RNA74:RNF74"/>
    <mergeCell ref="RKB74:RKG74"/>
    <mergeCell ref="RKI74:RKN74"/>
    <mergeCell ref="RKP74:RKU74"/>
    <mergeCell ref="RKW74:RLB74"/>
    <mergeCell ref="RLD74:RLI74"/>
    <mergeCell ref="RLK74:RLP74"/>
    <mergeCell ref="RIL74:RIQ74"/>
    <mergeCell ref="RIS74:RIX74"/>
    <mergeCell ref="RIZ74:RJE74"/>
    <mergeCell ref="RJG74:RJL74"/>
    <mergeCell ref="RJN74:RJS74"/>
    <mergeCell ref="RJU74:RJZ74"/>
    <mergeCell ref="RGV74:RHA74"/>
    <mergeCell ref="RHC74:RHH74"/>
    <mergeCell ref="RHJ74:RHO74"/>
    <mergeCell ref="RHQ74:RHV74"/>
    <mergeCell ref="RHX74:RIC74"/>
    <mergeCell ref="RIE74:RIJ74"/>
    <mergeCell ref="RFF74:RFK74"/>
    <mergeCell ref="RFM74:RFR74"/>
    <mergeCell ref="RFT74:RFY74"/>
    <mergeCell ref="RGA74:RGF74"/>
    <mergeCell ref="RGH74:RGM74"/>
    <mergeCell ref="RGO74:RGT74"/>
    <mergeCell ref="RDP74:RDU74"/>
    <mergeCell ref="RDW74:REB74"/>
    <mergeCell ref="RED74:REI74"/>
    <mergeCell ref="REK74:REP74"/>
    <mergeCell ref="RER74:REW74"/>
    <mergeCell ref="REY74:RFD74"/>
    <mergeCell ref="RBZ74:RCE74"/>
    <mergeCell ref="RCG74:RCL74"/>
    <mergeCell ref="RCN74:RCS74"/>
    <mergeCell ref="RCU74:RCZ74"/>
    <mergeCell ref="RDB74:RDG74"/>
    <mergeCell ref="RDI74:RDN74"/>
    <mergeCell ref="RAJ74:RAO74"/>
    <mergeCell ref="RAQ74:RAV74"/>
    <mergeCell ref="RAX74:RBC74"/>
    <mergeCell ref="RBE74:RBJ74"/>
    <mergeCell ref="RBL74:RBQ74"/>
    <mergeCell ref="RBS74:RBX74"/>
    <mergeCell ref="QYT74:QYY74"/>
    <mergeCell ref="QZA74:QZF74"/>
    <mergeCell ref="QZH74:QZM74"/>
    <mergeCell ref="QZO74:QZT74"/>
    <mergeCell ref="QZV74:RAA74"/>
    <mergeCell ref="RAC74:RAH74"/>
    <mergeCell ref="QXD74:QXI74"/>
    <mergeCell ref="QXK74:QXP74"/>
    <mergeCell ref="QXR74:QXW74"/>
    <mergeCell ref="QXY74:QYD74"/>
    <mergeCell ref="QYF74:QYK74"/>
    <mergeCell ref="QYM74:QYR74"/>
    <mergeCell ref="QVN74:QVS74"/>
    <mergeCell ref="QVU74:QVZ74"/>
    <mergeCell ref="QWB74:QWG74"/>
    <mergeCell ref="QWI74:QWN74"/>
    <mergeCell ref="QWP74:QWU74"/>
    <mergeCell ref="QWW74:QXB74"/>
    <mergeCell ref="QTX74:QUC74"/>
    <mergeCell ref="QUE74:QUJ74"/>
    <mergeCell ref="QUL74:QUQ74"/>
    <mergeCell ref="QUS74:QUX74"/>
    <mergeCell ref="QUZ74:QVE74"/>
    <mergeCell ref="QVG74:QVL74"/>
    <mergeCell ref="QSH74:QSM74"/>
    <mergeCell ref="QSO74:QST74"/>
    <mergeCell ref="QSV74:QTA74"/>
    <mergeCell ref="QTC74:QTH74"/>
    <mergeCell ref="QTJ74:QTO74"/>
    <mergeCell ref="QTQ74:QTV74"/>
    <mergeCell ref="QQR74:QQW74"/>
    <mergeCell ref="QQY74:QRD74"/>
    <mergeCell ref="QRF74:QRK74"/>
    <mergeCell ref="QRM74:QRR74"/>
    <mergeCell ref="QRT74:QRY74"/>
    <mergeCell ref="QSA74:QSF74"/>
    <mergeCell ref="QPB74:QPG74"/>
    <mergeCell ref="QPI74:QPN74"/>
    <mergeCell ref="QPP74:QPU74"/>
    <mergeCell ref="QPW74:QQB74"/>
    <mergeCell ref="QQD74:QQI74"/>
    <mergeCell ref="QQK74:QQP74"/>
    <mergeCell ref="QNL74:QNQ74"/>
    <mergeCell ref="QNS74:QNX74"/>
    <mergeCell ref="QNZ74:QOE74"/>
    <mergeCell ref="QOG74:QOL74"/>
    <mergeCell ref="QON74:QOS74"/>
    <mergeCell ref="QOU74:QOZ74"/>
    <mergeCell ref="QLV74:QMA74"/>
    <mergeCell ref="QMC74:QMH74"/>
    <mergeCell ref="QMJ74:QMO74"/>
    <mergeCell ref="QMQ74:QMV74"/>
    <mergeCell ref="QMX74:QNC74"/>
    <mergeCell ref="QNE74:QNJ74"/>
    <mergeCell ref="QKF74:QKK74"/>
    <mergeCell ref="QKM74:QKR74"/>
    <mergeCell ref="QKT74:QKY74"/>
    <mergeCell ref="QLA74:QLF74"/>
    <mergeCell ref="QLH74:QLM74"/>
    <mergeCell ref="QLO74:QLT74"/>
    <mergeCell ref="QIP74:QIU74"/>
    <mergeCell ref="QIW74:QJB74"/>
    <mergeCell ref="QJD74:QJI74"/>
    <mergeCell ref="QJK74:QJP74"/>
    <mergeCell ref="QJR74:QJW74"/>
    <mergeCell ref="QJY74:QKD74"/>
    <mergeCell ref="QGZ74:QHE74"/>
    <mergeCell ref="QHG74:QHL74"/>
    <mergeCell ref="QHN74:QHS74"/>
    <mergeCell ref="QHU74:QHZ74"/>
    <mergeCell ref="QIB74:QIG74"/>
    <mergeCell ref="QII74:QIN74"/>
    <mergeCell ref="QFJ74:QFO74"/>
    <mergeCell ref="QFQ74:QFV74"/>
    <mergeCell ref="QFX74:QGC74"/>
    <mergeCell ref="QGE74:QGJ74"/>
    <mergeCell ref="QGL74:QGQ74"/>
    <mergeCell ref="QGS74:QGX74"/>
    <mergeCell ref="QDT74:QDY74"/>
    <mergeCell ref="QEA74:QEF74"/>
    <mergeCell ref="QEH74:QEM74"/>
    <mergeCell ref="QEO74:QET74"/>
    <mergeCell ref="QEV74:QFA74"/>
    <mergeCell ref="QFC74:QFH74"/>
    <mergeCell ref="QCD74:QCI74"/>
    <mergeCell ref="QCK74:QCP74"/>
    <mergeCell ref="QCR74:QCW74"/>
    <mergeCell ref="QCY74:QDD74"/>
    <mergeCell ref="QDF74:QDK74"/>
    <mergeCell ref="QDM74:QDR74"/>
    <mergeCell ref="QAN74:QAS74"/>
    <mergeCell ref="QAU74:QAZ74"/>
    <mergeCell ref="QBB74:QBG74"/>
    <mergeCell ref="QBI74:QBN74"/>
    <mergeCell ref="QBP74:QBU74"/>
    <mergeCell ref="QBW74:QCB74"/>
    <mergeCell ref="PYX74:PZC74"/>
    <mergeCell ref="PZE74:PZJ74"/>
    <mergeCell ref="PZL74:PZQ74"/>
    <mergeCell ref="PZS74:PZX74"/>
    <mergeCell ref="PZZ74:QAE74"/>
    <mergeCell ref="QAG74:QAL74"/>
    <mergeCell ref="PXH74:PXM74"/>
    <mergeCell ref="PXO74:PXT74"/>
    <mergeCell ref="PXV74:PYA74"/>
    <mergeCell ref="PYC74:PYH74"/>
    <mergeCell ref="PYJ74:PYO74"/>
    <mergeCell ref="PYQ74:PYV74"/>
    <mergeCell ref="PVR74:PVW74"/>
    <mergeCell ref="PVY74:PWD74"/>
    <mergeCell ref="PWF74:PWK74"/>
    <mergeCell ref="PWM74:PWR74"/>
    <mergeCell ref="PWT74:PWY74"/>
    <mergeCell ref="PXA74:PXF74"/>
    <mergeCell ref="PUB74:PUG74"/>
    <mergeCell ref="PUI74:PUN74"/>
    <mergeCell ref="PUP74:PUU74"/>
    <mergeCell ref="PUW74:PVB74"/>
    <mergeCell ref="PVD74:PVI74"/>
    <mergeCell ref="PVK74:PVP74"/>
    <mergeCell ref="PSL74:PSQ74"/>
    <mergeCell ref="PSS74:PSX74"/>
    <mergeCell ref="PSZ74:PTE74"/>
    <mergeCell ref="PTG74:PTL74"/>
    <mergeCell ref="PTN74:PTS74"/>
    <mergeCell ref="PTU74:PTZ74"/>
    <mergeCell ref="PQV74:PRA74"/>
    <mergeCell ref="PRC74:PRH74"/>
    <mergeCell ref="PRJ74:PRO74"/>
    <mergeCell ref="PRQ74:PRV74"/>
    <mergeCell ref="PRX74:PSC74"/>
    <mergeCell ref="PSE74:PSJ74"/>
    <mergeCell ref="PPF74:PPK74"/>
    <mergeCell ref="PPM74:PPR74"/>
    <mergeCell ref="PPT74:PPY74"/>
    <mergeCell ref="PQA74:PQF74"/>
    <mergeCell ref="PQH74:PQM74"/>
    <mergeCell ref="PQO74:PQT74"/>
    <mergeCell ref="PNP74:PNU74"/>
    <mergeCell ref="PNW74:POB74"/>
    <mergeCell ref="POD74:POI74"/>
    <mergeCell ref="POK74:POP74"/>
    <mergeCell ref="POR74:POW74"/>
    <mergeCell ref="POY74:PPD74"/>
    <mergeCell ref="PLZ74:PME74"/>
    <mergeCell ref="PMG74:PML74"/>
    <mergeCell ref="PMN74:PMS74"/>
    <mergeCell ref="PMU74:PMZ74"/>
    <mergeCell ref="PNB74:PNG74"/>
    <mergeCell ref="PNI74:PNN74"/>
    <mergeCell ref="PKJ74:PKO74"/>
    <mergeCell ref="PKQ74:PKV74"/>
    <mergeCell ref="PKX74:PLC74"/>
    <mergeCell ref="PLE74:PLJ74"/>
    <mergeCell ref="PLL74:PLQ74"/>
    <mergeCell ref="PLS74:PLX74"/>
    <mergeCell ref="PIT74:PIY74"/>
    <mergeCell ref="PJA74:PJF74"/>
    <mergeCell ref="PJH74:PJM74"/>
    <mergeCell ref="PJO74:PJT74"/>
    <mergeCell ref="PJV74:PKA74"/>
    <mergeCell ref="PKC74:PKH74"/>
    <mergeCell ref="PHD74:PHI74"/>
    <mergeCell ref="PHK74:PHP74"/>
    <mergeCell ref="PHR74:PHW74"/>
    <mergeCell ref="PHY74:PID74"/>
    <mergeCell ref="PIF74:PIK74"/>
    <mergeCell ref="PIM74:PIR74"/>
    <mergeCell ref="PFN74:PFS74"/>
    <mergeCell ref="PFU74:PFZ74"/>
    <mergeCell ref="PGB74:PGG74"/>
    <mergeCell ref="PGI74:PGN74"/>
    <mergeCell ref="PGP74:PGU74"/>
    <mergeCell ref="PGW74:PHB74"/>
    <mergeCell ref="PDX74:PEC74"/>
    <mergeCell ref="PEE74:PEJ74"/>
    <mergeCell ref="PEL74:PEQ74"/>
    <mergeCell ref="PES74:PEX74"/>
    <mergeCell ref="PEZ74:PFE74"/>
    <mergeCell ref="PFG74:PFL74"/>
    <mergeCell ref="PCH74:PCM74"/>
    <mergeCell ref="PCO74:PCT74"/>
    <mergeCell ref="PCV74:PDA74"/>
    <mergeCell ref="PDC74:PDH74"/>
    <mergeCell ref="PDJ74:PDO74"/>
    <mergeCell ref="PDQ74:PDV74"/>
    <mergeCell ref="PAR74:PAW74"/>
    <mergeCell ref="PAY74:PBD74"/>
    <mergeCell ref="PBF74:PBK74"/>
    <mergeCell ref="PBM74:PBR74"/>
    <mergeCell ref="PBT74:PBY74"/>
    <mergeCell ref="PCA74:PCF74"/>
    <mergeCell ref="OZB74:OZG74"/>
    <mergeCell ref="OZI74:OZN74"/>
    <mergeCell ref="OZP74:OZU74"/>
    <mergeCell ref="OZW74:PAB74"/>
    <mergeCell ref="PAD74:PAI74"/>
    <mergeCell ref="PAK74:PAP74"/>
    <mergeCell ref="OXL74:OXQ74"/>
    <mergeCell ref="OXS74:OXX74"/>
    <mergeCell ref="OXZ74:OYE74"/>
    <mergeCell ref="OYG74:OYL74"/>
    <mergeCell ref="OYN74:OYS74"/>
    <mergeCell ref="OYU74:OYZ74"/>
    <mergeCell ref="OVV74:OWA74"/>
    <mergeCell ref="OWC74:OWH74"/>
    <mergeCell ref="OWJ74:OWO74"/>
    <mergeCell ref="OWQ74:OWV74"/>
    <mergeCell ref="OWX74:OXC74"/>
    <mergeCell ref="OXE74:OXJ74"/>
    <mergeCell ref="OUF74:OUK74"/>
    <mergeCell ref="OUM74:OUR74"/>
    <mergeCell ref="OUT74:OUY74"/>
    <mergeCell ref="OVA74:OVF74"/>
    <mergeCell ref="OVH74:OVM74"/>
    <mergeCell ref="OVO74:OVT74"/>
    <mergeCell ref="OSP74:OSU74"/>
    <mergeCell ref="OSW74:OTB74"/>
    <mergeCell ref="OTD74:OTI74"/>
    <mergeCell ref="OTK74:OTP74"/>
    <mergeCell ref="OTR74:OTW74"/>
    <mergeCell ref="OTY74:OUD74"/>
    <mergeCell ref="OQZ74:ORE74"/>
    <mergeCell ref="ORG74:ORL74"/>
    <mergeCell ref="ORN74:ORS74"/>
    <mergeCell ref="ORU74:ORZ74"/>
    <mergeCell ref="OSB74:OSG74"/>
    <mergeCell ref="OSI74:OSN74"/>
    <mergeCell ref="OPJ74:OPO74"/>
    <mergeCell ref="OPQ74:OPV74"/>
    <mergeCell ref="OPX74:OQC74"/>
    <mergeCell ref="OQE74:OQJ74"/>
    <mergeCell ref="OQL74:OQQ74"/>
    <mergeCell ref="OQS74:OQX74"/>
    <mergeCell ref="ONT74:ONY74"/>
    <mergeCell ref="OOA74:OOF74"/>
    <mergeCell ref="OOH74:OOM74"/>
    <mergeCell ref="OOO74:OOT74"/>
    <mergeCell ref="OOV74:OPA74"/>
    <mergeCell ref="OPC74:OPH74"/>
    <mergeCell ref="OMD74:OMI74"/>
    <mergeCell ref="OMK74:OMP74"/>
    <mergeCell ref="OMR74:OMW74"/>
    <mergeCell ref="OMY74:OND74"/>
    <mergeCell ref="ONF74:ONK74"/>
    <mergeCell ref="ONM74:ONR74"/>
    <mergeCell ref="OKN74:OKS74"/>
    <mergeCell ref="OKU74:OKZ74"/>
    <mergeCell ref="OLB74:OLG74"/>
    <mergeCell ref="OLI74:OLN74"/>
    <mergeCell ref="OLP74:OLU74"/>
    <mergeCell ref="OLW74:OMB74"/>
    <mergeCell ref="OIX74:OJC74"/>
    <mergeCell ref="OJE74:OJJ74"/>
    <mergeCell ref="OJL74:OJQ74"/>
    <mergeCell ref="OJS74:OJX74"/>
    <mergeCell ref="OJZ74:OKE74"/>
    <mergeCell ref="OKG74:OKL74"/>
    <mergeCell ref="OHH74:OHM74"/>
    <mergeCell ref="OHO74:OHT74"/>
    <mergeCell ref="OHV74:OIA74"/>
    <mergeCell ref="OIC74:OIH74"/>
    <mergeCell ref="OIJ74:OIO74"/>
    <mergeCell ref="OIQ74:OIV74"/>
    <mergeCell ref="OFR74:OFW74"/>
    <mergeCell ref="OFY74:OGD74"/>
    <mergeCell ref="OGF74:OGK74"/>
    <mergeCell ref="OGM74:OGR74"/>
    <mergeCell ref="OGT74:OGY74"/>
    <mergeCell ref="OHA74:OHF74"/>
    <mergeCell ref="OEB74:OEG74"/>
    <mergeCell ref="OEI74:OEN74"/>
    <mergeCell ref="OEP74:OEU74"/>
    <mergeCell ref="OEW74:OFB74"/>
    <mergeCell ref="OFD74:OFI74"/>
    <mergeCell ref="OFK74:OFP74"/>
    <mergeCell ref="OCL74:OCQ74"/>
    <mergeCell ref="OCS74:OCX74"/>
    <mergeCell ref="OCZ74:ODE74"/>
    <mergeCell ref="ODG74:ODL74"/>
    <mergeCell ref="ODN74:ODS74"/>
    <mergeCell ref="ODU74:ODZ74"/>
    <mergeCell ref="OAV74:OBA74"/>
    <mergeCell ref="OBC74:OBH74"/>
    <mergeCell ref="OBJ74:OBO74"/>
    <mergeCell ref="OBQ74:OBV74"/>
    <mergeCell ref="OBX74:OCC74"/>
    <mergeCell ref="OCE74:OCJ74"/>
    <mergeCell ref="NZF74:NZK74"/>
    <mergeCell ref="NZM74:NZR74"/>
    <mergeCell ref="NZT74:NZY74"/>
    <mergeCell ref="OAA74:OAF74"/>
    <mergeCell ref="OAH74:OAM74"/>
    <mergeCell ref="OAO74:OAT74"/>
    <mergeCell ref="NXP74:NXU74"/>
    <mergeCell ref="NXW74:NYB74"/>
    <mergeCell ref="NYD74:NYI74"/>
    <mergeCell ref="NYK74:NYP74"/>
    <mergeCell ref="NYR74:NYW74"/>
    <mergeCell ref="NYY74:NZD74"/>
    <mergeCell ref="NVZ74:NWE74"/>
    <mergeCell ref="NWG74:NWL74"/>
    <mergeCell ref="NWN74:NWS74"/>
    <mergeCell ref="NWU74:NWZ74"/>
    <mergeCell ref="NXB74:NXG74"/>
    <mergeCell ref="NXI74:NXN74"/>
    <mergeCell ref="NUJ74:NUO74"/>
    <mergeCell ref="NUQ74:NUV74"/>
    <mergeCell ref="NUX74:NVC74"/>
    <mergeCell ref="NVE74:NVJ74"/>
    <mergeCell ref="NVL74:NVQ74"/>
    <mergeCell ref="NVS74:NVX74"/>
    <mergeCell ref="NST74:NSY74"/>
    <mergeCell ref="NTA74:NTF74"/>
    <mergeCell ref="NTH74:NTM74"/>
    <mergeCell ref="NTO74:NTT74"/>
    <mergeCell ref="NTV74:NUA74"/>
    <mergeCell ref="NUC74:NUH74"/>
    <mergeCell ref="NRD74:NRI74"/>
    <mergeCell ref="NRK74:NRP74"/>
    <mergeCell ref="NRR74:NRW74"/>
    <mergeCell ref="NRY74:NSD74"/>
    <mergeCell ref="NSF74:NSK74"/>
    <mergeCell ref="NSM74:NSR74"/>
    <mergeCell ref="NPN74:NPS74"/>
    <mergeCell ref="NPU74:NPZ74"/>
    <mergeCell ref="NQB74:NQG74"/>
    <mergeCell ref="NQI74:NQN74"/>
    <mergeCell ref="NQP74:NQU74"/>
    <mergeCell ref="NQW74:NRB74"/>
    <mergeCell ref="NNX74:NOC74"/>
    <mergeCell ref="NOE74:NOJ74"/>
    <mergeCell ref="NOL74:NOQ74"/>
    <mergeCell ref="NOS74:NOX74"/>
    <mergeCell ref="NOZ74:NPE74"/>
    <mergeCell ref="NPG74:NPL74"/>
    <mergeCell ref="NMH74:NMM74"/>
    <mergeCell ref="NMO74:NMT74"/>
    <mergeCell ref="NMV74:NNA74"/>
    <mergeCell ref="NNC74:NNH74"/>
    <mergeCell ref="NNJ74:NNO74"/>
    <mergeCell ref="NNQ74:NNV74"/>
    <mergeCell ref="NKR74:NKW74"/>
    <mergeCell ref="NKY74:NLD74"/>
    <mergeCell ref="NLF74:NLK74"/>
    <mergeCell ref="NLM74:NLR74"/>
    <mergeCell ref="NLT74:NLY74"/>
    <mergeCell ref="NMA74:NMF74"/>
    <mergeCell ref="NJB74:NJG74"/>
    <mergeCell ref="NJI74:NJN74"/>
    <mergeCell ref="NJP74:NJU74"/>
    <mergeCell ref="NJW74:NKB74"/>
    <mergeCell ref="NKD74:NKI74"/>
    <mergeCell ref="NKK74:NKP74"/>
    <mergeCell ref="NHL74:NHQ74"/>
    <mergeCell ref="NHS74:NHX74"/>
    <mergeCell ref="NHZ74:NIE74"/>
    <mergeCell ref="NIG74:NIL74"/>
    <mergeCell ref="NIN74:NIS74"/>
    <mergeCell ref="NIU74:NIZ74"/>
    <mergeCell ref="NFV74:NGA74"/>
    <mergeCell ref="NGC74:NGH74"/>
    <mergeCell ref="NGJ74:NGO74"/>
    <mergeCell ref="NGQ74:NGV74"/>
    <mergeCell ref="NGX74:NHC74"/>
    <mergeCell ref="NHE74:NHJ74"/>
    <mergeCell ref="NEF74:NEK74"/>
    <mergeCell ref="NEM74:NER74"/>
    <mergeCell ref="NET74:NEY74"/>
    <mergeCell ref="NFA74:NFF74"/>
    <mergeCell ref="NFH74:NFM74"/>
    <mergeCell ref="NFO74:NFT74"/>
    <mergeCell ref="NCP74:NCU74"/>
    <mergeCell ref="NCW74:NDB74"/>
    <mergeCell ref="NDD74:NDI74"/>
    <mergeCell ref="NDK74:NDP74"/>
    <mergeCell ref="NDR74:NDW74"/>
    <mergeCell ref="NDY74:NED74"/>
    <mergeCell ref="NAZ74:NBE74"/>
    <mergeCell ref="NBG74:NBL74"/>
    <mergeCell ref="NBN74:NBS74"/>
    <mergeCell ref="NBU74:NBZ74"/>
    <mergeCell ref="NCB74:NCG74"/>
    <mergeCell ref="NCI74:NCN74"/>
    <mergeCell ref="MZJ74:MZO74"/>
    <mergeCell ref="MZQ74:MZV74"/>
    <mergeCell ref="MZX74:NAC74"/>
    <mergeCell ref="NAE74:NAJ74"/>
    <mergeCell ref="NAL74:NAQ74"/>
    <mergeCell ref="NAS74:NAX74"/>
    <mergeCell ref="MXT74:MXY74"/>
    <mergeCell ref="MYA74:MYF74"/>
    <mergeCell ref="MYH74:MYM74"/>
    <mergeCell ref="MYO74:MYT74"/>
    <mergeCell ref="MYV74:MZA74"/>
    <mergeCell ref="MZC74:MZH74"/>
    <mergeCell ref="MWD74:MWI74"/>
    <mergeCell ref="MWK74:MWP74"/>
    <mergeCell ref="MWR74:MWW74"/>
    <mergeCell ref="MWY74:MXD74"/>
    <mergeCell ref="MXF74:MXK74"/>
    <mergeCell ref="MXM74:MXR74"/>
    <mergeCell ref="MUN74:MUS74"/>
    <mergeCell ref="MUU74:MUZ74"/>
    <mergeCell ref="MVB74:MVG74"/>
    <mergeCell ref="MVI74:MVN74"/>
    <mergeCell ref="MVP74:MVU74"/>
    <mergeCell ref="MVW74:MWB74"/>
    <mergeCell ref="MSX74:MTC74"/>
    <mergeCell ref="MTE74:MTJ74"/>
    <mergeCell ref="MTL74:MTQ74"/>
    <mergeCell ref="MTS74:MTX74"/>
    <mergeCell ref="MTZ74:MUE74"/>
    <mergeCell ref="MUG74:MUL74"/>
    <mergeCell ref="MRH74:MRM74"/>
    <mergeCell ref="MRO74:MRT74"/>
    <mergeCell ref="MRV74:MSA74"/>
    <mergeCell ref="MSC74:MSH74"/>
    <mergeCell ref="MSJ74:MSO74"/>
    <mergeCell ref="MSQ74:MSV74"/>
    <mergeCell ref="MPR74:MPW74"/>
    <mergeCell ref="MPY74:MQD74"/>
    <mergeCell ref="MQF74:MQK74"/>
    <mergeCell ref="MQM74:MQR74"/>
    <mergeCell ref="MQT74:MQY74"/>
    <mergeCell ref="MRA74:MRF74"/>
    <mergeCell ref="MOB74:MOG74"/>
    <mergeCell ref="MOI74:MON74"/>
    <mergeCell ref="MOP74:MOU74"/>
    <mergeCell ref="MOW74:MPB74"/>
    <mergeCell ref="MPD74:MPI74"/>
    <mergeCell ref="MPK74:MPP74"/>
    <mergeCell ref="MML74:MMQ74"/>
    <mergeCell ref="MMS74:MMX74"/>
    <mergeCell ref="MMZ74:MNE74"/>
    <mergeCell ref="MNG74:MNL74"/>
    <mergeCell ref="MNN74:MNS74"/>
    <mergeCell ref="MNU74:MNZ74"/>
    <mergeCell ref="MKV74:MLA74"/>
    <mergeCell ref="MLC74:MLH74"/>
    <mergeCell ref="MLJ74:MLO74"/>
    <mergeCell ref="MLQ74:MLV74"/>
    <mergeCell ref="MLX74:MMC74"/>
    <mergeCell ref="MME74:MMJ74"/>
    <mergeCell ref="MJF74:MJK74"/>
    <mergeCell ref="MJM74:MJR74"/>
    <mergeCell ref="MJT74:MJY74"/>
    <mergeCell ref="MKA74:MKF74"/>
    <mergeCell ref="MKH74:MKM74"/>
    <mergeCell ref="MKO74:MKT74"/>
    <mergeCell ref="MHP74:MHU74"/>
    <mergeCell ref="MHW74:MIB74"/>
    <mergeCell ref="MID74:MII74"/>
    <mergeCell ref="MIK74:MIP74"/>
    <mergeCell ref="MIR74:MIW74"/>
    <mergeCell ref="MIY74:MJD74"/>
    <mergeCell ref="MFZ74:MGE74"/>
    <mergeCell ref="MGG74:MGL74"/>
    <mergeCell ref="MGN74:MGS74"/>
    <mergeCell ref="MGU74:MGZ74"/>
    <mergeCell ref="MHB74:MHG74"/>
    <mergeCell ref="MHI74:MHN74"/>
    <mergeCell ref="MEJ74:MEO74"/>
    <mergeCell ref="MEQ74:MEV74"/>
    <mergeCell ref="MEX74:MFC74"/>
    <mergeCell ref="MFE74:MFJ74"/>
    <mergeCell ref="MFL74:MFQ74"/>
    <mergeCell ref="MFS74:MFX74"/>
    <mergeCell ref="MCT74:MCY74"/>
    <mergeCell ref="MDA74:MDF74"/>
    <mergeCell ref="MDH74:MDM74"/>
    <mergeCell ref="MDO74:MDT74"/>
    <mergeCell ref="MDV74:MEA74"/>
    <mergeCell ref="MEC74:MEH74"/>
    <mergeCell ref="MBD74:MBI74"/>
    <mergeCell ref="MBK74:MBP74"/>
    <mergeCell ref="MBR74:MBW74"/>
    <mergeCell ref="MBY74:MCD74"/>
    <mergeCell ref="MCF74:MCK74"/>
    <mergeCell ref="MCM74:MCR74"/>
    <mergeCell ref="LZN74:LZS74"/>
    <mergeCell ref="LZU74:LZZ74"/>
    <mergeCell ref="MAB74:MAG74"/>
    <mergeCell ref="MAI74:MAN74"/>
    <mergeCell ref="MAP74:MAU74"/>
    <mergeCell ref="MAW74:MBB74"/>
    <mergeCell ref="LXX74:LYC74"/>
    <mergeCell ref="LYE74:LYJ74"/>
    <mergeCell ref="LYL74:LYQ74"/>
    <mergeCell ref="LYS74:LYX74"/>
    <mergeCell ref="LYZ74:LZE74"/>
    <mergeCell ref="LZG74:LZL74"/>
    <mergeCell ref="LWH74:LWM74"/>
    <mergeCell ref="LWO74:LWT74"/>
    <mergeCell ref="LWV74:LXA74"/>
    <mergeCell ref="LXC74:LXH74"/>
    <mergeCell ref="LXJ74:LXO74"/>
    <mergeCell ref="LXQ74:LXV74"/>
    <mergeCell ref="LUR74:LUW74"/>
    <mergeCell ref="LUY74:LVD74"/>
    <mergeCell ref="LVF74:LVK74"/>
    <mergeCell ref="LVM74:LVR74"/>
    <mergeCell ref="LVT74:LVY74"/>
    <mergeCell ref="LWA74:LWF74"/>
    <mergeCell ref="LTB74:LTG74"/>
    <mergeCell ref="LTI74:LTN74"/>
    <mergeCell ref="LTP74:LTU74"/>
    <mergeCell ref="LTW74:LUB74"/>
    <mergeCell ref="LUD74:LUI74"/>
    <mergeCell ref="LUK74:LUP74"/>
    <mergeCell ref="LRL74:LRQ74"/>
    <mergeCell ref="LRS74:LRX74"/>
    <mergeCell ref="LRZ74:LSE74"/>
    <mergeCell ref="LSG74:LSL74"/>
    <mergeCell ref="LSN74:LSS74"/>
    <mergeCell ref="LSU74:LSZ74"/>
    <mergeCell ref="LPV74:LQA74"/>
    <mergeCell ref="LQC74:LQH74"/>
    <mergeCell ref="LQJ74:LQO74"/>
    <mergeCell ref="LQQ74:LQV74"/>
    <mergeCell ref="LQX74:LRC74"/>
    <mergeCell ref="LRE74:LRJ74"/>
    <mergeCell ref="LOF74:LOK74"/>
    <mergeCell ref="LOM74:LOR74"/>
    <mergeCell ref="LOT74:LOY74"/>
    <mergeCell ref="LPA74:LPF74"/>
    <mergeCell ref="LPH74:LPM74"/>
    <mergeCell ref="LPO74:LPT74"/>
    <mergeCell ref="LMP74:LMU74"/>
    <mergeCell ref="LMW74:LNB74"/>
    <mergeCell ref="LND74:LNI74"/>
    <mergeCell ref="LNK74:LNP74"/>
    <mergeCell ref="LNR74:LNW74"/>
    <mergeCell ref="LNY74:LOD74"/>
    <mergeCell ref="LKZ74:LLE74"/>
    <mergeCell ref="LLG74:LLL74"/>
    <mergeCell ref="LLN74:LLS74"/>
    <mergeCell ref="LLU74:LLZ74"/>
    <mergeCell ref="LMB74:LMG74"/>
    <mergeCell ref="LMI74:LMN74"/>
    <mergeCell ref="LJJ74:LJO74"/>
    <mergeCell ref="LJQ74:LJV74"/>
    <mergeCell ref="LJX74:LKC74"/>
    <mergeCell ref="LKE74:LKJ74"/>
    <mergeCell ref="LKL74:LKQ74"/>
    <mergeCell ref="LKS74:LKX74"/>
    <mergeCell ref="LHT74:LHY74"/>
    <mergeCell ref="LIA74:LIF74"/>
    <mergeCell ref="LIH74:LIM74"/>
    <mergeCell ref="LIO74:LIT74"/>
    <mergeCell ref="LIV74:LJA74"/>
    <mergeCell ref="LJC74:LJH74"/>
    <mergeCell ref="LGD74:LGI74"/>
    <mergeCell ref="LGK74:LGP74"/>
    <mergeCell ref="LGR74:LGW74"/>
    <mergeCell ref="LGY74:LHD74"/>
    <mergeCell ref="LHF74:LHK74"/>
    <mergeCell ref="LHM74:LHR74"/>
    <mergeCell ref="LEN74:LES74"/>
    <mergeCell ref="LEU74:LEZ74"/>
    <mergeCell ref="LFB74:LFG74"/>
    <mergeCell ref="LFI74:LFN74"/>
    <mergeCell ref="LFP74:LFU74"/>
    <mergeCell ref="LFW74:LGB74"/>
    <mergeCell ref="LCX74:LDC74"/>
    <mergeCell ref="LDE74:LDJ74"/>
    <mergeCell ref="LDL74:LDQ74"/>
    <mergeCell ref="LDS74:LDX74"/>
    <mergeCell ref="LDZ74:LEE74"/>
    <mergeCell ref="LEG74:LEL74"/>
    <mergeCell ref="LBH74:LBM74"/>
    <mergeCell ref="LBO74:LBT74"/>
    <mergeCell ref="LBV74:LCA74"/>
    <mergeCell ref="LCC74:LCH74"/>
    <mergeCell ref="LCJ74:LCO74"/>
    <mergeCell ref="LCQ74:LCV74"/>
    <mergeCell ref="KZR74:KZW74"/>
    <mergeCell ref="KZY74:LAD74"/>
    <mergeCell ref="LAF74:LAK74"/>
    <mergeCell ref="LAM74:LAR74"/>
    <mergeCell ref="LAT74:LAY74"/>
    <mergeCell ref="LBA74:LBF74"/>
    <mergeCell ref="KYB74:KYG74"/>
    <mergeCell ref="KYI74:KYN74"/>
    <mergeCell ref="KYP74:KYU74"/>
    <mergeCell ref="KYW74:KZB74"/>
    <mergeCell ref="KZD74:KZI74"/>
    <mergeCell ref="KZK74:KZP74"/>
    <mergeCell ref="KWL74:KWQ74"/>
    <mergeCell ref="KWS74:KWX74"/>
    <mergeCell ref="KWZ74:KXE74"/>
    <mergeCell ref="KXG74:KXL74"/>
    <mergeCell ref="KXN74:KXS74"/>
    <mergeCell ref="KXU74:KXZ74"/>
    <mergeCell ref="KUV74:KVA74"/>
    <mergeCell ref="KVC74:KVH74"/>
    <mergeCell ref="KVJ74:KVO74"/>
    <mergeCell ref="KVQ74:KVV74"/>
    <mergeCell ref="KVX74:KWC74"/>
    <mergeCell ref="KWE74:KWJ74"/>
    <mergeCell ref="KTF74:KTK74"/>
    <mergeCell ref="KTM74:KTR74"/>
    <mergeCell ref="KTT74:KTY74"/>
    <mergeCell ref="KUA74:KUF74"/>
    <mergeCell ref="KUH74:KUM74"/>
    <mergeCell ref="KUO74:KUT74"/>
    <mergeCell ref="KRP74:KRU74"/>
    <mergeCell ref="KRW74:KSB74"/>
    <mergeCell ref="KSD74:KSI74"/>
    <mergeCell ref="KSK74:KSP74"/>
    <mergeCell ref="KSR74:KSW74"/>
    <mergeCell ref="KSY74:KTD74"/>
    <mergeCell ref="KPZ74:KQE74"/>
    <mergeCell ref="KQG74:KQL74"/>
    <mergeCell ref="KQN74:KQS74"/>
    <mergeCell ref="KQU74:KQZ74"/>
    <mergeCell ref="KRB74:KRG74"/>
    <mergeCell ref="KRI74:KRN74"/>
    <mergeCell ref="KOJ74:KOO74"/>
    <mergeCell ref="KOQ74:KOV74"/>
    <mergeCell ref="KOX74:KPC74"/>
    <mergeCell ref="KPE74:KPJ74"/>
    <mergeCell ref="KPL74:KPQ74"/>
    <mergeCell ref="KPS74:KPX74"/>
    <mergeCell ref="KMT74:KMY74"/>
    <mergeCell ref="KNA74:KNF74"/>
    <mergeCell ref="KNH74:KNM74"/>
    <mergeCell ref="KNO74:KNT74"/>
    <mergeCell ref="KNV74:KOA74"/>
    <mergeCell ref="KOC74:KOH74"/>
    <mergeCell ref="KLD74:KLI74"/>
    <mergeCell ref="KLK74:KLP74"/>
    <mergeCell ref="KLR74:KLW74"/>
    <mergeCell ref="KLY74:KMD74"/>
    <mergeCell ref="KMF74:KMK74"/>
    <mergeCell ref="KMM74:KMR74"/>
    <mergeCell ref="KJN74:KJS74"/>
    <mergeCell ref="KJU74:KJZ74"/>
    <mergeCell ref="KKB74:KKG74"/>
    <mergeCell ref="KKI74:KKN74"/>
    <mergeCell ref="KKP74:KKU74"/>
    <mergeCell ref="KKW74:KLB74"/>
    <mergeCell ref="KHX74:KIC74"/>
    <mergeCell ref="KIE74:KIJ74"/>
    <mergeCell ref="KIL74:KIQ74"/>
    <mergeCell ref="KIS74:KIX74"/>
    <mergeCell ref="KIZ74:KJE74"/>
    <mergeCell ref="KJG74:KJL74"/>
    <mergeCell ref="KGH74:KGM74"/>
    <mergeCell ref="KGO74:KGT74"/>
    <mergeCell ref="KGV74:KHA74"/>
    <mergeCell ref="KHC74:KHH74"/>
    <mergeCell ref="KHJ74:KHO74"/>
    <mergeCell ref="KHQ74:KHV74"/>
    <mergeCell ref="KER74:KEW74"/>
    <mergeCell ref="KEY74:KFD74"/>
    <mergeCell ref="KFF74:KFK74"/>
    <mergeCell ref="KFM74:KFR74"/>
    <mergeCell ref="KFT74:KFY74"/>
    <mergeCell ref="KGA74:KGF74"/>
    <mergeCell ref="KDB74:KDG74"/>
    <mergeCell ref="KDI74:KDN74"/>
    <mergeCell ref="KDP74:KDU74"/>
    <mergeCell ref="KDW74:KEB74"/>
    <mergeCell ref="KED74:KEI74"/>
    <mergeCell ref="KEK74:KEP74"/>
    <mergeCell ref="KBL74:KBQ74"/>
    <mergeCell ref="KBS74:KBX74"/>
    <mergeCell ref="KBZ74:KCE74"/>
    <mergeCell ref="KCG74:KCL74"/>
    <mergeCell ref="KCN74:KCS74"/>
    <mergeCell ref="KCU74:KCZ74"/>
    <mergeCell ref="JZV74:KAA74"/>
    <mergeCell ref="KAC74:KAH74"/>
    <mergeCell ref="KAJ74:KAO74"/>
    <mergeCell ref="KAQ74:KAV74"/>
    <mergeCell ref="KAX74:KBC74"/>
    <mergeCell ref="KBE74:KBJ74"/>
    <mergeCell ref="JYF74:JYK74"/>
    <mergeCell ref="JYM74:JYR74"/>
    <mergeCell ref="JYT74:JYY74"/>
    <mergeCell ref="JZA74:JZF74"/>
    <mergeCell ref="JZH74:JZM74"/>
    <mergeCell ref="JZO74:JZT74"/>
    <mergeCell ref="JWP74:JWU74"/>
    <mergeCell ref="JWW74:JXB74"/>
    <mergeCell ref="JXD74:JXI74"/>
    <mergeCell ref="JXK74:JXP74"/>
    <mergeCell ref="JXR74:JXW74"/>
    <mergeCell ref="JXY74:JYD74"/>
    <mergeCell ref="JUZ74:JVE74"/>
    <mergeCell ref="JVG74:JVL74"/>
    <mergeCell ref="JVN74:JVS74"/>
    <mergeCell ref="JVU74:JVZ74"/>
    <mergeCell ref="JWB74:JWG74"/>
    <mergeCell ref="JWI74:JWN74"/>
    <mergeCell ref="JTJ74:JTO74"/>
    <mergeCell ref="JTQ74:JTV74"/>
    <mergeCell ref="JTX74:JUC74"/>
    <mergeCell ref="JUE74:JUJ74"/>
    <mergeCell ref="JUL74:JUQ74"/>
    <mergeCell ref="JUS74:JUX74"/>
    <mergeCell ref="JRT74:JRY74"/>
    <mergeCell ref="JSA74:JSF74"/>
    <mergeCell ref="JSH74:JSM74"/>
    <mergeCell ref="JSO74:JST74"/>
    <mergeCell ref="JSV74:JTA74"/>
    <mergeCell ref="JTC74:JTH74"/>
    <mergeCell ref="JQD74:JQI74"/>
    <mergeCell ref="JQK74:JQP74"/>
    <mergeCell ref="JQR74:JQW74"/>
    <mergeCell ref="JQY74:JRD74"/>
    <mergeCell ref="JRF74:JRK74"/>
    <mergeCell ref="JRM74:JRR74"/>
    <mergeCell ref="JON74:JOS74"/>
    <mergeCell ref="JOU74:JOZ74"/>
    <mergeCell ref="JPB74:JPG74"/>
    <mergeCell ref="JPI74:JPN74"/>
    <mergeCell ref="JPP74:JPU74"/>
    <mergeCell ref="JPW74:JQB74"/>
    <mergeCell ref="JMX74:JNC74"/>
    <mergeCell ref="JNE74:JNJ74"/>
    <mergeCell ref="JNL74:JNQ74"/>
    <mergeCell ref="JNS74:JNX74"/>
    <mergeCell ref="JNZ74:JOE74"/>
    <mergeCell ref="JOG74:JOL74"/>
    <mergeCell ref="JLH74:JLM74"/>
    <mergeCell ref="JLO74:JLT74"/>
    <mergeCell ref="JLV74:JMA74"/>
    <mergeCell ref="JMC74:JMH74"/>
    <mergeCell ref="JMJ74:JMO74"/>
    <mergeCell ref="JMQ74:JMV74"/>
    <mergeCell ref="JJR74:JJW74"/>
    <mergeCell ref="JJY74:JKD74"/>
    <mergeCell ref="JKF74:JKK74"/>
    <mergeCell ref="JKM74:JKR74"/>
    <mergeCell ref="JKT74:JKY74"/>
    <mergeCell ref="JLA74:JLF74"/>
    <mergeCell ref="JIB74:JIG74"/>
    <mergeCell ref="JII74:JIN74"/>
    <mergeCell ref="JIP74:JIU74"/>
    <mergeCell ref="JIW74:JJB74"/>
    <mergeCell ref="JJD74:JJI74"/>
    <mergeCell ref="JJK74:JJP74"/>
    <mergeCell ref="JGL74:JGQ74"/>
    <mergeCell ref="JGS74:JGX74"/>
    <mergeCell ref="JGZ74:JHE74"/>
    <mergeCell ref="JHG74:JHL74"/>
    <mergeCell ref="JHN74:JHS74"/>
    <mergeCell ref="JHU74:JHZ74"/>
    <mergeCell ref="JEV74:JFA74"/>
    <mergeCell ref="JFC74:JFH74"/>
    <mergeCell ref="JFJ74:JFO74"/>
    <mergeCell ref="JFQ74:JFV74"/>
    <mergeCell ref="JFX74:JGC74"/>
    <mergeCell ref="JGE74:JGJ74"/>
    <mergeCell ref="JDF74:JDK74"/>
    <mergeCell ref="JDM74:JDR74"/>
    <mergeCell ref="JDT74:JDY74"/>
    <mergeCell ref="JEA74:JEF74"/>
    <mergeCell ref="JEH74:JEM74"/>
    <mergeCell ref="JEO74:JET74"/>
    <mergeCell ref="JBP74:JBU74"/>
    <mergeCell ref="JBW74:JCB74"/>
    <mergeCell ref="JCD74:JCI74"/>
    <mergeCell ref="JCK74:JCP74"/>
    <mergeCell ref="JCR74:JCW74"/>
    <mergeCell ref="JCY74:JDD74"/>
    <mergeCell ref="IZZ74:JAE74"/>
    <mergeCell ref="JAG74:JAL74"/>
    <mergeCell ref="JAN74:JAS74"/>
    <mergeCell ref="JAU74:JAZ74"/>
    <mergeCell ref="JBB74:JBG74"/>
    <mergeCell ref="JBI74:JBN74"/>
    <mergeCell ref="IYJ74:IYO74"/>
    <mergeCell ref="IYQ74:IYV74"/>
    <mergeCell ref="IYX74:IZC74"/>
    <mergeCell ref="IZE74:IZJ74"/>
    <mergeCell ref="IZL74:IZQ74"/>
    <mergeCell ref="IZS74:IZX74"/>
    <mergeCell ref="IWT74:IWY74"/>
    <mergeCell ref="IXA74:IXF74"/>
    <mergeCell ref="IXH74:IXM74"/>
    <mergeCell ref="IXO74:IXT74"/>
    <mergeCell ref="IXV74:IYA74"/>
    <mergeCell ref="IYC74:IYH74"/>
    <mergeCell ref="IVD74:IVI74"/>
    <mergeCell ref="IVK74:IVP74"/>
    <mergeCell ref="IVR74:IVW74"/>
    <mergeCell ref="IVY74:IWD74"/>
    <mergeCell ref="IWF74:IWK74"/>
    <mergeCell ref="IWM74:IWR74"/>
    <mergeCell ref="ITN74:ITS74"/>
    <mergeCell ref="ITU74:ITZ74"/>
    <mergeCell ref="IUB74:IUG74"/>
    <mergeCell ref="IUI74:IUN74"/>
    <mergeCell ref="IUP74:IUU74"/>
    <mergeCell ref="IUW74:IVB74"/>
    <mergeCell ref="IRX74:ISC74"/>
    <mergeCell ref="ISE74:ISJ74"/>
    <mergeCell ref="ISL74:ISQ74"/>
    <mergeCell ref="ISS74:ISX74"/>
    <mergeCell ref="ISZ74:ITE74"/>
    <mergeCell ref="ITG74:ITL74"/>
    <mergeCell ref="IQH74:IQM74"/>
    <mergeCell ref="IQO74:IQT74"/>
    <mergeCell ref="IQV74:IRA74"/>
    <mergeCell ref="IRC74:IRH74"/>
    <mergeCell ref="IRJ74:IRO74"/>
    <mergeCell ref="IRQ74:IRV74"/>
    <mergeCell ref="IOR74:IOW74"/>
    <mergeCell ref="IOY74:IPD74"/>
    <mergeCell ref="IPF74:IPK74"/>
    <mergeCell ref="IPM74:IPR74"/>
    <mergeCell ref="IPT74:IPY74"/>
    <mergeCell ref="IQA74:IQF74"/>
    <mergeCell ref="INB74:ING74"/>
    <mergeCell ref="INI74:INN74"/>
    <mergeCell ref="INP74:INU74"/>
    <mergeCell ref="INW74:IOB74"/>
    <mergeCell ref="IOD74:IOI74"/>
    <mergeCell ref="IOK74:IOP74"/>
    <mergeCell ref="ILL74:ILQ74"/>
    <mergeCell ref="ILS74:ILX74"/>
    <mergeCell ref="ILZ74:IME74"/>
    <mergeCell ref="IMG74:IML74"/>
    <mergeCell ref="IMN74:IMS74"/>
    <mergeCell ref="IMU74:IMZ74"/>
    <mergeCell ref="IJV74:IKA74"/>
    <mergeCell ref="IKC74:IKH74"/>
    <mergeCell ref="IKJ74:IKO74"/>
    <mergeCell ref="IKQ74:IKV74"/>
    <mergeCell ref="IKX74:ILC74"/>
    <mergeCell ref="ILE74:ILJ74"/>
    <mergeCell ref="IIF74:IIK74"/>
    <mergeCell ref="IIM74:IIR74"/>
    <mergeCell ref="IIT74:IIY74"/>
    <mergeCell ref="IJA74:IJF74"/>
    <mergeCell ref="IJH74:IJM74"/>
    <mergeCell ref="IJO74:IJT74"/>
    <mergeCell ref="IGP74:IGU74"/>
    <mergeCell ref="IGW74:IHB74"/>
    <mergeCell ref="IHD74:IHI74"/>
    <mergeCell ref="IHK74:IHP74"/>
    <mergeCell ref="IHR74:IHW74"/>
    <mergeCell ref="IHY74:IID74"/>
    <mergeCell ref="IEZ74:IFE74"/>
    <mergeCell ref="IFG74:IFL74"/>
    <mergeCell ref="IFN74:IFS74"/>
    <mergeCell ref="IFU74:IFZ74"/>
    <mergeCell ref="IGB74:IGG74"/>
    <mergeCell ref="IGI74:IGN74"/>
    <mergeCell ref="IDJ74:IDO74"/>
    <mergeCell ref="IDQ74:IDV74"/>
    <mergeCell ref="IDX74:IEC74"/>
    <mergeCell ref="IEE74:IEJ74"/>
    <mergeCell ref="IEL74:IEQ74"/>
    <mergeCell ref="IES74:IEX74"/>
    <mergeCell ref="IBT74:IBY74"/>
    <mergeCell ref="ICA74:ICF74"/>
    <mergeCell ref="ICH74:ICM74"/>
    <mergeCell ref="ICO74:ICT74"/>
    <mergeCell ref="ICV74:IDA74"/>
    <mergeCell ref="IDC74:IDH74"/>
    <mergeCell ref="IAD74:IAI74"/>
    <mergeCell ref="IAK74:IAP74"/>
    <mergeCell ref="IAR74:IAW74"/>
    <mergeCell ref="IAY74:IBD74"/>
    <mergeCell ref="IBF74:IBK74"/>
    <mergeCell ref="IBM74:IBR74"/>
    <mergeCell ref="HYN74:HYS74"/>
    <mergeCell ref="HYU74:HYZ74"/>
    <mergeCell ref="HZB74:HZG74"/>
    <mergeCell ref="HZI74:HZN74"/>
    <mergeCell ref="HZP74:HZU74"/>
    <mergeCell ref="HZW74:IAB74"/>
    <mergeCell ref="HWX74:HXC74"/>
    <mergeCell ref="HXE74:HXJ74"/>
    <mergeCell ref="HXL74:HXQ74"/>
    <mergeCell ref="HXS74:HXX74"/>
    <mergeCell ref="HXZ74:HYE74"/>
    <mergeCell ref="HYG74:HYL74"/>
    <mergeCell ref="HVH74:HVM74"/>
    <mergeCell ref="HVO74:HVT74"/>
    <mergeCell ref="HVV74:HWA74"/>
    <mergeCell ref="HWC74:HWH74"/>
    <mergeCell ref="HWJ74:HWO74"/>
    <mergeCell ref="HWQ74:HWV74"/>
    <mergeCell ref="HTR74:HTW74"/>
    <mergeCell ref="HTY74:HUD74"/>
    <mergeCell ref="HUF74:HUK74"/>
    <mergeCell ref="HUM74:HUR74"/>
    <mergeCell ref="HUT74:HUY74"/>
    <mergeCell ref="HVA74:HVF74"/>
    <mergeCell ref="HSB74:HSG74"/>
    <mergeCell ref="HSI74:HSN74"/>
    <mergeCell ref="HSP74:HSU74"/>
    <mergeCell ref="HSW74:HTB74"/>
    <mergeCell ref="HTD74:HTI74"/>
    <mergeCell ref="HTK74:HTP74"/>
    <mergeCell ref="HQL74:HQQ74"/>
    <mergeCell ref="HQS74:HQX74"/>
    <mergeCell ref="HQZ74:HRE74"/>
    <mergeCell ref="HRG74:HRL74"/>
    <mergeCell ref="HRN74:HRS74"/>
    <mergeCell ref="HRU74:HRZ74"/>
    <mergeCell ref="HOV74:HPA74"/>
    <mergeCell ref="HPC74:HPH74"/>
    <mergeCell ref="HPJ74:HPO74"/>
    <mergeCell ref="HPQ74:HPV74"/>
    <mergeCell ref="HPX74:HQC74"/>
    <mergeCell ref="HQE74:HQJ74"/>
    <mergeCell ref="HNF74:HNK74"/>
    <mergeCell ref="HNM74:HNR74"/>
    <mergeCell ref="HNT74:HNY74"/>
    <mergeCell ref="HOA74:HOF74"/>
    <mergeCell ref="HOH74:HOM74"/>
    <mergeCell ref="HOO74:HOT74"/>
    <mergeCell ref="HLP74:HLU74"/>
    <mergeCell ref="HLW74:HMB74"/>
    <mergeCell ref="HMD74:HMI74"/>
    <mergeCell ref="HMK74:HMP74"/>
    <mergeCell ref="HMR74:HMW74"/>
    <mergeCell ref="HMY74:HND74"/>
    <mergeCell ref="HJZ74:HKE74"/>
    <mergeCell ref="HKG74:HKL74"/>
    <mergeCell ref="HKN74:HKS74"/>
    <mergeCell ref="HKU74:HKZ74"/>
    <mergeCell ref="HLB74:HLG74"/>
    <mergeCell ref="HLI74:HLN74"/>
    <mergeCell ref="HIJ74:HIO74"/>
    <mergeCell ref="HIQ74:HIV74"/>
    <mergeCell ref="HIX74:HJC74"/>
    <mergeCell ref="HJE74:HJJ74"/>
    <mergeCell ref="HJL74:HJQ74"/>
    <mergeCell ref="HJS74:HJX74"/>
    <mergeCell ref="HGT74:HGY74"/>
    <mergeCell ref="HHA74:HHF74"/>
    <mergeCell ref="HHH74:HHM74"/>
    <mergeCell ref="HHO74:HHT74"/>
    <mergeCell ref="HHV74:HIA74"/>
    <mergeCell ref="HIC74:HIH74"/>
    <mergeCell ref="HFD74:HFI74"/>
    <mergeCell ref="HFK74:HFP74"/>
    <mergeCell ref="HFR74:HFW74"/>
    <mergeCell ref="HFY74:HGD74"/>
    <mergeCell ref="HGF74:HGK74"/>
    <mergeCell ref="HGM74:HGR74"/>
    <mergeCell ref="HDN74:HDS74"/>
    <mergeCell ref="HDU74:HDZ74"/>
    <mergeCell ref="HEB74:HEG74"/>
    <mergeCell ref="HEI74:HEN74"/>
    <mergeCell ref="HEP74:HEU74"/>
    <mergeCell ref="HEW74:HFB74"/>
    <mergeCell ref="HBX74:HCC74"/>
    <mergeCell ref="HCE74:HCJ74"/>
    <mergeCell ref="HCL74:HCQ74"/>
    <mergeCell ref="HCS74:HCX74"/>
    <mergeCell ref="HCZ74:HDE74"/>
    <mergeCell ref="HDG74:HDL74"/>
    <mergeCell ref="HAH74:HAM74"/>
    <mergeCell ref="HAO74:HAT74"/>
    <mergeCell ref="HAV74:HBA74"/>
    <mergeCell ref="HBC74:HBH74"/>
    <mergeCell ref="HBJ74:HBO74"/>
    <mergeCell ref="HBQ74:HBV74"/>
    <mergeCell ref="GYR74:GYW74"/>
    <mergeCell ref="GYY74:GZD74"/>
    <mergeCell ref="GZF74:GZK74"/>
    <mergeCell ref="GZM74:GZR74"/>
    <mergeCell ref="GZT74:GZY74"/>
    <mergeCell ref="HAA74:HAF74"/>
    <mergeCell ref="GXB74:GXG74"/>
    <mergeCell ref="GXI74:GXN74"/>
    <mergeCell ref="GXP74:GXU74"/>
    <mergeCell ref="GXW74:GYB74"/>
    <mergeCell ref="GYD74:GYI74"/>
    <mergeCell ref="GYK74:GYP74"/>
    <mergeCell ref="GVL74:GVQ74"/>
    <mergeCell ref="GVS74:GVX74"/>
    <mergeCell ref="GVZ74:GWE74"/>
    <mergeCell ref="GWG74:GWL74"/>
    <mergeCell ref="GWN74:GWS74"/>
    <mergeCell ref="GWU74:GWZ74"/>
    <mergeCell ref="GTV74:GUA74"/>
    <mergeCell ref="GUC74:GUH74"/>
    <mergeCell ref="GUJ74:GUO74"/>
    <mergeCell ref="GUQ74:GUV74"/>
    <mergeCell ref="GUX74:GVC74"/>
    <mergeCell ref="GVE74:GVJ74"/>
    <mergeCell ref="GSF74:GSK74"/>
    <mergeCell ref="GSM74:GSR74"/>
    <mergeCell ref="GST74:GSY74"/>
    <mergeCell ref="GTA74:GTF74"/>
    <mergeCell ref="GTH74:GTM74"/>
    <mergeCell ref="GTO74:GTT74"/>
    <mergeCell ref="GQP74:GQU74"/>
    <mergeCell ref="GQW74:GRB74"/>
    <mergeCell ref="GRD74:GRI74"/>
    <mergeCell ref="GRK74:GRP74"/>
    <mergeCell ref="GRR74:GRW74"/>
    <mergeCell ref="GRY74:GSD74"/>
    <mergeCell ref="GOZ74:GPE74"/>
    <mergeCell ref="GPG74:GPL74"/>
    <mergeCell ref="GPN74:GPS74"/>
    <mergeCell ref="GPU74:GPZ74"/>
    <mergeCell ref="GQB74:GQG74"/>
    <mergeCell ref="GQI74:GQN74"/>
    <mergeCell ref="GNJ74:GNO74"/>
    <mergeCell ref="GNQ74:GNV74"/>
    <mergeCell ref="GNX74:GOC74"/>
    <mergeCell ref="GOE74:GOJ74"/>
    <mergeCell ref="GOL74:GOQ74"/>
    <mergeCell ref="GOS74:GOX74"/>
    <mergeCell ref="GLT74:GLY74"/>
    <mergeCell ref="GMA74:GMF74"/>
    <mergeCell ref="GMH74:GMM74"/>
    <mergeCell ref="GMO74:GMT74"/>
    <mergeCell ref="GMV74:GNA74"/>
    <mergeCell ref="GNC74:GNH74"/>
    <mergeCell ref="GKD74:GKI74"/>
    <mergeCell ref="GKK74:GKP74"/>
    <mergeCell ref="GKR74:GKW74"/>
    <mergeCell ref="GKY74:GLD74"/>
    <mergeCell ref="GLF74:GLK74"/>
    <mergeCell ref="GLM74:GLR74"/>
    <mergeCell ref="GIN74:GIS74"/>
    <mergeCell ref="GIU74:GIZ74"/>
    <mergeCell ref="GJB74:GJG74"/>
    <mergeCell ref="GJI74:GJN74"/>
    <mergeCell ref="GJP74:GJU74"/>
    <mergeCell ref="GJW74:GKB74"/>
    <mergeCell ref="GGX74:GHC74"/>
    <mergeCell ref="GHE74:GHJ74"/>
    <mergeCell ref="GHL74:GHQ74"/>
    <mergeCell ref="GHS74:GHX74"/>
    <mergeCell ref="GHZ74:GIE74"/>
    <mergeCell ref="GIG74:GIL74"/>
    <mergeCell ref="GFH74:GFM74"/>
    <mergeCell ref="GFO74:GFT74"/>
    <mergeCell ref="GFV74:GGA74"/>
    <mergeCell ref="GGC74:GGH74"/>
    <mergeCell ref="GGJ74:GGO74"/>
    <mergeCell ref="GGQ74:GGV74"/>
    <mergeCell ref="GDR74:GDW74"/>
    <mergeCell ref="GDY74:GED74"/>
    <mergeCell ref="GEF74:GEK74"/>
    <mergeCell ref="GEM74:GER74"/>
    <mergeCell ref="GET74:GEY74"/>
    <mergeCell ref="GFA74:GFF74"/>
    <mergeCell ref="GCB74:GCG74"/>
    <mergeCell ref="GCI74:GCN74"/>
    <mergeCell ref="GCP74:GCU74"/>
    <mergeCell ref="GCW74:GDB74"/>
    <mergeCell ref="GDD74:GDI74"/>
    <mergeCell ref="GDK74:GDP74"/>
    <mergeCell ref="GAL74:GAQ74"/>
    <mergeCell ref="GAS74:GAX74"/>
    <mergeCell ref="GAZ74:GBE74"/>
    <mergeCell ref="GBG74:GBL74"/>
    <mergeCell ref="GBN74:GBS74"/>
    <mergeCell ref="GBU74:GBZ74"/>
    <mergeCell ref="FYV74:FZA74"/>
    <mergeCell ref="FZC74:FZH74"/>
    <mergeCell ref="FZJ74:FZO74"/>
    <mergeCell ref="FZQ74:FZV74"/>
    <mergeCell ref="FZX74:GAC74"/>
    <mergeCell ref="GAE74:GAJ74"/>
    <mergeCell ref="FXF74:FXK74"/>
    <mergeCell ref="FXM74:FXR74"/>
    <mergeCell ref="FXT74:FXY74"/>
    <mergeCell ref="FYA74:FYF74"/>
    <mergeCell ref="FYH74:FYM74"/>
    <mergeCell ref="FYO74:FYT74"/>
    <mergeCell ref="FVP74:FVU74"/>
    <mergeCell ref="FVW74:FWB74"/>
    <mergeCell ref="FWD74:FWI74"/>
    <mergeCell ref="FWK74:FWP74"/>
    <mergeCell ref="FWR74:FWW74"/>
    <mergeCell ref="FWY74:FXD74"/>
    <mergeCell ref="FTZ74:FUE74"/>
    <mergeCell ref="FUG74:FUL74"/>
    <mergeCell ref="FUN74:FUS74"/>
    <mergeCell ref="FUU74:FUZ74"/>
    <mergeCell ref="FVB74:FVG74"/>
    <mergeCell ref="FVI74:FVN74"/>
    <mergeCell ref="FSJ74:FSO74"/>
    <mergeCell ref="FSQ74:FSV74"/>
    <mergeCell ref="FSX74:FTC74"/>
    <mergeCell ref="FTE74:FTJ74"/>
    <mergeCell ref="FTL74:FTQ74"/>
    <mergeCell ref="FTS74:FTX74"/>
    <mergeCell ref="FQT74:FQY74"/>
    <mergeCell ref="FRA74:FRF74"/>
    <mergeCell ref="FRH74:FRM74"/>
    <mergeCell ref="FRO74:FRT74"/>
    <mergeCell ref="FRV74:FSA74"/>
    <mergeCell ref="FSC74:FSH74"/>
    <mergeCell ref="FPD74:FPI74"/>
    <mergeCell ref="FPK74:FPP74"/>
    <mergeCell ref="FPR74:FPW74"/>
    <mergeCell ref="FPY74:FQD74"/>
    <mergeCell ref="FQF74:FQK74"/>
    <mergeCell ref="FQM74:FQR74"/>
    <mergeCell ref="FNN74:FNS74"/>
    <mergeCell ref="FNU74:FNZ74"/>
    <mergeCell ref="FOB74:FOG74"/>
    <mergeCell ref="FOI74:FON74"/>
    <mergeCell ref="FOP74:FOU74"/>
    <mergeCell ref="FOW74:FPB74"/>
    <mergeCell ref="FLX74:FMC74"/>
    <mergeCell ref="FME74:FMJ74"/>
    <mergeCell ref="FML74:FMQ74"/>
    <mergeCell ref="FMS74:FMX74"/>
    <mergeCell ref="FMZ74:FNE74"/>
    <mergeCell ref="FNG74:FNL74"/>
    <mergeCell ref="FKH74:FKM74"/>
    <mergeCell ref="FKO74:FKT74"/>
    <mergeCell ref="FKV74:FLA74"/>
    <mergeCell ref="FLC74:FLH74"/>
    <mergeCell ref="FLJ74:FLO74"/>
    <mergeCell ref="FLQ74:FLV74"/>
    <mergeCell ref="FIR74:FIW74"/>
    <mergeCell ref="FIY74:FJD74"/>
    <mergeCell ref="FJF74:FJK74"/>
    <mergeCell ref="FJM74:FJR74"/>
    <mergeCell ref="FJT74:FJY74"/>
    <mergeCell ref="FKA74:FKF74"/>
    <mergeCell ref="FHB74:FHG74"/>
    <mergeCell ref="FHI74:FHN74"/>
    <mergeCell ref="FHP74:FHU74"/>
    <mergeCell ref="FHW74:FIB74"/>
    <mergeCell ref="FID74:FII74"/>
    <mergeCell ref="FIK74:FIP74"/>
    <mergeCell ref="FFL74:FFQ74"/>
    <mergeCell ref="FFS74:FFX74"/>
    <mergeCell ref="FFZ74:FGE74"/>
    <mergeCell ref="FGG74:FGL74"/>
    <mergeCell ref="FGN74:FGS74"/>
    <mergeCell ref="FGU74:FGZ74"/>
    <mergeCell ref="FDV74:FEA74"/>
    <mergeCell ref="FEC74:FEH74"/>
    <mergeCell ref="FEJ74:FEO74"/>
    <mergeCell ref="FEQ74:FEV74"/>
    <mergeCell ref="FEX74:FFC74"/>
    <mergeCell ref="FFE74:FFJ74"/>
    <mergeCell ref="FCF74:FCK74"/>
    <mergeCell ref="FCM74:FCR74"/>
    <mergeCell ref="FCT74:FCY74"/>
    <mergeCell ref="FDA74:FDF74"/>
    <mergeCell ref="FDH74:FDM74"/>
    <mergeCell ref="FDO74:FDT74"/>
    <mergeCell ref="FAP74:FAU74"/>
    <mergeCell ref="FAW74:FBB74"/>
    <mergeCell ref="FBD74:FBI74"/>
    <mergeCell ref="FBK74:FBP74"/>
    <mergeCell ref="FBR74:FBW74"/>
    <mergeCell ref="FBY74:FCD74"/>
    <mergeCell ref="EYZ74:EZE74"/>
    <mergeCell ref="EZG74:EZL74"/>
    <mergeCell ref="EZN74:EZS74"/>
    <mergeCell ref="EZU74:EZZ74"/>
    <mergeCell ref="FAB74:FAG74"/>
    <mergeCell ref="FAI74:FAN74"/>
    <mergeCell ref="EXJ74:EXO74"/>
    <mergeCell ref="EXQ74:EXV74"/>
    <mergeCell ref="EXX74:EYC74"/>
    <mergeCell ref="EYE74:EYJ74"/>
    <mergeCell ref="EYL74:EYQ74"/>
    <mergeCell ref="EYS74:EYX74"/>
    <mergeCell ref="EVT74:EVY74"/>
    <mergeCell ref="EWA74:EWF74"/>
    <mergeCell ref="EWH74:EWM74"/>
    <mergeCell ref="EWO74:EWT74"/>
    <mergeCell ref="EWV74:EXA74"/>
    <mergeCell ref="EXC74:EXH74"/>
    <mergeCell ref="EUD74:EUI74"/>
    <mergeCell ref="EUK74:EUP74"/>
    <mergeCell ref="EUR74:EUW74"/>
    <mergeCell ref="EUY74:EVD74"/>
    <mergeCell ref="EVF74:EVK74"/>
    <mergeCell ref="EVM74:EVR74"/>
    <mergeCell ref="ESN74:ESS74"/>
    <mergeCell ref="ESU74:ESZ74"/>
    <mergeCell ref="ETB74:ETG74"/>
    <mergeCell ref="ETI74:ETN74"/>
    <mergeCell ref="ETP74:ETU74"/>
    <mergeCell ref="ETW74:EUB74"/>
    <mergeCell ref="EQX74:ERC74"/>
    <mergeCell ref="ERE74:ERJ74"/>
    <mergeCell ref="ERL74:ERQ74"/>
    <mergeCell ref="ERS74:ERX74"/>
    <mergeCell ref="ERZ74:ESE74"/>
    <mergeCell ref="ESG74:ESL74"/>
    <mergeCell ref="EPH74:EPM74"/>
    <mergeCell ref="EPO74:EPT74"/>
    <mergeCell ref="EPV74:EQA74"/>
    <mergeCell ref="EQC74:EQH74"/>
    <mergeCell ref="EQJ74:EQO74"/>
    <mergeCell ref="EQQ74:EQV74"/>
    <mergeCell ref="ENR74:ENW74"/>
    <mergeCell ref="ENY74:EOD74"/>
    <mergeCell ref="EOF74:EOK74"/>
    <mergeCell ref="EOM74:EOR74"/>
    <mergeCell ref="EOT74:EOY74"/>
    <mergeCell ref="EPA74:EPF74"/>
    <mergeCell ref="EMB74:EMG74"/>
    <mergeCell ref="EMI74:EMN74"/>
    <mergeCell ref="EMP74:EMU74"/>
    <mergeCell ref="EMW74:ENB74"/>
    <mergeCell ref="END74:ENI74"/>
    <mergeCell ref="ENK74:ENP74"/>
    <mergeCell ref="EKL74:EKQ74"/>
    <mergeCell ref="EKS74:EKX74"/>
    <mergeCell ref="EKZ74:ELE74"/>
    <mergeCell ref="ELG74:ELL74"/>
    <mergeCell ref="ELN74:ELS74"/>
    <mergeCell ref="ELU74:ELZ74"/>
    <mergeCell ref="EIV74:EJA74"/>
    <mergeCell ref="EJC74:EJH74"/>
    <mergeCell ref="EJJ74:EJO74"/>
    <mergeCell ref="EJQ74:EJV74"/>
    <mergeCell ref="EJX74:EKC74"/>
    <mergeCell ref="EKE74:EKJ74"/>
    <mergeCell ref="EHF74:EHK74"/>
    <mergeCell ref="EHM74:EHR74"/>
    <mergeCell ref="EHT74:EHY74"/>
    <mergeCell ref="EIA74:EIF74"/>
    <mergeCell ref="EIH74:EIM74"/>
    <mergeCell ref="EIO74:EIT74"/>
    <mergeCell ref="EFP74:EFU74"/>
    <mergeCell ref="EFW74:EGB74"/>
    <mergeCell ref="EGD74:EGI74"/>
    <mergeCell ref="EGK74:EGP74"/>
    <mergeCell ref="EGR74:EGW74"/>
    <mergeCell ref="EGY74:EHD74"/>
    <mergeCell ref="EDZ74:EEE74"/>
    <mergeCell ref="EEG74:EEL74"/>
    <mergeCell ref="EEN74:EES74"/>
    <mergeCell ref="EEU74:EEZ74"/>
    <mergeCell ref="EFB74:EFG74"/>
    <mergeCell ref="EFI74:EFN74"/>
    <mergeCell ref="ECJ74:ECO74"/>
    <mergeCell ref="ECQ74:ECV74"/>
    <mergeCell ref="ECX74:EDC74"/>
    <mergeCell ref="EDE74:EDJ74"/>
    <mergeCell ref="EDL74:EDQ74"/>
    <mergeCell ref="EDS74:EDX74"/>
    <mergeCell ref="EAT74:EAY74"/>
    <mergeCell ref="EBA74:EBF74"/>
    <mergeCell ref="EBH74:EBM74"/>
    <mergeCell ref="EBO74:EBT74"/>
    <mergeCell ref="EBV74:ECA74"/>
    <mergeCell ref="ECC74:ECH74"/>
    <mergeCell ref="DZD74:DZI74"/>
    <mergeCell ref="DZK74:DZP74"/>
    <mergeCell ref="DZR74:DZW74"/>
    <mergeCell ref="DZY74:EAD74"/>
    <mergeCell ref="EAF74:EAK74"/>
    <mergeCell ref="EAM74:EAR74"/>
    <mergeCell ref="DXN74:DXS74"/>
    <mergeCell ref="DXU74:DXZ74"/>
    <mergeCell ref="DYB74:DYG74"/>
    <mergeCell ref="DYI74:DYN74"/>
    <mergeCell ref="DYP74:DYU74"/>
    <mergeCell ref="DYW74:DZB74"/>
    <mergeCell ref="DVX74:DWC74"/>
    <mergeCell ref="DWE74:DWJ74"/>
    <mergeCell ref="DWL74:DWQ74"/>
    <mergeCell ref="DWS74:DWX74"/>
    <mergeCell ref="DWZ74:DXE74"/>
    <mergeCell ref="DXG74:DXL74"/>
    <mergeCell ref="DUH74:DUM74"/>
    <mergeCell ref="DUO74:DUT74"/>
    <mergeCell ref="DUV74:DVA74"/>
    <mergeCell ref="DVC74:DVH74"/>
    <mergeCell ref="DVJ74:DVO74"/>
    <mergeCell ref="DVQ74:DVV74"/>
    <mergeCell ref="DSR74:DSW74"/>
    <mergeCell ref="DSY74:DTD74"/>
    <mergeCell ref="DTF74:DTK74"/>
    <mergeCell ref="DTM74:DTR74"/>
    <mergeCell ref="DTT74:DTY74"/>
    <mergeCell ref="DUA74:DUF74"/>
    <mergeCell ref="DRB74:DRG74"/>
    <mergeCell ref="DRI74:DRN74"/>
    <mergeCell ref="DRP74:DRU74"/>
    <mergeCell ref="DRW74:DSB74"/>
    <mergeCell ref="DSD74:DSI74"/>
    <mergeCell ref="DSK74:DSP74"/>
    <mergeCell ref="DPL74:DPQ74"/>
    <mergeCell ref="DPS74:DPX74"/>
    <mergeCell ref="DPZ74:DQE74"/>
    <mergeCell ref="DQG74:DQL74"/>
    <mergeCell ref="DQN74:DQS74"/>
    <mergeCell ref="DQU74:DQZ74"/>
    <mergeCell ref="DNV74:DOA74"/>
    <mergeCell ref="DOC74:DOH74"/>
    <mergeCell ref="DOJ74:DOO74"/>
    <mergeCell ref="DOQ74:DOV74"/>
    <mergeCell ref="DOX74:DPC74"/>
    <mergeCell ref="DPE74:DPJ74"/>
    <mergeCell ref="DMF74:DMK74"/>
    <mergeCell ref="DMM74:DMR74"/>
    <mergeCell ref="DMT74:DMY74"/>
    <mergeCell ref="DNA74:DNF74"/>
    <mergeCell ref="DNH74:DNM74"/>
    <mergeCell ref="DNO74:DNT74"/>
    <mergeCell ref="DKP74:DKU74"/>
    <mergeCell ref="DKW74:DLB74"/>
    <mergeCell ref="DLD74:DLI74"/>
    <mergeCell ref="DLK74:DLP74"/>
    <mergeCell ref="DLR74:DLW74"/>
    <mergeCell ref="DLY74:DMD74"/>
    <mergeCell ref="DIZ74:DJE74"/>
    <mergeCell ref="DJG74:DJL74"/>
    <mergeCell ref="DJN74:DJS74"/>
    <mergeCell ref="DJU74:DJZ74"/>
    <mergeCell ref="DKB74:DKG74"/>
    <mergeCell ref="DKI74:DKN74"/>
    <mergeCell ref="DHJ74:DHO74"/>
    <mergeCell ref="DHQ74:DHV74"/>
    <mergeCell ref="DHX74:DIC74"/>
    <mergeCell ref="DIE74:DIJ74"/>
    <mergeCell ref="DIL74:DIQ74"/>
    <mergeCell ref="DIS74:DIX74"/>
    <mergeCell ref="DFT74:DFY74"/>
    <mergeCell ref="DGA74:DGF74"/>
    <mergeCell ref="DGH74:DGM74"/>
    <mergeCell ref="DGO74:DGT74"/>
    <mergeCell ref="DGV74:DHA74"/>
    <mergeCell ref="DHC74:DHH74"/>
    <mergeCell ref="DED74:DEI74"/>
    <mergeCell ref="DEK74:DEP74"/>
    <mergeCell ref="DER74:DEW74"/>
    <mergeCell ref="DEY74:DFD74"/>
    <mergeCell ref="DFF74:DFK74"/>
    <mergeCell ref="DFM74:DFR74"/>
    <mergeCell ref="DCN74:DCS74"/>
    <mergeCell ref="DCU74:DCZ74"/>
    <mergeCell ref="DDB74:DDG74"/>
    <mergeCell ref="DDI74:DDN74"/>
    <mergeCell ref="DDP74:DDU74"/>
    <mergeCell ref="DDW74:DEB74"/>
    <mergeCell ref="DAX74:DBC74"/>
    <mergeCell ref="DBE74:DBJ74"/>
    <mergeCell ref="DBL74:DBQ74"/>
    <mergeCell ref="DBS74:DBX74"/>
    <mergeCell ref="DBZ74:DCE74"/>
    <mergeCell ref="DCG74:DCL74"/>
    <mergeCell ref="CZH74:CZM74"/>
    <mergeCell ref="CZO74:CZT74"/>
    <mergeCell ref="CZV74:DAA74"/>
    <mergeCell ref="DAC74:DAH74"/>
    <mergeCell ref="DAJ74:DAO74"/>
    <mergeCell ref="DAQ74:DAV74"/>
    <mergeCell ref="CXR74:CXW74"/>
    <mergeCell ref="CXY74:CYD74"/>
    <mergeCell ref="CYF74:CYK74"/>
    <mergeCell ref="CYM74:CYR74"/>
    <mergeCell ref="CYT74:CYY74"/>
    <mergeCell ref="CZA74:CZF74"/>
    <mergeCell ref="CWB74:CWG74"/>
    <mergeCell ref="CWI74:CWN74"/>
    <mergeCell ref="CWP74:CWU74"/>
    <mergeCell ref="CWW74:CXB74"/>
    <mergeCell ref="CXD74:CXI74"/>
    <mergeCell ref="CXK74:CXP74"/>
    <mergeCell ref="CUL74:CUQ74"/>
    <mergeCell ref="CUS74:CUX74"/>
    <mergeCell ref="CUZ74:CVE74"/>
    <mergeCell ref="CVG74:CVL74"/>
    <mergeCell ref="CVN74:CVS74"/>
    <mergeCell ref="CVU74:CVZ74"/>
    <mergeCell ref="CSV74:CTA74"/>
    <mergeCell ref="CTC74:CTH74"/>
    <mergeCell ref="CTJ74:CTO74"/>
    <mergeCell ref="CTQ74:CTV74"/>
    <mergeCell ref="CTX74:CUC74"/>
    <mergeCell ref="CUE74:CUJ74"/>
    <mergeCell ref="CRF74:CRK74"/>
    <mergeCell ref="CRM74:CRR74"/>
    <mergeCell ref="CRT74:CRY74"/>
    <mergeCell ref="CSA74:CSF74"/>
    <mergeCell ref="CSH74:CSM74"/>
    <mergeCell ref="CSO74:CST74"/>
    <mergeCell ref="CPP74:CPU74"/>
    <mergeCell ref="CPW74:CQB74"/>
    <mergeCell ref="CQD74:CQI74"/>
    <mergeCell ref="CQK74:CQP74"/>
    <mergeCell ref="CQR74:CQW74"/>
    <mergeCell ref="CQY74:CRD74"/>
    <mergeCell ref="CNZ74:COE74"/>
    <mergeCell ref="COG74:COL74"/>
    <mergeCell ref="CON74:COS74"/>
    <mergeCell ref="COU74:COZ74"/>
    <mergeCell ref="CPB74:CPG74"/>
    <mergeCell ref="CPI74:CPN74"/>
    <mergeCell ref="CMJ74:CMO74"/>
    <mergeCell ref="CMQ74:CMV74"/>
    <mergeCell ref="CMX74:CNC74"/>
    <mergeCell ref="CNE74:CNJ74"/>
    <mergeCell ref="CNL74:CNQ74"/>
    <mergeCell ref="CNS74:CNX74"/>
    <mergeCell ref="CKT74:CKY74"/>
    <mergeCell ref="CLA74:CLF74"/>
    <mergeCell ref="CLH74:CLM74"/>
    <mergeCell ref="CLO74:CLT74"/>
    <mergeCell ref="CLV74:CMA74"/>
    <mergeCell ref="CMC74:CMH74"/>
    <mergeCell ref="CJD74:CJI74"/>
    <mergeCell ref="CJK74:CJP74"/>
    <mergeCell ref="CJR74:CJW74"/>
    <mergeCell ref="CJY74:CKD74"/>
    <mergeCell ref="CKF74:CKK74"/>
    <mergeCell ref="CKM74:CKR74"/>
    <mergeCell ref="CHN74:CHS74"/>
    <mergeCell ref="CHU74:CHZ74"/>
    <mergeCell ref="CIB74:CIG74"/>
    <mergeCell ref="CII74:CIN74"/>
    <mergeCell ref="CIP74:CIU74"/>
    <mergeCell ref="CIW74:CJB74"/>
    <mergeCell ref="CFX74:CGC74"/>
    <mergeCell ref="CGE74:CGJ74"/>
    <mergeCell ref="CGL74:CGQ74"/>
    <mergeCell ref="CGS74:CGX74"/>
    <mergeCell ref="CGZ74:CHE74"/>
    <mergeCell ref="CHG74:CHL74"/>
    <mergeCell ref="CEH74:CEM74"/>
    <mergeCell ref="CEO74:CET74"/>
    <mergeCell ref="CEV74:CFA74"/>
    <mergeCell ref="CFC74:CFH74"/>
    <mergeCell ref="CFJ74:CFO74"/>
    <mergeCell ref="CFQ74:CFV74"/>
    <mergeCell ref="CCR74:CCW74"/>
    <mergeCell ref="CCY74:CDD74"/>
    <mergeCell ref="CDF74:CDK74"/>
    <mergeCell ref="CDM74:CDR74"/>
    <mergeCell ref="CDT74:CDY74"/>
    <mergeCell ref="CEA74:CEF74"/>
    <mergeCell ref="CBB74:CBG74"/>
    <mergeCell ref="CBI74:CBN74"/>
    <mergeCell ref="CBP74:CBU74"/>
    <mergeCell ref="CBW74:CCB74"/>
    <mergeCell ref="CCD74:CCI74"/>
    <mergeCell ref="CCK74:CCP74"/>
    <mergeCell ref="BZL74:BZQ74"/>
    <mergeCell ref="BZS74:BZX74"/>
    <mergeCell ref="BZZ74:CAE74"/>
    <mergeCell ref="CAG74:CAL74"/>
    <mergeCell ref="CAN74:CAS74"/>
    <mergeCell ref="CAU74:CAZ74"/>
    <mergeCell ref="BXV74:BYA74"/>
    <mergeCell ref="BYC74:BYH74"/>
    <mergeCell ref="BYJ74:BYO74"/>
    <mergeCell ref="BYQ74:BYV74"/>
    <mergeCell ref="BYX74:BZC74"/>
    <mergeCell ref="BZE74:BZJ74"/>
    <mergeCell ref="BWF74:BWK74"/>
    <mergeCell ref="BWM74:BWR74"/>
    <mergeCell ref="BWT74:BWY74"/>
    <mergeCell ref="BXA74:BXF74"/>
    <mergeCell ref="BXH74:BXM74"/>
    <mergeCell ref="BXO74:BXT74"/>
    <mergeCell ref="BUP74:BUU74"/>
    <mergeCell ref="BUW74:BVB74"/>
    <mergeCell ref="BVD74:BVI74"/>
    <mergeCell ref="BVK74:BVP74"/>
    <mergeCell ref="BVR74:BVW74"/>
    <mergeCell ref="BVY74:BWD74"/>
    <mergeCell ref="BSZ74:BTE74"/>
    <mergeCell ref="BTG74:BTL74"/>
    <mergeCell ref="BTN74:BTS74"/>
    <mergeCell ref="BTU74:BTZ74"/>
    <mergeCell ref="BUB74:BUG74"/>
    <mergeCell ref="BUI74:BUN74"/>
    <mergeCell ref="BRJ74:BRO74"/>
    <mergeCell ref="BRQ74:BRV74"/>
    <mergeCell ref="BRX74:BSC74"/>
    <mergeCell ref="BSE74:BSJ74"/>
    <mergeCell ref="BSL74:BSQ74"/>
    <mergeCell ref="BSS74:BSX74"/>
    <mergeCell ref="BPT74:BPY74"/>
    <mergeCell ref="BQA74:BQF74"/>
    <mergeCell ref="BQH74:BQM74"/>
    <mergeCell ref="BQO74:BQT74"/>
    <mergeCell ref="BQV74:BRA74"/>
    <mergeCell ref="BRC74:BRH74"/>
    <mergeCell ref="BOD74:BOI74"/>
    <mergeCell ref="BOK74:BOP74"/>
    <mergeCell ref="BOR74:BOW74"/>
    <mergeCell ref="BOY74:BPD74"/>
    <mergeCell ref="BPF74:BPK74"/>
    <mergeCell ref="BPM74:BPR74"/>
    <mergeCell ref="BMN74:BMS74"/>
    <mergeCell ref="BMU74:BMZ74"/>
    <mergeCell ref="BNB74:BNG74"/>
    <mergeCell ref="BNI74:BNN74"/>
    <mergeCell ref="BNP74:BNU74"/>
    <mergeCell ref="BNW74:BOB74"/>
    <mergeCell ref="BKX74:BLC74"/>
    <mergeCell ref="BLE74:BLJ74"/>
    <mergeCell ref="BLL74:BLQ74"/>
    <mergeCell ref="BLS74:BLX74"/>
    <mergeCell ref="BLZ74:BME74"/>
    <mergeCell ref="BMG74:BML74"/>
    <mergeCell ref="BJH74:BJM74"/>
    <mergeCell ref="BJO74:BJT74"/>
    <mergeCell ref="BJV74:BKA74"/>
    <mergeCell ref="BKC74:BKH74"/>
    <mergeCell ref="BKJ74:BKO74"/>
    <mergeCell ref="BKQ74:BKV74"/>
    <mergeCell ref="BHR74:BHW74"/>
    <mergeCell ref="BHY74:BID74"/>
    <mergeCell ref="BIF74:BIK74"/>
    <mergeCell ref="BIM74:BIR74"/>
    <mergeCell ref="BIT74:BIY74"/>
    <mergeCell ref="BJA74:BJF74"/>
    <mergeCell ref="BGB74:BGG74"/>
    <mergeCell ref="BGI74:BGN74"/>
    <mergeCell ref="BGP74:BGU74"/>
    <mergeCell ref="BGW74:BHB74"/>
    <mergeCell ref="BHD74:BHI74"/>
    <mergeCell ref="BHK74:BHP74"/>
    <mergeCell ref="BEL74:BEQ74"/>
    <mergeCell ref="BES74:BEX74"/>
    <mergeCell ref="BEZ74:BFE74"/>
    <mergeCell ref="BFG74:BFL74"/>
    <mergeCell ref="BFN74:BFS74"/>
    <mergeCell ref="BFU74:BFZ74"/>
    <mergeCell ref="BCV74:BDA74"/>
    <mergeCell ref="BDC74:BDH74"/>
    <mergeCell ref="BDJ74:BDO74"/>
    <mergeCell ref="BDQ74:BDV74"/>
    <mergeCell ref="BDX74:BEC74"/>
    <mergeCell ref="BEE74:BEJ74"/>
    <mergeCell ref="BBF74:BBK74"/>
    <mergeCell ref="BBM74:BBR74"/>
    <mergeCell ref="BBT74:BBY74"/>
    <mergeCell ref="BCA74:BCF74"/>
    <mergeCell ref="BCH74:BCM74"/>
    <mergeCell ref="BCO74:BCT74"/>
    <mergeCell ref="AZP74:AZU74"/>
    <mergeCell ref="AZW74:BAB74"/>
    <mergeCell ref="BAD74:BAI74"/>
    <mergeCell ref="BAK74:BAP74"/>
    <mergeCell ref="BAR74:BAW74"/>
    <mergeCell ref="BAY74:BBD74"/>
    <mergeCell ref="AXZ74:AYE74"/>
    <mergeCell ref="AYG74:AYL74"/>
    <mergeCell ref="AYN74:AYS74"/>
    <mergeCell ref="AYU74:AYZ74"/>
    <mergeCell ref="AZB74:AZG74"/>
    <mergeCell ref="AZI74:AZN74"/>
    <mergeCell ref="AWJ74:AWO74"/>
    <mergeCell ref="AWQ74:AWV74"/>
    <mergeCell ref="AWX74:AXC74"/>
    <mergeCell ref="AXE74:AXJ74"/>
    <mergeCell ref="AXL74:AXQ74"/>
    <mergeCell ref="AXS74:AXX74"/>
    <mergeCell ref="AUT74:AUY74"/>
    <mergeCell ref="AVA74:AVF74"/>
    <mergeCell ref="AVH74:AVM74"/>
    <mergeCell ref="AVO74:AVT74"/>
    <mergeCell ref="AVV74:AWA74"/>
    <mergeCell ref="AWC74:AWH74"/>
    <mergeCell ref="ATD74:ATI74"/>
    <mergeCell ref="ATK74:ATP74"/>
    <mergeCell ref="ATR74:ATW74"/>
    <mergeCell ref="ATY74:AUD74"/>
    <mergeCell ref="AUF74:AUK74"/>
    <mergeCell ref="AUM74:AUR74"/>
    <mergeCell ref="ARN74:ARS74"/>
    <mergeCell ref="ARU74:ARZ74"/>
    <mergeCell ref="ASB74:ASG74"/>
    <mergeCell ref="ASI74:ASN74"/>
    <mergeCell ref="ASP74:ASU74"/>
    <mergeCell ref="ASW74:ATB74"/>
    <mergeCell ref="APX74:AQC74"/>
    <mergeCell ref="AQE74:AQJ74"/>
    <mergeCell ref="AQL74:AQQ74"/>
    <mergeCell ref="AQS74:AQX74"/>
    <mergeCell ref="AQZ74:ARE74"/>
    <mergeCell ref="ARG74:ARL74"/>
    <mergeCell ref="AOH74:AOM74"/>
    <mergeCell ref="AOO74:AOT74"/>
    <mergeCell ref="AOV74:APA74"/>
    <mergeCell ref="APC74:APH74"/>
    <mergeCell ref="APJ74:APO74"/>
    <mergeCell ref="APQ74:APV74"/>
    <mergeCell ref="AMR74:AMW74"/>
    <mergeCell ref="AMY74:AND74"/>
    <mergeCell ref="ANF74:ANK74"/>
    <mergeCell ref="ANM74:ANR74"/>
    <mergeCell ref="ANT74:ANY74"/>
    <mergeCell ref="AOA74:AOF74"/>
    <mergeCell ref="ALB74:ALG74"/>
    <mergeCell ref="ALI74:ALN74"/>
    <mergeCell ref="ALP74:ALU74"/>
    <mergeCell ref="ALW74:AMB74"/>
    <mergeCell ref="AMD74:AMI74"/>
    <mergeCell ref="AMK74:AMP74"/>
    <mergeCell ref="AJL74:AJQ74"/>
    <mergeCell ref="AJS74:AJX74"/>
    <mergeCell ref="AJZ74:AKE74"/>
    <mergeCell ref="AKG74:AKL74"/>
    <mergeCell ref="AKN74:AKS74"/>
    <mergeCell ref="AKU74:AKZ74"/>
    <mergeCell ref="AHV74:AIA74"/>
    <mergeCell ref="AIC74:AIH74"/>
    <mergeCell ref="AIJ74:AIO74"/>
    <mergeCell ref="AIQ74:AIV74"/>
    <mergeCell ref="AIX74:AJC74"/>
    <mergeCell ref="AJE74:AJJ74"/>
    <mergeCell ref="AGF74:AGK74"/>
    <mergeCell ref="AGM74:AGR74"/>
    <mergeCell ref="AGT74:AGY74"/>
    <mergeCell ref="AHA74:AHF74"/>
    <mergeCell ref="AHH74:AHM74"/>
    <mergeCell ref="AHO74:AHT74"/>
    <mergeCell ref="AEP74:AEU74"/>
    <mergeCell ref="AEW74:AFB74"/>
    <mergeCell ref="AFD74:AFI74"/>
    <mergeCell ref="AFK74:AFP74"/>
    <mergeCell ref="AFR74:AFW74"/>
    <mergeCell ref="AFY74:AGD74"/>
    <mergeCell ref="ACZ74:ADE74"/>
    <mergeCell ref="ADG74:ADL74"/>
    <mergeCell ref="ADN74:ADS74"/>
    <mergeCell ref="ADU74:ADZ74"/>
    <mergeCell ref="AEB74:AEG74"/>
    <mergeCell ref="AEI74:AEN74"/>
    <mergeCell ref="ABJ74:ABO74"/>
    <mergeCell ref="ABQ74:ABV74"/>
    <mergeCell ref="ABX74:ACC74"/>
    <mergeCell ref="ACE74:ACJ74"/>
    <mergeCell ref="ACL74:ACQ74"/>
    <mergeCell ref="ACS74:ACX74"/>
    <mergeCell ref="ZT74:ZY74"/>
    <mergeCell ref="AAA74:AAF74"/>
    <mergeCell ref="AAH74:AAM74"/>
    <mergeCell ref="AAO74:AAT74"/>
    <mergeCell ref="AAV74:ABA74"/>
    <mergeCell ref="ABC74:ABH74"/>
    <mergeCell ref="YD74:YI74"/>
    <mergeCell ref="YK74:YP74"/>
    <mergeCell ref="YR74:YW74"/>
    <mergeCell ref="YY74:ZD74"/>
    <mergeCell ref="ZF74:ZK74"/>
    <mergeCell ref="ZM74:ZR74"/>
    <mergeCell ref="WN74:WS74"/>
    <mergeCell ref="WU74:WZ74"/>
    <mergeCell ref="XB74:XG74"/>
    <mergeCell ref="XI74:XN74"/>
    <mergeCell ref="XP74:XU74"/>
    <mergeCell ref="XW74:YB74"/>
    <mergeCell ref="UX74:VC74"/>
    <mergeCell ref="VE74:VJ74"/>
    <mergeCell ref="VL74:VQ74"/>
    <mergeCell ref="VS74:VX74"/>
    <mergeCell ref="VZ74:WE74"/>
    <mergeCell ref="WG74:WL74"/>
    <mergeCell ref="TO74:TT74"/>
    <mergeCell ref="TV74:UA74"/>
    <mergeCell ref="UC74:UH74"/>
    <mergeCell ref="UJ74:UO74"/>
    <mergeCell ref="UQ74:UV74"/>
    <mergeCell ref="RR74:RW74"/>
    <mergeCell ref="RY74:SD74"/>
    <mergeCell ref="SF74:SK74"/>
    <mergeCell ref="SM74:SR74"/>
    <mergeCell ref="ST74:SY74"/>
    <mergeCell ref="TA74:TF74"/>
    <mergeCell ref="QB74:QG74"/>
    <mergeCell ref="QI74:QN74"/>
    <mergeCell ref="QP74:QU74"/>
    <mergeCell ref="QW74:RB74"/>
    <mergeCell ref="RD74:RI74"/>
    <mergeCell ref="RK74:RP74"/>
    <mergeCell ref="OZ74:PE74"/>
    <mergeCell ref="PG74:PL74"/>
    <mergeCell ref="PN74:PS74"/>
    <mergeCell ref="PU74:PZ74"/>
    <mergeCell ref="MV74:NA74"/>
    <mergeCell ref="NC74:NH74"/>
    <mergeCell ref="NJ74:NO74"/>
    <mergeCell ref="NQ74:NV74"/>
    <mergeCell ref="NX74:OC74"/>
    <mergeCell ref="OE74:OJ74"/>
    <mergeCell ref="LF74:LK74"/>
    <mergeCell ref="LM74:LR74"/>
    <mergeCell ref="LT74:LY74"/>
    <mergeCell ref="MA74:MF74"/>
    <mergeCell ref="MH74:MM74"/>
    <mergeCell ref="MO74:MT74"/>
    <mergeCell ref="TH74:TM74"/>
    <mergeCell ref="KD74:KI74"/>
    <mergeCell ref="KK74:KP74"/>
    <mergeCell ref="KR74:KW74"/>
    <mergeCell ref="KY74:LD74"/>
    <mergeCell ref="HZ74:IE74"/>
    <mergeCell ref="IG74:IL74"/>
    <mergeCell ref="IN74:IS74"/>
    <mergeCell ref="IU74:IZ74"/>
    <mergeCell ref="JB74:JG74"/>
    <mergeCell ref="JI74:JN74"/>
    <mergeCell ref="GQ74:GV74"/>
    <mergeCell ref="GX74:HC74"/>
    <mergeCell ref="HE74:HJ74"/>
    <mergeCell ref="HL74:HQ74"/>
    <mergeCell ref="HS74:HX74"/>
    <mergeCell ref="OL74:OQ74"/>
    <mergeCell ref="OS74:OX74"/>
    <mergeCell ref="FO74:FT74"/>
    <mergeCell ref="FV74:GA74"/>
    <mergeCell ref="GC74:GH74"/>
    <mergeCell ref="DD74:DI74"/>
    <mergeCell ref="DK74:DP74"/>
    <mergeCell ref="DR74:DW74"/>
    <mergeCell ref="DY74:ED74"/>
    <mergeCell ref="EF74:EK74"/>
    <mergeCell ref="EM74:ER74"/>
    <mergeCell ref="BN74:BS74"/>
    <mergeCell ref="BU74:BZ74"/>
    <mergeCell ref="CB74:CG74"/>
    <mergeCell ref="CI74:CN74"/>
    <mergeCell ref="CP74:CU74"/>
    <mergeCell ref="CW74:DB74"/>
    <mergeCell ref="JP74:JU74"/>
    <mergeCell ref="JW74:KB74"/>
    <mergeCell ref="XEV73:XEX73"/>
    <mergeCell ref="J74:O74"/>
    <mergeCell ref="Q74:V74"/>
    <mergeCell ref="X74:AC74"/>
    <mergeCell ref="AE74:AJ74"/>
    <mergeCell ref="AL74:AQ74"/>
    <mergeCell ref="AS74:AX74"/>
    <mergeCell ref="AZ74:BE74"/>
    <mergeCell ref="BG74:BL74"/>
    <mergeCell ref="XDF73:XDK73"/>
    <mergeCell ref="XDM73:XDR73"/>
    <mergeCell ref="XDT73:XDY73"/>
    <mergeCell ref="XEA73:XEF73"/>
    <mergeCell ref="XEH73:XEM73"/>
    <mergeCell ref="XEO73:XET73"/>
    <mergeCell ref="XBP73:XBU73"/>
    <mergeCell ref="XBW73:XCB73"/>
    <mergeCell ref="XCD73:XCI73"/>
    <mergeCell ref="XCK73:XCP73"/>
    <mergeCell ref="XCR73:XCW73"/>
    <mergeCell ref="XCY73:XDD73"/>
    <mergeCell ref="WZZ73:XAE73"/>
    <mergeCell ref="XAG73:XAL73"/>
    <mergeCell ref="XAN73:XAS73"/>
    <mergeCell ref="XAU73:XAZ73"/>
    <mergeCell ref="GJ74:GO74"/>
    <mergeCell ref="XBB73:XBG73"/>
    <mergeCell ref="XBI73:XBN73"/>
    <mergeCell ref="WYJ73:WYO73"/>
    <mergeCell ref="WYQ73:WYV73"/>
    <mergeCell ref="WYX73:WZC73"/>
    <mergeCell ref="WZE73:WZJ73"/>
    <mergeCell ref="WZL73:WZQ73"/>
    <mergeCell ref="WZS73:WZX73"/>
    <mergeCell ref="WWT73:WWY73"/>
    <mergeCell ref="WXA73:WXF73"/>
    <mergeCell ref="WXH73:WXM73"/>
    <mergeCell ref="WXO73:WXT73"/>
    <mergeCell ref="WXV73:WYA73"/>
    <mergeCell ref="WYC73:WYH73"/>
    <mergeCell ref="WVD73:WVI73"/>
    <mergeCell ref="WVK73:WVP73"/>
    <mergeCell ref="WVR73:WVW73"/>
    <mergeCell ref="WVY73:WWD73"/>
    <mergeCell ref="WWF73:WWK73"/>
    <mergeCell ref="WWM73:WWR73"/>
    <mergeCell ref="WTN73:WTS73"/>
    <mergeCell ref="WTU73:WTZ73"/>
    <mergeCell ref="WUB73:WUG73"/>
    <mergeCell ref="WUI73:WUN73"/>
    <mergeCell ref="WUP73:WUU73"/>
    <mergeCell ref="WUW73:WVB73"/>
    <mergeCell ref="WRX73:WSC73"/>
    <mergeCell ref="WSE73:WSJ73"/>
    <mergeCell ref="WSL73:WSQ73"/>
    <mergeCell ref="WSS73:WSX73"/>
    <mergeCell ref="WSZ73:WTE73"/>
    <mergeCell ref="WTG73:WTL73"/>
    <mergeCell ref="WQH73:WQM73"/>
    <mergeCell ref="WQO73:WQT73"/>
    <mergeCell ref="WQV73:WRA73"/>
    <mergeCell ref="WRC73:WRH73"/>
    <mergeCell ref="WRJ73:WRO73"/>
    <mergeCell ref="WRQ73:WRV73"/>
    <mergeCell ref="WOR73:WOW73"/>
    <mergeCell ref="WOY73:WPD73"/>
    <mergeCell ref="WPF73:WPK73"/>
    <mergeCell ref="WPM73:WPR73"/>
    <mergeCell ref="WPT73:WPY73"/>
    <mergeCell ref="WQA73:WQF73"/>
    <mergeCell ref="WNB73:WNG73"/>
    <mergeCell ref="WNI73:WNN73"/>
    <mergeCell ref="WNP73:WNU73"/>
    <mergeCell ref="WNW73:WOB73"/>
    <mergeCell ref="WOD73:WOI73"/>
    <mergeCell ref="WOK73:WOP73"/>
    <mergeCell ref="WLL73:WLQ73"/>
    <mergeCell ref="WLS73:WLX73"/>
    <mergeCell ref="WLZ73:WME73"/>
    <mergeCell ref="WMG73:WML73"/>
    <mergeCell ref="WMN73:WMS73"/>
    <mergeCell ref="WMU73:WMZ73"/>
    <mergeCell ref="WJV73:WKA73"/>
    <mergeCell ref="WKC73:WKH73"/>
    <mergeCell ref="WKJ73:WKO73"/>
    <mergeCell ref="WKQ73:WKV73"/>
    <mergeCell ref="WKX73:WLC73"/>
    <mergeCell ref="WLE73:WLJ73"/>
    <mergeCell ref="WIF73:WIK73"/>
    <mergeCell ref="WIM73:WIR73"/>
    <mergeCell ref="WIT73:WIY73"/>
    <mergeCell ref="WJA73:WJF73"/>
    <mergeCell ref="WJH73:WJM73"/>
    <mergeCell ref="WJO73:WJT73"/>
    <mergeCell ref="WGP73:WGU73"/>
    <mergeCell ref="WGW73:WHB73"/>
    <mergeCell ref="WHD73:WHI73"/>
    <mergeCell ref="WHK73:WHP73"/>
    <mergeCell ref="WHR73:WHW73"/>
    <mergeCell ref="WHY73:WID73"/>
    <mergeCell ref="WEZ73:WFE73"/>
    <mergeCell ref="WFG73:WFL73"/>
    <mergeCell ref="WFN73:WFS73"/>
    <mergeCell ref="WFU73:WFZ73"/>
    <mergeCell ref="WGB73:WGG73"/>
    <mergeCell ref="WGI73:WGN73"/>
    <mergeCell ref="WDJ73:WDO73"/>
    <mergeCell ref="WDQ73:WDV73"/>
    <mergeCell ref="WDX73:WEC73"/>
    <mergeCell ref="WEE73:WEJ73"/>
    <mergeCell ref="WEL73:WEQ73"/>
    <mergeCell ref="WES73:WEX73"/>
    <mergeCell ref="WBT73:WBY73"/>
    <mergeCell ref="WCA73:WCF73"/>
    <mergeCell ref="WCH73:WCM73"/>
    <mergeCell ref="WCO73:WCT73"/>
    <mergeCell ref="WCV73:WDA73"/>
    <mergeCell ref="WDC73:WDH73"/>
    <mergeCell ref="WAD73:WAI73"/>
    <mergeCell ref="WAK73:WAP73"/>
    <mergeCell ref="WAR73:WAW73"/>
    <mergeCell ref="WAY73:WBD73"/>
    <mergeCell ref="WBF73:WBK73"/>
    <mergeCell ref="WBM73:WBR73"/>
    <mergeCell ref="VYN73:VYS73"/>
    <mergeCell ref="VYU73:VYZ73"/>
    <mergeCell ref="VZB73:VZG73"/>
    <mergeCell ref="VZI73:VZN73"/>
    <mergeCell ref="VZP73:VZU73"/>
    <mergeCell ref="VZW73:WAB73"/>
    <mergeCell ref="VWX73:VXC73"/>
    <mergeCell ref="VXE73:VXJ73"/>
    <mergeCell ref="VXL73:VXQ73"/>
    <mergeCell ref="VXS73:VXX73"/>
    <mergeCell ref="VXZ73:VYE73"/>
    <mergeCell ref="VYG73:VYL73"/>
    <mergeCell ref="VVH73:VVM73"/>
    <mergeCell ref="VVO73:VVT73"/>
    <mergeCell ref="VVV73:VWA73"/>
    <mergeCell ref="VWC73:VWH73"/>
    <mergeCell ref="VWJ73:VWO73"/>
    <mergeCell ref="VWQ73:VWV73"/>
    <mergeCell ref="VTR73:VTW73"/>
    <mergeCell ref="VTY73:VUD73"/>
    <mergeCell ref="VUF73:VUK73"/>
    <mergeCell ref="VUM73:VUR73"/>
    <mergeCell ref="VUT73:VUY73"/>
    <mergeCell ref="VVA73:VVF73"/>
    <mergeCell ref="VSB73:VSG73"/>
    <mergeCell ref="VSI73:VSN73"/>
    <mergeCell ref="VSP73:VSU73"/>
    <mergeCell ref="VSW73:VTB73"/>
    <mergeCell ref="VTD73:VTI73"/>
    <mergeCell ref="VTK73:VTP73"/>
    <mergeCell ref="VQL73:VQQ73"/>
    <mergeCell ref="VQS73:VQX73"/>
    <mergeCell ref="VQZ73:VRE73"/>
    <mergeCell ref="VRG73:VRL73"/>
    <mergeCell ref="VRN73:VRS73"/>
    <mergeCell ref="VRU73:VRZ73"/>
    <mergeCell ref="VOV73:VPA73"/>
    <mergeCell ref="VPC73:VPH73"/>
    <mergeCell ref="VPJ73:VPO73"/>
    <mergeCell ref="VPQ73:VPV73"/>
    <mergeCell ref="VPX73:VQC73"/>
    <mergeCell ref="VQE73:VQJ73"/>
    <mergeCell ref="VNF73:VNK73"/>
    <mergeCell ref="VNM73:VNR73"/>
    <mergeCell ref="VNT73:VNY73"/>
    <mergeCell ref="VOA73:VOF73"/>
    <mergeCell ref="VOH73:VOM73"/>
    <mergeCell ref="VOO73:VOT73"/>
    <mergeCell ref="VLP73:VLU73"/>
    <mergeCell ref="VLW73:VMB73"/>
    <mergeCell ref="VMD73:VMI73"/>
    <mergeCell ref="VMK73:VMP73"/>
    <mergeCell ref="VMR73:VMW73"/>
    <mergeCell ref="VMY73:VND73"/>
    <mergeCell ref="VJZ73:VKE73"/>
    <mergeCell ref="VKG73:VKL73"/>
    <mergeCell ref="VKN73:VKS73"/>
    <mergeCell ref="VKU73:VKZ73"/>
    <mergeCell ref="VLB73:VLG73"/>
    <mergeCell ref="VLI73:VLN73"/>
    <mergeCell ref="VIJ73:VIO73"/>
    <mergeCell ref="VIQ73:VIV73"/>
    <mergeCell ref="VIX73:VJC73"/>
    <mergeCell ref="VJE73:VJJ73"/>
    <mergeCell ref="VJL73:VJQ73"/>
    <mergeCell ref="VJS73:VJX73"/>
    <mergeCell ref="VGT73:VGY73"/>
    <mergeCell ref="VHA73:VHF73"/>
    <mergeCell ref="VHH73:VHM73"/>
    <mergeCell ref="VHO73:VHT73"/>
    <mergeCell ref="VHV73:VIA73"/>
    <mergeCell ref="VIC73:VIH73"/>
    <mergeCell ref="VFD73:VFI73"/>
    <mergeCell ref="VFK73:VFP73"/>
    <mergeCell ref="VFR73:VFW73"/>
    <mergeCell ref="VFY73:VGD73"/>
    <mergeCell ref="VGF73:VGK73"/>
    <mergeCell ref="VGM73:VGR73"/>
    <mergeCell ref="VDN73:VDS73"/>
    <mergeCell ref="VDU73:VDZ73"/>
    <mergeCell ref="VEB73:VEG73"/>
    <mergeCell ref="VEI73:VEN73"/>
    <mergeCell ref="VEP73:VEU73"/>
    <mergeCell ref="VEW73:VFB73"/>
    <mergeCell ref="VBX73:VCC73"/>
    <mergeCell ref="VCE73:VCJ73"/>
    <mergeCell ref="VCL73:VCQ73"/>
    <mergeCell ref="VCS73:VCX73"/>
    <mergeCell ref="VCZ73:VDE73"/>
    <mergeCell ref="VDG73:VDL73"/>
    <mergeCell ref="VAH73:VAM73"/>
    <mergeCell ref="VAO73:VAT73"/>
    <mergeCell ref="VAV73:VBA73"/>
    <mergeCell ref="VBC73:VBH73"/>
    <mergeCell ref="VBJ73:VBO73"/>
    <mergeCell ref="VBQ73:VBV73"/>
    <mergeCell ref="UYR73:UYW73"/>
    <mergeCell ref="UYY73:UZD73"/>
    <mergeCell ref="UZF73:UZK73"/>
    <mergeCell ref="UZM73:UZR73"/>
    <mergeCell ref="UZT73:UZY73"/>
    <mergeCell ref="VAA73:VAF73"/>
    <mergeCell ref="UXB73:UXG73"/>
    <mergeCell ref="UXI73:UXN73"/>
    <mergeCell ref="UXP73:UXU73"/>
    <mergeCell ref="UXW73:UYB73"/>
    <mergeCell ref="UYD73:UYI73"/>
    <mergeCell ref="UYK73:UYP73"/>
    <mergeCell ref="UVL73:UVQ73"/>
    <mergeCell ref="UVS73:UVX73"/>
    <mergeCell ref="UVZ73:UWE73"/>
    <mergeCell ref="UWG73:UWL73"/>
    <mergeCell ref="UWN73:UWS73"/>
    <mergeCell ref="UWU73:UWZ73"/>
    <mergeCell ref="UTV73:UUA73"/>
    <mergeCell ref="UUC73:UUH73"/>
    <mergeCell ref="UUJ73:UUO73"/>
    <mergeCell ref="UUQ73:UUV73"/>
    <mergeCell ref="UUX73:UVC73"/>
    <mergeCell ref="UVE73:UVJ73"/>
    <mergeCell ref="USF73:USK73"/>
    <mergeCell ref="USM73:USR73"/>
    <mergeCell ref="UST73:USY73"/>
    <mergeCell ref="UTA73:UTF73"/>
    <mergeCell ref="UTH73:UTM73"/>
    <mergeCell ref="UTO73:UTT73"/>
    <mergeCell ref="UQP73:UQU73"/>
    <mergeCell ref="UQW73:URB73"/>
    <mergeCell ref="URD73:URI73"/>
    <mergeCell ref="URK73:URP73"/>
    <mergeCell ref="URR73:URW73"/>
    <mergeCell ref="URY73:USD73"/>
    <mergeCell ref="UOZ73:UPE73"/>
    <mergeCell ref="UPG73:UPL73"/>
    <mergeCell ref="UPN73:UPS73"/>
    <mergeCell ref="UPU73:UPZ73"/>
    <mergeCell ref="UQB73:UQG73"/>
    <mergeCell ref="UQI73:UQN73"/>
    <mergeCell ref="UNJ73:UNO73"/>
    <mergeCell ref="UNQ73:UNV73"/>
    <mergeCell ref="UNX73:UOC73"/>
    <mergeCell ref="UOE73:UOJ73"/>
    <mergeCell ref="UOL73:UOQ73"/>
    <mergeCell ref="UOS73:UOX73"/>
    <mergeCell ref="ULT73:ULY73"/>
    <mergeCell ref="UMA73:UMF73"/>
    <mergeCell ref="UMH73:UMM73"/>
    <mergeCell ref="UMO73:UMT73"/>
    <mergeCell ref="UMV73:UNA73"/>
    <mergeCell ref="UNC73:UNH73"/>
    <mergeCell ref="UKD73:UKI73"/>
    <mergeCell ref="UKK73:UKP73"/>
    <mergeCell ref="UKR73:UKW73"/>
    <mergeCell ref="UKY73:ULD73"/>
    <mergeCell ref="ULF73:ULK73"/>
    <mergeCell ref="ULM73:ULR73"/>
    <mergeCell ref="UIN73:UIS73"/>
    <mergeCell ref="UIU73:UIZ73"/>
    <mergeCell ref="UJB73:UJG73"/>
    <mergeCell ref="UJI73:UJN73"/>
    <mergeCell ref="UJP73:UJU73"/>
    <mergeCell ref="UJW73:UKB73"/>
    <mergeCell ref="UGX73:UHC73"/>
    <mergeCell ref="UHE73:UHJ73"/>
    <mergeCell ref="UHL73:UHQ73"/>
    <mergeCell ref="UHS73:UHX73"/>
    <mergeCell ref="UHZ73:UIE73"/>
    <mergeCell ref="UIG73:UIL73"/>
    <mergeCell ref="UFH73:UFM73"/>
    <mergeCell ref="UFO73:UFT73"/>
    <mergeCell ref="UFV73:UGA73"/>
    <mergeCell ref="UGC73:UGH73"/>
    <mergeCell ref="UGJ73:UGO73"/>
    <mergeCell ref="UGQ73:UGV73"/>
    <mergeCell ref="UDR73:UDW73"/>
    <mergeCell ref="UDY73:UED73"/>
    <mergeCell ref="UEF73:UEK73"/>
    <mergeCell ref="UEM73:UER73"/>
    <mergeCell ref="UET73:UEY73"/>
    <mergeCell ref="UFA73:UFF73"/>
    <mergeCell ref="UCB73:UCG73"/>
    <mergeCell ref="UCI73:UCN73"/>
    <mergeCell ref="UCP73:UCU73"/>
    <mergeCell ref="UCW73:UDB73"/>
    <mergeCell ref="UDD73:UDI73"/>
    <mergeCell ref="UDK73:UDP73"/>
    <mergeCell ref="UAL73:UAQ73"/>
    <mergeCell ref="UAS73:UAX73"/>
    <mergeCell ref="UAZ73:UBE73"/>
    <mergeCell ref="UBG73:UBL73"/>
    <mergeCell ref="UBN73:UBS73"/>
    <mergeCell ref="UBU73:UBZ73"/>
    <mergeCell ref="TYV73:TZA73"/>
    <mergeCell ref="TZC73:TZH73"/>
    <mergeCell ref="TZJ73:TZO73"/>
    <mergeCell ref="TZQ73:TZV73"/>
    <mergeCell ref="TZX73:UAC73"/>
    <mergeCell ref="UAE73:UAJ73"/>
    <mergeCell ref="TXF73:TXK73"/>
    <mergeCell ref="TXM73:TXR73"/>
    <mergeCell ref="TXT73:TXY73"/>
    <mergeCell ref="TYA73:TYF73"/>
    <mergeCell ref="TYH73:TYM73"/>
    <mergeCell ref="TYO73:TYT73"/>
    <mergeCell ref="TVP73:TVU73"/>
    <mergeCell ref="TVW73:TWB73"/>
    <mergeCell ref="TWD73:TWI73"/>
    <mergeCell ref="TWK73:TWP73"/>
    <mergeCell ref="TWR73:TWW73"/>
    <mergeCell ref="TWY73:TXD73"/>
    <mergeCell ref="TTZ73:TUE73"/>
    <mergeCell ref="TUG73:TUL73"/>
    <mergeCell ref="TUN73:TUS73"/>
    <mergeCell ref="TUU73:TUZ73"/>
    <mergeCell ref="TVB73:TVG73"/>
    <mergeCell ref="TVI73:TVN73"/>
    <mergeCell ref="TSJ73:TSO73"/>
    <mergeCell ref="TSQ73:TSV73"/>
    <mergeCell ref="TSX73:TTC73"/>
    <mergeCell ref="TTE73:TTJ73"/>
    <mergeCell ref="TTL73:TTQ73"/>
    <mergeCell ref="TTS73:TTX73"/>
    <mergeCell ref="TQT73:TQY73"/>
    <mergeCell ref="TRA73:TRF73"/>
    <mergeCell ref="TRH73:TRM73"/>
    <mergeCell ref="TRO73:TRT73"/>
    <mergeCell ref="TRV73:TSA73"/>
    <mergeCell ref="TSC73:TSH73"/>
    <mergeCell ref="TPD73:TPI73"/>
    <mergeCell ref="TPK73:TPP73"/>
    <mergeCell ref="TPR73:TPW73"/>
    <mergeCell ref="TPY73:TQD73"/>
    <mergeCell ref="TQF73:TQK73"/>
    <mergeCell ref="TQM73:TQR73"/>
    <mergeCell ref="TNN73:TNS73"/>
    <mergeCell ref="TNU73:TNZ73"/>
    <mergeCell ref="TOB73:TOG73"/>
    <mergeCell ref="TOI73:TON73"/>
    <mergeCell ref="TOP73:TOU73"/>
    <mergeCell ref="TOW73:TPB73"/>
    <mergeCell ref="TLX73:TMC73"/>
    <mergeCell ref="TME73:TMJ73"/>
    <mergeCell ref="TML73:TMQ73"/>
    <mergeCell ref="TMS73:TMX73"/>
    <mergeCell ref="TMZ73:TNE73"/>
    <mergeCell ref="TNG73:TNL73"/>
    <mergeCell ref="TKH73:TKM73"/>
    <mergeCell ref="TKO73:TKT73"/>
    <mergeCell ref="TKV73:TLA73"/>
    <mergeCell ref="TLC73:TLH73"/>
    <mergeCell ref="TLJ73:TLO73"/>
    <mergeCell ref="TLQ73:TLV73"/>
    <mergeCell ref="TIR73:TIW73"/>
    <mergeCell ref="TIY73:TJD73"/>
    <mergeCell ref="TJF73:TJK73"/>
    <mergeCell ref="TJM73:TJR73"/>
    <mergeCell ref="TJT73:TJY73"/>
    <mergeCell ref="TKA73:TKF73"/>
    <mergeCell ref="THB73:THG73"/>
    <mergeCell ref="THI73:THN73"/>
    <mergeCell ref="THP73:THU73"/>
    <mergeCell ref="THW73:TIB73"/>
    <mergeCell ref="TID73:TII73"/>
    <mergeCell ref="TIK73:TIP73"/>
    <mergeCell ref="TFL73:TFQ73"/>
    <mergeCell ref="TFS73:TFX73"/>
    <mergeCell ref="TFZ73:TGE73"/>
    <mergeCell ref="TGG73:TGL73"/>
    <mergeCell ref="TGN73:TGS73"/>
    <mergeCell ref="TGU73:TGZ73"/>
    <mergeCell ref="TDV73:TEA73"/>
    <mergeCell ref="TEC73:TEH73"/>
    <mergeCell ref="TEJ73:TEO73"/>
    <mergeCell ref="TEQ73:TEV73"/>
    <mergeCell ref="TEX73:TFC73"/>
    <mergeCell ref="TFE73:TFJ73"/>
    <mergeCell ref="TCF73:TCK73"/>
    <mergeCell ref="TCM73:TCR73"/>
    <mergeCell ref="TCT73:TCY73"/>
    <mergeCell ref="TDA73:TDF73"/>
    <mergeCell ref="TDH73:TDM73"/>
    <mergeCell ref="TDO73:TDT73"/>
    <mergeCell ref="TAP73:TAU73"/>
    <mergeCell ref="TAW73:TBB73"/>
    <mergeCell ref="TBD73:TBI73"/>
    <mergeCell ref="TBK73:TBP73"/>
    <mergeCell ref="TBR73:TBW73"/>
    <mergeCell ref="TBY73:TCD73"/>
    <mergeCell ref="SYZ73:SZE73"/>
    <mergeCell ref="SZG73:SZL73"/>
    <mergeCell ref="SZN73:SZS73"/>
    <mergeCell ref="SZU73:SZZ73"/>
    <mergeCell ref="TAB73:TAG73"/>
    <mergeCell ref="TAI73:TAN73"/>
    <mergeCell ref="SXJ73:SXO73"/>
    <mergeCell ref="SXQ73:SXV73"/>
    <mergeCell ref="SXX73:SYC73"/>
    <mergeCell ref="SYE73:SYJ73"/>
    <mergeCell ref="SYL73:SYQ73"/>
    <mergeCell ref="SYS73:SYX73"/>
    <mergeCell ref="SVT73:SVY73"/>
    <mergeCell ref="SWA73:SWF73"/>
    <mergeCell ref="SWH73:SWM73"/>
    <mergeCell ref="SWO73:SWT73"/>
    <mergeCell ref="SWV73:SXA73"/>
    <mergeCell ref="SXC73:SXH73"/>
    <mergeCell ref="SUD73:SUI73"/>
    <mergeCell ref="SUK73:SUP73"/>
    <mergeCell ref="SUR73:SUW73"/>
    <mergeCell ref="SUY73:SVD73"/>
    <mergeCell ref="SVF73:SVK73"/>
    <mergeCell ref="SVM73:SVR73"/>
    <mergeCell ref="SSN73:SSS73"/>
    <mergeCell ref="SSU73:SSZ73"/>
    <mergeCell ref="STB73:STG73"/>
    <mergeCell ref="STI73:STN73"/>
    <mergeCell ref="STP73:STU73"/>
    <mergeCell ref="STW73:SUB73"/>
    <mergeCell ref="SQX73:SRC73"/>
    <mergeCell ref="SRE73:SRJ73"/>
    <mergeCell ref="SRL73:SRQ73"/>
    <mergeCell ref="SRS73:SRX73"/>
    <mergeCell ref="SRZ73:SSE73"/>
    <mergeCell ref="SSG73:SSL73"/>
    <mergeCell ref="SPH73:SPM73"/>
    <mergeCell ref="SPO73:SPT73"/>
    <mergeCell ref="SPV73:SQA73"/>
    <mergeCell ref="SQC73:SQH73"/>
    <mergeCell ref="SQJ73:SQO73"/>
    <mergeCell ref="SQQ73:SQV73"/>
    <mergeCell ref="SNR73:SNW73"/>
    <mergeCell ref="SNY73:SOD73"/>
    <mergeCell ref="SOF73:SOK73"/>
    <mergeCell ref="SOM73:SOR73"/>
    <mergeCell ref="SOT73:SOY73"/>
    <mergeCell ref="SPA73:SPF73"/>
    <mergeCell ref="SMB73:SMG73"/>
    <mergeCell ref="SMI73:SMN73"/>
    <mergeCell ref="SMP73:SMU73"/>
    <mergeCell ref="SMW73:SNB73"/>
    <mergeCell ref="SND73:SNI73"/>
    <mergeCell ref="SNK73:SNP73"/>
    <mergeCell ref="SKL73:SKQ73"/>
    <mergeCell ref="SKS73:SKX73"/>
    <mergeCell ref="SKZ73:SLE73"/>
    <mergeCell ref="SLG73:SLL73"/>
    <mergeCell ref="SLN73:SLS73"/>
    <mergeCell ref="SLU73:SLZ73"/>
    <mergeCell ref="SIV73:SJA73"/>
    <mergeCell ref="SJC73:SJH73"/>
    <mergeCell ref="SJJ73:SJO73"/>
    <mergeCell ref="SJQ73:SJV73"/>
    <mergeCell ref="SJX73:SKC73"/>
    <mergeCell ref="SKE73:SKJ73"/>
    <mergeCell ref="SHF73:SHK73"/>
    <mergeCell ref="SHM73:SHR73"/>
    <mergeCell ref="SHT73:SHY73"/>
    <mergeCell ref="SIA73:SIF73"/>
    <mergeCell ref="SIH73:SIM73"/>
    <mergeCell ref="SIO73:SIT73"/>
    <mergeCell ref="SFP73:SFU73"/>
    <mergeCell ref="SFW73:SGB73"/>
    <mergeCell ref="SGD73:SGI73"/>
    <mergeCell ref="SGK73:SGP73"/>
    <mergeCell ref="SGR73:SGW73"/>
    <mergeCell ref="SGY73:SHD73"/>
    <mergeCell ref="SDZ73:SEE73"/>
    <mergeCell ref="SEG73:SEL73"/>
    <mergeCell ref="SEN73:SES73"/>
    <mergeCell ref="SEU73:SEZ73"/>
    <mergeCell ref="SFB73:SFG73"/>
    <mergeCell ref="SFI73:SFN73"/>
    <mergeCell ref="SCJ73:SCO73"/>
    <mergeCell ref="SCQ73:SCV73"/>
    <mergeCell ref="SCX73:SDC73"/>
    <mergeCell ref="SDE73:SDJ73"/>
    <mergeCell ref="SDL73:SDQ73"/>
    <mergeCell ref="SDS73:SDX73"/>
    <mergeCell ref="SAT73:SAY73"/>
    <mergeCell ref="SBA73:SBF73"/>
    <mergeCell ref="SBH73:SBM73"/>
    <mergeCell ref="SBO73:SBT73"/>
    <mergeCell ref="SBV73:SCA73"/>
    <mergeCell ref="SCC73:SCH73"/>
    <mergeCell ref="RZD73:RZI73"/>
    <mergeCell ref="RZK73:RZP73"/>
    <mergeCell ref="RZR73:RZW73"/>
    <mergeCell ref="RZY73:SAD73"/>
    <mergeCell ref="SAF73:SAK73"/>
    <mergeCell ref="SAM73:SAR73"/>
    <mergeCell ref="RXN73:RXS73"/>
    <mergeCell ref="RXU73:RXZ73"/>
    <mergeCell ref="RYB73:RYG73"/>
    <mergeCell ref="RYI73:RYN73"/>
    <mergeCell ref="RYP73:RYU73"/>
    <mergeCell ref="RYW73:RZB73"/>
    <mergeCell ref="RVX73:RWC73"/>
    <mergeCell ref="RWE73:RWJ73"/>
    <mergeCell ref="RWL73:RWQ73"/>
    <mergeCell ref="RWS73:RWX73"/>
    <mergeCell ref="RWZ73:RXE73"/>
    <mergeCell ref="RXG73:RXL73"/>
    <mergeCell ref="RUH73:RUM73"/>
    <mergeCell ref="RUO73:RUT73"/>
    <mergeCell ref="RUV73:RVA73"/>
    <mergeCell ref="RVC73:RVH73"/>
    <mergeCell ref="RVJ73:RVO73"/>
    <mergeCell ref="RVQ73:RVV73"/>
    <mergeCell ref="RSR73:RSW73"/>
    <mergeCell ref="RSY73:RTD73"/>
    <mergeCell ref="RTF73:RTK73"/>
    <mergeCell ref="RTM73:RTR73"/>
    <mergeCell ref="RTT73:RTY73"/>
    <mergeCell ref="RUA73:RUF73"/>
    <mergeCell ref="RRB73:RRG73"/>
    <mergeCell ref="RRI73:RRN73"/>
    <mergeCell ref="RRP73:RRU73"/>
    <mergeCell ref="RRW73:RSB73"/>
    <mergeCell ref="RSD73:RSI73"/>
    <mergeCell ref="RSK73:RSP73"/>
    <mergeCell ref="RPL73:RPQ73"/>
    <mergeCell ref="RPS73:RPX73"/>
    <mergeCell ref="RPZ73:RQE73"/>
    <mergeCell ref="RQG73:RQL73"/>
    <mergeCell ref="RQN73:RQS73"/>
    <mergeCell ref="RQU73:RQZ73"/>
    <mergeCell ref="RNV73:ROA73"/>
    <mergeCell ref="ROC73:ROH73"/>
    <mergeCell ref="ROJ73:ROO73"/>
    <mergeCell ref="ROQ73:ROV73"/>
    <mergeCell ref="ROX73:RPC73"/>
    <mergeCell ref="RPE73:RPJ73"/>
    <mergeCell ref="RMF73:RMK73"/>
    <mergeCell ref="RMM73:RMR73"/>
    <mergeCell ref="RMT73:RMY73"/>
    <mergeCell ref="RNA73:RNF73"/>
    <mergeCell ref="RNH73:RNM73"/>
    <mergeCell ref="RNO73:RNT73"/>
    <mergeCell ref="RKP73:RKU73"/>
    <mergeCell ref="RKW73:RLB73"/>
    <mergeCell ref="RLD73:RLI73"/>
    <mergeCell ref="RLK73:RLP73"/>
    <mergeCell ref="RLR73:RLW73"/>
    <mergeCell ref="RLY73:RMD73"/>
    <mergeCell ref="RIZ73:RJE73"/>
    <mergeCell ref="RJG73:RJL73"/>
    <mergeCell ref="RJN73:RJS73"/>
    <mergeCell ref="RJU73:RJZ73"/>
    <mergeCell ref="RKB73:RKG73"/>
    <mergeCell ref="RKI73:RKN73"/>
    <mergeCell ref="RHJ73:RHO73"/>
    <mergeCell ref="RHQ73:RHV73"/>
    <mergeCell ref="RHX73:RIC73"/>
    <mergeCell ref="RIE73:RIJ73"/>
    <mergeCell ref="RIL73:RIQ73"/>
    <mergeCell ref="RIS73:RIX73"/>
    <mergeCell ref="RFT73:RFY73"/>
    <mergeCell ref="RGA73:RGF73"/>
    <mergeCell ref="RGH73:RGM73"/>
    <mergeCell ref="RGO73:RGT73"/>
    <mergeCell ref="RGV73:RHA73"/>
    <mergeCell ref="RHC73:RHH73"/>
    <mergeCell ref="RED73:REI73"/>
    <mergeCell ref="REK73:REP73"/>
    <mergeCell ref="RER73:REW73"/>
    <mergeCell ref="REY73:RFD73"/>
    <mergeCell ref="RFF73:RFK73"/>
    <mergeCell ref="RFM73:RFR73"/>
    <mergeCell ref="RCN73:RCS73"/>
    <mergeCell ref="RCU73:RCZ73"/>
    <mergeCell ref="RDB73:RDG73"/>
    <mergeCell ref="RDI73:RDN73"/>
    <mergeCell ref="RDP73:RDU73"/>
    <mergeCell ref="RDW73:REB73"/>
    <mergeCell ref="RAX73:RBC73"/>
    <mergeCell ref="RBE73:RBJ73"/>
    <mergeCell ref="RBL73:RBQ73"/>
    <mergeCell ref="RBS73:RBX73"/>
    <mergeCell ref="RBZ73:RCE73"/>
    <mergeCell ref="RCG73:RCL73"/>
    <mergeCell ref="QZH73:QZM73"/>
    <mergeCell ref="QZO73:QZT73"/>
    <mergeCell ref="QZV73:RAA73"/>
    <mergeCell ref="RAC73:RAH73"/>
    <mergeCell ref="RAJ73:RAO73"/>
    <mergeCell ref="RAQ73:RAV73"/>
    <mergeCell ref="QXR73:QXW73"/>
    <mergeCell ref="QXY73:QYD73"/>
    <mergeCell ref="QYF73:QYK73"/>
    <mergeCell ref="QYM73:QYR73"/>
    <mergeCell ref="QYT73:QYY73"/>
    <mergeCell ref="QZA73:QZF73"/>
    <mergeCell ref="QWB73:QWG73"/>
    <mergeCell ref="QWI73:QWN73"/>
    <mergeCell ref="QWP73:QWU73"/>
    <mergeCell ref="QWW73:QXB73"/>
    <mergeCell ref="QXD73:QXI73"/>
    <mergeCell ref="QXK73:QXP73"/>
    <mergeCell ref="QUL73:QUQ73"/>
    <mergeCell ref="QUS73:QUX73"/>
    <mergeCell ref="QUZ73:QVE73"/>
    <mergeCell ref="QVG73:QVL73"/>
    <mergeCell ref="QVN73:QVS73"/>
    <mergeCell ref="QVU73:QVZ73"/>
    <mergeCell ref="QSV73:QTA73"/>
    <mergeCell ref="QTC73:QTH73"/>
    <mergeCell ref="QTJ73:QTO73"/>
    <mergeCell ref="QTQ73:QTV73"/>
    <mergeCell ref="QTX73:QUC73"/>
    <mergeCell ref="QUE73:QUJ73"/>
    <mergeCell ref="QRF73:QRK73"/>
    <mergeCell ref="QRM73:QRR73"/>
    <mergeCell ref="QRT73:QRY73"/>
    <mergeCell ref="QSA73:QSF73"/>
    <mergeCell ref="QSH73:QSM73"/>
    <mergeCell ref="QSO73:QST73"/>
    <mergeCell ref="QPP73:QPU73"/>
    <mergeCell ref="QPW73:QQB73"/>
    <mergeCell ref="QQD73:QQI73"/>
    <mergeCell ref="QQK73:QQP73"/>
    <mergeCell ref="QQR73:QQW73"/>
    <mergeCell ref="QQY73:QRD73"/>
    <mergeCell ref="QNZ73:QOE73"/>
    <mergeCell ref="QOG73:QOL73"/>
    <mergeCell ref="QON73:QOS73"/>
    <mergeCell ref="QOU73:QOZ73"/>
    <mergeCell ref="QPB73:QPG73"/>
    <mergeCell ref="QPI73:QPN73"/>
    <mergeCell ref="QMJ73:QMO73"/>
    <mergeCell ref="QMQ73:QMV73"/>
    <mergeCell ref="QMX73:QNC73"/>
    <mergeCell ref="QNE73:QNJ73"/>
    <mergeCell ref="QNL73:QNQ73"/>
    <mergeCell ref="QNS73:QNX73"/>
    <mergeCell ref="QKT73:QKY73"/>
    <mergeCell ref="QLA73:QLF73"/>
    <mergeCell ref="QLH73:QLM73"/>
    <mergeCell ref="QLO73:QLT73"/>
    <mergeCell ref="QLV73:QMA73"/>
    <mergeCell ref="QMC73:QMH73"/>
    <mergeCell ref="QJD73:QJI73"/>
    <mergeCell ref="QJK73:QJP73"/>
    <mergeCell ref="QJR73:QJW73"/>
    <mergeCell ref="QJY73:QKD73"/>
    <mergeCell ref="QKF73:QKK73"/>
    <mergeCell ref="QKM73:QKR73"/>
    <mergeCell ref="QHN73:QHS73"/>
    <mergeCell ref="QHU73:QHZ73"/>
    <mergeCell ref="QIB73:QIG73"/>
    <mergeCell ref="QII73:QIN73"/>
    <mergeCell ref="QIP73:QIU73"/>
    <mergeCell ref="QIW73:QJB73"/>
    <mergeCell ref="QFX73:QGC73"/>
    <mergeCell ref="QGE73:QGJ73"/>
    <mergeCell ref="QGL73:QGQ73"/>
    <mergeCell ref="QGS73:QGX73"/>
    <mergeCell ref="QGZ73:QHE73"/>
    <mergeCell ref="QHG73:QHL73"/>
    <mergeCell ref="QEH73:QEM73"/>
    <mergeCell ref="QEO73:QET73"/>
    <mergeCell ref="QEV73:QFA73"/>
    <mergeCell ref="QFC73:QFH73"/>
    <mergeCell ref="QFJ73:QFO73"/>
    <mergeCell ref="QFQ73:QFV73"/>
    <mergeCell ref="QCR73:QCW73"/>
    <mergeCell ref="QCY73:QDD73"/>
    <mergeCell ref="QDF73:QDK73"/>
    <mergeCell ref="QDM73:QDR73"/>
    <mergeCell ref="QDT73:QDY73"/>
    <mergeCell ref="QEA73:QEF73"/>
    <mergeCell ref="QBB73:QBG73"/>
    <mergeCell ref="QBI73:QBN73"/>
    <mergeCell ref="QBP73:QBU73"/>
    <mergeCell ref="QBW73:QCB73"/>
    <mergeCell ref="QCD73:QCI73"/>
    <mergeCell ref="QCK73:QCP73"/>
    <mergeCell ref="PZL73:PZQ73"/>
    <mergeCell ref="PZS73:PZX73"/>
    <mergeCell ref="PZZ73:QAE73"/>
    <mergeCell ref="QAG73:QAL73"/>
    <mergeCell ref="QAN73:QAS73"/>
    <mergeCell ref="QAU73:QAZ73"/>
    <mergeCell ref="PXV73:PYA73"/>
    <mergeCell ref="PYC73:PYH73"/>
    <mergeCell ref="PYJ73:PYO73"/>
    <mergeCell ref="PYQ73:PYV73"/>
    <mergeCell ref="PYX73:PZC73"/>
    <mergeCell ref="PZE73:PZJ73"/>
    <mergeCell ref="PWF73:PWK73"/>
    <mergeCell ref="PWM73:PWR73"/>
    <mergeCell ref="PWT73:PWY73"/>
    <mergeCell ref="PXA73:PXF73"/>
    <mergeCell ref="PXH73:PXM73"/>
    <mergeCell ref="PXO73:PXT73"/>
    <mergeCell ref="PUP73:PUU73"/>
    <mergeCell ref="PUW73:PVB73"/>
    <mergeCell ref="PVD73:PVI73"/>
    <mergeCell ref="PVK73:PVP73"/>
    <mergeCell ref="PVR73:PVW73"/>
    <mergeCell ref="PVY73:PWD73"/>
    <mergeCell ref="PSZ73:PTE73"/>
    <mergeCell ref="PTG73:PTL73"/>
    <mergeCell ref="PTN73:PTS73"/>
    <mergeCell ref="PTU73:PTZ73"/>
    <mergeCell ref="PUB73:PUG73"/>
    <mergeCell ref="PUI73:PUN73"/>
    <mergeCell ref="PRJ73:PRO73"/>
    <mergeCell ref="PRQ73:PRV73"/>
    <mergeCell ref="PRX73:PSC73"/>
    <mergeCell ref="PSE73:PSJ73"/>
    <mergeCell ref="PSL73:PSQ73"/>
    <mergeCell ref="PSS73:PSX73"/>
    <mergeCell ref="PPT73:PPY73"/>
    <mergeCell ref="PQA73:PQF73"/>
    <mergeCell ref="PQH73:PQM73"/>
    <mergeCell ref="PQO73:PQT73"/>
    <mergeCell ref="PQV73:PRA73"/>
    <mergeCell ref="PRC73:PRH73"/>
    <mergeCell ref="POD73:POI73"/>
    <mergeCell ref="POK73:POP73"/>
    <mergeCell ref="POR73:POW73"/>
    <mergeCell ref="POY73:PPD73"/>
    <mergeCell ref="PPF73:PPK73"/>
    <mergeCell ref="PPM73:PPR73"/>
    <mergeCell ref="PMN73:PMS73"/>
    <mergeCell ref="PMU73:PMZ73"/>
    <mergeCell ref="PNB73:PNG73"/>
    <mergeCell ref="PNI73:PNN73"/>
    <mergeCell ref="PNP73:PNU73"/>
    <mergeCell ref="PNW73:POB73"/>
    <mergeCell ref="PKX73:PLC73"/>
    <mergeCell ref="PLE73:PLJ73"/>
    <mergeCell ref="PLL73:PLQ73"/>
    <mergeCell ref="PLS73:PLX73"/>
    <mergeCell ref="PLZ73:PME73"/>
    <mergeCell ref="PMG73:PML73"/>
    <mergeCell ref="PJH73:PJM73"/>
    <mergeCell ref="PJO73:PJT73"/>
    <mergeCell ref="PJV73:PKA73"/>
    <mergeCell ref="PKC73:PKH73"/>
    <mergeCell ref="PKJ73:PKO73"/>
    <mergeCell ref="PKQ73:PKV73"/>
    <mergeCell ref="PHR73:PHW73"/>
    <mergeCell ref="PHY73:PID73"/>
    <mergeCell ref="PIF73:PIK73"/>
    <mergeCell ref="PIM73:PIR73"/>
    <mergeCell ref="PIT73:PIY73"/>
    <mergeCell ref="PJA73:PJF73"/>
    <mergeCell ref="PGB73:PGG73"/>
    <mergeCell ref="PGI73:PGN73"/>
    <mergeCell ref="PGP73:PGU73"/>
    <mergeCell ref="PGW73:PHB73"/>
    <mergeCell ref="PHD73:PHI73"/>
    <mergeCell ref="PHK73:PHP73"/>
    <mergeCell ref="PEL73:PEQ73"/>
    <mergeCell ref="PES73:PEX73"/>
    <mergeCell ref="PEZ73:PFE73"/>
    <mergeCell ref="PFG73:PFL73"/>
    <mergeCell ref="PFN73:PFS73"/>
    <mergeCell ref="PFU73:PFZ73"/>
    <mergeCell ref="PCV73:PDA73"/>
    <mergeCell ref="PDC73:PDH73"/>
    <mergeCell ref="PDJ73:PDO73"/>
    <mergeCell ref="PDQ73:PDV73"/>
    <mergeCell ref="PDX73:PEC73"/>
    <mergeCell ref="PEE73:PEJ73"/>
    <mergeCell ref="PBF73:PBK73"/>
    <mergeCell ref="PBM73:PBR73"/>
    <mergeCell ref="PBT73:PBY73"/>
    <mergeCell ref="PCA73:PCF73"/>
    <mergeCell ref="PCH73:PCM73"/>
    <mergeCell ref="PCO73:PCT73"/>
    <mergeCell ref="OZP73:OZU73"/>
    <mergeCell ref="OZW73:PAB73"/>
    <mergeCell ref="PAD73:PAI73"/>
    <mergeCell ref="PAK73:PAP73"/>
    <mergeCell ref="PAR73:PAW73"/>
    <mergeCell ref="PAY73:PBD73"/>
    <mergeCell ref="OXZ73:OYE73"/>
    <mergeCell ref="OYG73:OYL73"/>
    <mergeCell ref="OYN73:OYS73"/>
    <mergeCell ref="OYU73:OYZ73"/>
    <mergeCell ref="OZB73:OZG73"/>
    <mergeCell ref="OZI73:OZN73"/>
    <mergeCell ref="OWJ73:OWO73"/>
    <mergeCell ref="OWQ73:OWV73"/>
    <mergeCell ref="OWX73:OXC73"/>
    <mergeCell ref="OXE73:OXJ73"/>
    <mergeCell ref="OXL73:OXQ73"/>
    <mergeCell ref="OXS73:OXX73"/>
    <mergeCell ref="OUT73:OUY73"/>
    <mergeCell ref="OVA73:OVF73"/>
    <mergeCell ref="OVH73:OVM73"/>
    <mergeCell ref="OVO73:OVT73"/>
    <mergeCell ref="OVV73:OWA73"/>
    <mergeCell ref="OWC73:OWH73"/>
    <mergeCell ref="OTD73:OTI73"/>
    <mergeCell ref="OTK73:OTP73"/>
    <mergeCell ref="OTR73:OTW73"/>
    <mergeCell ref="OTY73:OUD73"/>
    <mergeCell ref="OUF73:OUK73"/>
    <mergeCell ref="OUM73:OUR73"/>
    <mergeCell ref="ORN73:ORS73"/>
    <mergeCell ref="ORU73:ORZ73"/>
    <mergeCell ref="OSB73:OSG73"/>
    <mergeCell ref="OSI73:OSN73"/>
    <mergeCell ref="OSP73:OSU73"/>
    <mergeCell ref="OSW73:OTB73"/>
    <mergeCell ref="OPX73:OQC73"/>
    <mergeCell ref="OQE73:OQJ73"/>
    <mergeCell ref="OQL73:OQQ73"/>
    <mergeCell ref="OQS73:OQX73"/>
    <mergeCell ref="OQZ73:ORE73"/>
    <mergeCell ref="ORG73:ORL73"/>
    <mergeCell ref="OOH73:OOM73"/>
    <mergeCell ref="OOO73:OOT73"/>
    <mergeCell ref="OOV73:OPA73"/>
    <mergeCell ref="OPC73:OPH73"/>
    <mergeCell ref="OPJ73:OPO73"/>
    <mergeCell ref="OPQ73:OPV73"/>
    <mergeCell ref="OMR73:OMW73"/>
    <mergeCell ref="OMY73:OND73"/>
    <mergeCell ref="ONF73:ONK73"/>
    <mergeCell ref="ONM73:ONR73"/>
    <mergeCell ref="ONT73:ONY73"/>
    <mergeCell ref="OOA73:OOF73"/>
    <mergeCell ref="OLB73:OLG73"/>
    <mergeCell ref="OLI73:OLN73"/>
    <mergeCell ref="OLP73:OLU73"/>
    <mergeCell ref="OLW73:OMB73"/>
    <mergeCell ref="OMD73:OMI73"/>
    <mergeCell ref="OMK73:OMP73"/>
    <mergeCell ref="OJL73:OJQ73"/>
    <mergeCell ref="OJS73:OJX73"/>
    <mergeCell ref="OJZ73:OKE73"/>
    <mergeCell ref="OKG73:OKL73"/>
    <mergeCell ref="OKN73:OKS73"/>
    <mergeCell ref="OKU73:OKZ73"/>
    <mergeCell ref="OHV73:OIA73"/>
    <mergeCell ref="OIC73:OIH73"/>
    <mergeCell ref="OIJ73:OIO73"/>
    <mergeCell ref="OIQ73:OIV73"/>
    <mergeCell ref="OIX73:OJC73"/>
    <mergeCell ref="OJE73:OJJ73"/>
    <mergeCell ref="OGF73:OGK73"/>
    <mergeCell ref="OGM73:OGR73"/>
    <mergeCell ref="OGT73:OGY73"/>
    <mergeCell ref="OHA73:OHF73"/>
    <mergeCell ref="OHH73:OHM73"/>
    <mergeCell ref="OHO73:OHT73"/>
    <mergeCell ref="OEP73:OEU73"/>
    <mergeCell ref="OEW73:OFB73"/>
    <mergeCell ref="OFD73:OFI73"/>
    <mergeCell ref="OFK73:OFP73"/>
    <mergeCell ref="OFR73:OFW73"/>
    <mergeCell ref="OFY73:OGD73"/>
    <mergeCell ref="OCZ73:ODE73"/>
    <mergeCell ref="ODG73:ODL73"/>
    <mergeCell ref="ODN73:ODS73"/>
    <mergeCell ref="ODU73:ODZ73"/>
    <mergeCell ref="OEB73:OEG73"/>
    <mergeCell ref="OEI73:OEN73"/>
    <mergeCell ref="OBJ73:OBO73"/>
    <mergeCell ref="OBQ73:OBV73"/>
    <mergeCell ref="OBX73:OCC73"/>
    <mergeCell ref="OCE73:OCJ73"/>
    <mergeCell ref="OCL73:OCQ73"/>
    <mergeCell ref="OCS73:OCX73"/>
    <mergeCell ref="NZT73:NZY73"/>
    <mergeCell ref="OAA73:OAF73"/>
    <mergeCell ref="OAH73:OAM73"/>
    <mergeCell ref="OAO73:OAT73"/>
    <mergeCell ref="OAV73:OBA73"/>
    <mergeCell ref="OBC73:OBH73"/>
    <mergeCell ref="NYD73:NYI73"/>
    <mergeCell ref="NYK73:NYP73"/>
    <mergeCell ref="NYR73:NYW73"/>
    <mergeCell ref="NYY73:NZD73"/>
    <mergeCell ref="NZF73:NZK73"/>
    <mergeCell ref="NZM73:NZR73"/>
    <mergeCell ref="NWN73:NWS73"/>
    <mergeCell ref="NWU73:NWZ73"/>
    <mergeCell ref="NXB73:NXG73"/>
    <mergeCell ref="NXI73:NXN73"/>
    <mergeCell ref="NXP73:NXU73"/>
    <mergeCell ref="NXW73:NYB73"/>
    <mergeCell ref="NUX73:NVC73"/>
    <mergeCell ref="NVE73:NVJ73"/>
    <mergeCell ref="NVL73:NVQ73"/>
    <mergeCell ref="NVS73:NVX73"/>
    <mergeCell ref="NVZ73:NWE73"/>
    <mergeCell ref="NWG73:NWL73"/>
    <mergeCell ref="NTH73:NTM73"/>
    <mergeCell ref="NTO73:NTT73"/>
    <mergeCell ref="NTV73:NUA73"/>
    <mergeCell ref="NUC73:NUH73"/>
    <mergeCell ref="NUJ73:NUO73"/>
    <mergeCell ref="NUQ73:NUV73"/>
    <mergeCell ref="NRR73:NRW73"/>
    <mergeCell ref="NRY73:NSD73"/>
    <mergeCell ref="NSF73:NSK73"/>
    <mergeCell ref="NSM73:NSR73"/>
    <mergeCell ref="NST73:NSY73"/>
    <mergeCell ref="NTA73:NTF73"/>
    <mergeCell ref="NQB73:NQG73"/>
    <mergeCell ref="NQI73:NQN73"/>
    <mergeCell ref="NQP73:NQU73"/>
    <mergeCell ref="NQW73:NRB73"/>
    <mergeCell ref="NRD73:NRI73"/>
    <mergeCell ref="NRK73:NRP73"/>
    <mergeCell ref="NOL73:NOQ73"/>
    <mergeCell ref="NOS73:NOX73"/>
    <mergeCell ref="NOZ73:NPE73"/>
    <mergeCell ref="NPG73:NPL73"/>
    <mergeCell ref="NPN73:NPS73"/>
    <mergeCell ref="NPU73:NPZ73"/>
    <mergeCell ref="NMV73:NNA73"/>
    <mergeCell ref="NNC73:NNH73"/>
    <mergeCell ref="NNJ73:NNO73"/>
    <mergeCell ref="NNQ73:NNV73"/>
    <mergeCell ref="NNX73:NOC73"/>
    <mergeCell ref="NOE73:NOJ73"/>
    <mergeCell ref="NLF73:NLK73"/>
    <mergeCell ref="NLM73:NLR73"/>
    <mergeCell ref="NLT73:NLY73"/>
    <mergeCell ref="NMA73:NMF73"/>
    <mergeCell ref="NMH73:NMM73"/>
    <mergeCell ref="NMO73:NMT73"/>
    <mergeCell ref="NJP73:NJU73"/>
    <mergeCell ref="NJW73:NKB73"/>
    <mergeCell ref="NKD73:NKI73"/>
    <mergeCell ref="NKK73:NKP73"/>
    <mergeCell ref="NKR73:NKW73"/>
    <mergeCell ref="NKY73:NLD73"/>
    <mergeCell ref="NHZ73:NIE73"/>
    <mergeCell ref="NIG73:NIL73"/>
    <mergeCell ref="NIN73:NIS73"/>
    <mergeCell ref="NIU73:NIZ73"/>
    <mergeCell ref="NJB73:NJG73"/>
    <mergeCell ref="NJI73:NJN73"/>
    <mergeCell ref="NGJ73:NGO73"/>
    <mergeCell ref="NGQ73:NGV73"/>
    <mergeCell ref="NGX73:NHC73"/>
    <mergeCell ref="NHE73:NHJ73"/>
    <mergeCell ref="NHL73:NHQ73"/>
    <mergeCell ref="NHS73:NHX73"/>
    <mergeCell ref="NET73:NEY73"/>
    <mergeCell ref="NFA73:NFF73"/>
    <mergeCell ref="NFH73:NFM73"/>
    <mergeCell ref="NFO73:NFT73"/>
    <mergeCell ref="NFV73:NGA73"/>
    <mergeCell ref="NGC73:NGH73"/>
    <mergeCell ref="NDD73:NDI73"/>
    <mergeCell ref="NDK73:NDP73"/>
    <mergeCell ref="NDR73:NDW73"/>
    <mergeCell ref="NDY73:NED73"/>
    <mergeCell ref="NEF73:NEK73"/>
    <mergeCell ref="NEM73:NER73"/>
    <mergeCell ref="NBN73:NBS73"/>
    <mergeCell ref="NBU73:NBZ73"/>
    <mergeCell ref="NCB73:NCG73"/>
    <mergeCell ref="NCI73:NCN73"/>
    <mergeCell ref="NCP73:NCU73"/>
    <mergeCell ref="NCW73:NDB73"/>
    <mergeCell ref="MZX73:NAC73"/>
    <mergeCell ref="NAE73:NAJ73"/>
    <mergeCell ref="NAL73:NAQ73"/>
    <mergeCell ref="NAS73:NAX73"/>
    <mergeCell ref="NAZ73:NBE73"/>
    <mergeCell ref="NBG73:NBL73"/>
    <mergeCell ref="MYH73:MYM73"/>
    <mergeCell ref="MYO73:MYT73"/>
    <mergeCell ref="MYV73:MZA73"/>
    <mergeCell ref="MZC73:MZH73"/>
    <mergeCell ref="MZJ73:MZO73"/>
    <mergeCell ref="MZQ73:MZV73"/>
    <mergeCell ref="MWR73:MWW73"/>
    <mergeCell ref="MWY73:MXD73"/>
    <mergeCell ref="MXF73:MXK73"/>
    <mergeCell ref="MXM73:MXR73"/>
    <mergeCell ref="MXT73:MXY73"/>
    <mergeCell ref="MYA73:MYF73"/>
    <mergeCell ref="MVB73:MVG73"/>
    <mergeCell ref="MVI73:MVN73"/>
    <mergeCell ref="MVP73:MVU73"/>
    <mergeCell ref="MVW73:MWB73"/>
    <mergeCell ref="MWD73:MWI73"/>
    <mergeCell ref="MWK73:MWP73"/>
    <mergeCell ref="MTL73:MTQ73"/>
    <mergeCell ref="MTS73:MTX73"/>
    <mergeCell ref="MTZ73:MUE73"/>
    <mergeCell ref="MUG73:MUL73"/>
    <mergeCell ref="MUN73:MUS73"/>
    <mergeCell ref="MUU73:MUZ73"/>
    <mergeCell ref="MRV73:MSA73"/>
    <mergeCell ref="MSC73:MSH73"/>
    <mergeCell ref="MSJ73:MSO73"/>
    <mergeCell ref="MSQ73:MSV73"/>
    <mergeCell ref="MSX73:MTC73"/>
    <mergeCell ref="MTE73:MTJ73"/>
    <mergeCell ref="MQF73:MQK73"/>
    <mergeCell ref="MQM73:MQR73"/>
    <mergeCell ref="MQT73:MQY73"/>
    <mergeCell ref="MRA73:MRF73"/>
    <mergeCell ref="MRH73:MRM73"/>
    <mergeCell ref="MRO73:MRT73"/>
    <mergeCell ref="MOP73:MOU73"/>
    <mergeCell ref="MOW73:MPB73"/>
    <mergeCell ref="MPD73:MPI73"/>
    <mergeCell ref="MPK73:MPP73"/>
    <mergeCell ref="MPR73:MPW73"/>
    <mergeCell ref="MPY73:MQD73"/>
    <mergeCell ref="MMZ73:MNE73"/>
    <mergeCell ref="MNG73:MNL73"/>
    <mergeCell ref="MNN73:MNS73"/>
    <mergeCell ref="MNU73:MNZ73"/>
    <mergeCell ref="MOB73:MOG73"/>
    <mergeCell ref="MOI73:MON73"/>
    <mergeCell ref="MLJ73:MLO73"/>
    <mergeCell ref="MLQ73:MLV73"/>
    <mergeCell ref="MLX73:MMC73"/>
    <mergeCell ref="MME73:MMJ73"/>
    <mergeCell ref="MML73:MMQ73"/>
    <mergeCell ref="MMS73:MMX73"/>
    <mergeCell ref="MJT73:MJY73"/>
    <mergeCell ref="MKA73:MKF73"/>
    <mergeCell ref="MKH73:MKM73"/>
    <mergeCell ref="MKO73:MKT73"/>
    <mergeCell ref="MKV73:MLA73"/>
    <mergeCell ref="MLC73:MLH73"/>
    <mergeCell ref="MID73:MII73"/>
    <mergeCell ref="MIK73:MIP73"/>
    <mergeCell ref="MIR73:MIW73"/>
    <mergeCell ref="MIY73:MJD73"/>
    <mergeCell ref="MJF73:MJK73"/>
    <mergeCell ref="MJM73:MJR73"/>
    <mergeCell ref="MGN73:MGS73"/>
    <mergeCell ref="MGU73:MGZ73"/>
    <mergeCell ref="MHB73:MHG73"/>
    <mergeCell ref="MHI73:MHN73"/>
    <mergeCell ref="MHP73:MHU73"/>
    <mergeCell ref="MHW73:MIB73"/>
    <mergeCell ref="MEX73:MFC73"/>
    <mergeCell ref="MFE73:MFJ73"/>
    <mergeCell ref="MFL73:MFQ73"/>
    <mergeCell ref="MFS73:MFX73"/>
    <mergeCell ref="MFZ73:MGE73"/>
    <mergeCell ref="MGG73:MGL73"/>
    <mergeCell ref="MDH73:MDM73"/>
    <mergeCell ref="MDO73:MDT73"/>
    <mergeCell ref="MDV73:MEA73"/>
    <mergeCell ref="MEC73:MEH73"/>
    <mergeCell ref="MEJ73:MEO73"/>
    <mergeCell ref="MEQ73:MEV73"/>
    <mergeCell ref="MBR73:MBW73"/>
    <mergeCell ref="MBY73:MCD73"/>
    <mergeCell ref="MCF73:MCK73"/>
    <mergeCell ref="MCM73:MCR73"/>
    <mergeCell ref="MCT73:MCY73"/>
    <mergeCell ref="MDA73:MDF73"/>
    <mergeCell ref="MAB73:MAG73"/>
    <mergeCell ref="MAI73:MAN73"/>
    <mergeCell ref="MAP73:MAU73"/>
    <mergeCell ref="MAW73:MBB73"/>
    <mergeCell ref="MBD73:MBI73"/>
    <mergeCell ref="MBK73:MBP73"/>
    <mergeCell ref="LYL73:LYQ73"/>
    <mergeCell ref="LYS73:LYX73"/>
    <mergeCell ref="LYZ73:LZE73"/>
    <mergeCell ref="LZG73:LZL73"/>
    <mergeCell ref="LZN73:LZS73"/>
    <mergeCell ref="LZU73:LZZ73"/>
    <mergeCell ref="LWV73:LXA73"/>
    <mergeCell ref="LXC73:LXH73"/>
    <mergeCell ref="LXJ73:LXO73"/>
    <mergeCell ref="LXQ73:LXV73"/>
    <mergeCell ref="LXX73:LYC73"/>
    <mergeCell ref="LYE73:LYJ73"/>
    <mergeCell ref="LVF73:LVK73"/>
    <mergeCell ref="LVM73:LVR73"/>
    <mergeCell ref="LVT73:LVY73"/>
    <mergeCell ref="LWA73:LWF73"/>
    <mergeCell ref="LWH73:LWM73"/>
    <mergeCell ref="LWO73:LWT73"/>
    <mergeCell ref="LTP73:LTU73"/>
    <mergeCell ref="LTW73:LUB73"/>
    <mergeCell ref="LUD73:LUI73"/>
    <mergeCell ref="LUK73:LUP73"/>
    <mergeCell ref="LUR73:LUW73"/>
    <mergeCell ref="LUY73:LVD73"/>
    <mergeCell ref="LRZ73:LSE73"/>
    <mergeCell ref="LSG73:LSL73"/>
    <mergeCell ref="LSN73:LSS73"/>
    <mergeCell ref="LSU73:LSZ73"/>
    <mergeCell ref="LTB73:LTG73"/>
    <mergeCell ref="LTI73:LTN73"/>
    <mergeCell ref="LQJ73:LQO73"/>
    <mergeCell ref="LQQ73:LQV73"/>
    <mergeCell ref="LQX73:LRC73"/>
    <mergeCell ref="LRE73:LRJ73"/>
    <mergeCell ref="LRL73:LRQ73"/>
    <mergeCell ref="LRS73:LRX73"/>
    <mergeCell ref="LOT73:LOY73"/>
    <mergeCell ref="LPA73:LPF73"/>
    <mergeCell ref="LPH73:LPM73"/>
    <mergeCell ref="LPO73:LPT73"/>
    <mergeCell ref="LPV73:LQA73"/>
    <mergeCell ref="LQC73:LQH73"/>
    <mergeCell ref="LND73:LNI73"/>
    <mergeCell ref="LNK73:LNP73"/>
    <mergeCell ref="LNR73:LNW73"/>
    <mergeCell ref="LNY73:LOD73"/>
    <mergeCell ref="LOF73:LOK73"/>
    <mergeCell ref="LOM73:LOR73"/>
    <mergeCell ref="LLN73:LLS73"/>
    <mergeCell ref="LLU73:LLZ73"/>
    <mergeCell ref="LMB73:LMG73"/>
    <mergeCell ref="LMI73:LMN73"/>
    <mergeCell ref="LMP73:LMU73"/>
    <mergeCell ref="LMW73:LNB73"/>
    <mergeCell ref="LJX73:LKC73"/>
    <mergeCell ref="LKE73:LKJ73"/>
    <mergeCell ref="LKL73:LKQ73"/>
    <mergeCell ref="LKS73:LKX73"/>
    <mergeCell ref="LKZ73:LLE73"/>
    <mergeCell ref="LLG73:LLL73"/>
    <mergeCell ref="LIH73:LIM73"/>
    <mergeCell ref="LIO73:LIT73"/>
    <mergeCell ref="LIV73:LJA73"/>
    <mergeCell ref="LJC73:LJH73"/>
    <mergeCell ref="LJJ73:LJO73"/>
    <mergeCell ref="LJQ73:LJV73"/>
    <mergeCell ref="LGR73:LGW73"/>
    <mergeCell ref="LGY73:LHD73"/>
    <mergeCell ref="LHF73:LHK73"/>
    <mergeCell ref="LHM73:LHR73"/>
    <mergeCell ref="LHT73:LHY73"/>
    <mergeCell ref="LIA73:LIF73"/>
    <mergeCell ref="LFB73:LFG73"/>
    <mergeCell ref="LFI73:LFN73"/>
    <mergeCell ref="LFP73:LFU73"/>
    <mergeCell ref="LFW73:LGB73"/>
    <mergeCell ref="LGD73:LGI73"/>
    <mergeCell ref="LGK73:LGP73"/>
    <mergeCell ref="LDL73:LDQ73"/>
    <mergeCell ref="LDS73:LDX73"/>
    <mergeCell ref="LDZ73:LEE73"/>
    <mergeCell ref="LEG73:LEL73"/>
    <mergeCell ref="LEN73:LES73"/>
    <mergeCell ref="LEU73:LEZ73"/>
    <mergeCell ref="LBV73:LCA73"/>
    <mergeCell ref="LCC73:LCH73"/>
    <mergeCell ref="LCJ73:LCO73"/>
    <mergeCell ref="LCQ73:LCV73"/>
    <mergeCell ref="LCX73:LDC73"/>
    <mergeCell ref="LDE73:LDJ73"/>
    <mergeCell ref="LAF73:LAK73"/>
    <mergeCell ref="LAM73:LAR73"/>
    <mergeCell ref="LAT73:LAY73"/>
    <mergeCell ref="LBA73:LBF73"/>
    <mergeCell ref="LBH73:LBM73"/>
    <mergeCell ref="LBO73:LBT73"/>
    <mergeCell ref="KYP73:KYU73"/>
    <mergeCell ref="KYW73:KZB73"/>
    <mergeCell ref="KZD73:KZI73"/>
    <mergeCell ref="KZK73:KZP73"/>
    <mergeCell ref="KZR73:KZW73"/>
    <mergeCell ref="KZY73:LAD73"/>
    <mergeCell ref="KWZ73:KXE73"/>
    <mergeCell ref="KXG73:KXL73"/>
    <mergeCell ref="KXN73:KXS73"/>
    <mergeCell ref="KXU73:KXZ73"/>
    <mergeCell ref="KYB73:KYG73"/>
    <mergeCell ref="KYI73:KYN73"/>
    <mergeCell ref="KVJ73:KVO73"/>
    <mergeCell ref="KVQ73:KVV73"/>
    <mergeCell ref="KVX73:KWC73"/>
    <mergeCell ref="KWE73:KWJ73"/>
    <mergeCell ref="KWL73:KWQ73"/>
    <mergeCell ref="KWS73:KWX73"/>
    <mergeCell ref="KTT73:KTY73"/>
    <mergeCell ref="KUA73:KUF73"/>
    <mergeCell ref="KUH73:KUM73"/>
    <mergeCell ref="KUO73:KUT73"/>
    <mergeCell ref="KUV73:KVA73"/>
    <mergeCell ref="KVC73:KVH73"/>
    <mergeCell ref="KSD73:KSI73"/>
    <mergeCell ref="KSK73:KSP73"/>
    <mergeCell ref="KSR73:KSW73"/>
    <mergeCell ref="KSY73:KTD73"/>
    <mergeCell ref="KTF73:KTK73"/>
    <mergeCell ref="KTM73:KTR73"/>
    <mergeCell ref="KQN73:KQS73"/>
    <mergeCell ref="KQU73:KQZ73"/>
    <mergeCell ref="KRB73:KRG73"/>
    <mergeCell ref="KRI73:KRN73"/>
    <mergeCell ref="KRP73:KRU73"/>
    <mergeCell ref="KRW73:KSB73"/>
    <mergeCell ref="KOX73:KPC73"/>
    <mergeCell ref="KPE73:KPJ73"/>
    <mergeCell ref="KPL73:KPQ73"/>
    <mergeCell ref="KPS73:KPX73"/>
    <mergeCell ref="KPZ73:KQE73"/>
    <mergeCell ref="KQG73:KQL73"/>
    <mergeCell ref="KNH73:KNM73"/>
    <mergeCell ref="KNO73:KNT73"/>
    <mergeCell ref="KNV73:KOA73"/>
    <mergeCell ref="KOC73:KOH73"/>
    <mergeCell ref="KOJ73:KOO73"/>
    <mergeCell ref="KOQ73:KOV73"/>
    <mergeCell ref="KLR73:KLW73"/>
    <mergeCell ref="KLY73:KMD73"/>
    <mergeCell ref="KMF73:KMK73"/>
    <mergeCell ref="KMM73:KMR73"/>
    <mergeCell ref="KMT73:KMY73"/>
    <mergeCell ref="KNA73:KNF73"/>
    <mergeCell ref="KKB73:KKG73"/>
    <mergeCell ref="KKI73:KKN73"/>
    <mergeCell ref="KKP73:KKU73"/>
    <mergeCell ref="KKW73:KLB73"/>
    <mergeCell ref="KLD73:KLI73"/>
    <mergeCell ref="KLK73:KLP73"/>
    <mergeCell ref="KIL73:KIQ73"/>
    <mergeCell ref="KIS73:KIX73"/>
    <mergeCell ref="KIZ73:KJE73"/>
    <mergeCell ref="KJG73:KJL73"/>
    <mergeCell ref="KJN73:KJS73"/>
    <mergeCell ref="KJU73:KJZ73"/>
    <mergeCell ref="KGV73:KHA73"/>
    <mergeCell ref="KHC73:KHH73"/>
    <mergeCell ref="KHJ73:KHO73"/>
    <mergeCell ref="KHQ73:KHV73"/>
    <mergeCell ref="KHX73:KIC73"/>
    <mergeCell ref="KIE73:KIJ73"/>
    <mergeCell ref="KFF73:KFK73"/>
    <mergeCell ref="KFM73:KFR73"/>
    <mergeCell ref="KFT73:KFY73"/>
    <mergeCell ref="KGA73:KGF73"/>
    <mergeCell ref="KGH73:KGM73"/>
    <mergeCell ref="KGO73:KGT73"/>
    <mergeCell ref="KDP73:KDU73"/>
    <mergeCell ref="KDW73:KEB73"/>
    <mergeCell ref="KED73:KEI73"/>
    <mergeCell ref="KEK73:KEP73"/>
    <mergeCell ref="KER73:KEW73"/>
    <mergeCell ref="KEY73:KFD73"/>
    <mergeCell ref="KBZ73:KCE73"/>
    <mergeCell ref="KCG73:KCL73"/>
    <mergeCell ref="KCN73:KCS73"/>
    <mergeCell ref="KCU73:KCZ73"/>
    <mergeCell ref="KDB73:KDG73"/>
    <mergeCell ref="KDI73:KDN73"/>
    <mergeCell ref="KAJ73:KAO73"/>
    <mergeCell ref="KAQ73:KAV73"/>
    <mergeCell ref="KAX73:KBC73"/>
    <mergeCell ref="KBE73:KBJ73"/>
    <mergeCell ref="KBL73:KBQ73"/>
    <mergeCell ref="KBS73:KBX73"/>
    <mergeCell ref="JYT73:JYY73"/>
    <mergeCell ref="JZA73:JZF73"/>
    <mergeCell ref="JZH73:JZM73"/>
    <mergeCell ref="JZO73:JZT73"/>
    <mergeCell ref="JZV73:KAA73"/>
    <mergeCell ref="KAC73:KAH73"/>
    <mergeCell ref="JXD73:JXI73"/>
    <mergeCell ref="JXK73:JXP73"/>
    <mergeCell ref="JXR73:JXW73"/>
    <mergeCell ref="JXY73:JYD73"/>
    <mergeCell ref="JYF73:JYK73"/>
    <mergeCell ref="JYM73:JYR73"/>
    <mergeCell ref="JVN73:JVS73"/>
    <mergeCell ref="JVU73:JVZ73"/>
    <mergeCell ref="JWB73:JWG73"/>
    <mergeCell ref="JWI73:JWN73"/>
    <mergeCell ref="JWP73:JWU73"/>
    <mergeCell ref="JWW73:JXB73"/>
    <mergeCell ref="JTX73:JUC73"/>
    <mergeCell ref="JUE73:JUJ73"/>
    <mergeCell ref="JUL73:JUQ73"/>
    <mergeCell ref="JUS73:JUX73"/>
    <mergeCell ref="JUZ73:JVE73"/>
    <mergeCell ref="JVG73:JVL73"/>
    <mergeCell ref="JSH73:JSM73"/>
    <mergeCell ref="JSO73:JST73"/>
    <mergeCell ref="JSV73:JTA73"/>
    <mergeCell ref="JTC73:JTH73"/>
    <mergeCell ref="JTJ73:JTO73"/>
    <mergeCell ref="JTQ73:JTV73"/>
    <mergeCell ref="JQR73:JQW73"/>
    <mergeCell ref="JQY73:JRD73"/>
    <mergeCell ref="JRF73:JRK73"/>
    <mergeCell ref="JRM73:JRR73"/>
    <mergeCell ref="JRT73:JRY73"/>
    <mergeCell ref="JSA73:JSF73"/>
    <mergeCell ref="JPB73:JPG73"/>
    <mergeCell ref="JPI73:JPN73"/>
    <mergeCell ref="JPP73:JPU73"/>
    <mergeCell ref="JPW73:JQB73"/>
    <mergeCell ref="JQD73:JQI73"/>
    <mergeCell ref="JQK73:JQP73"/>
    <mergeCell ref="JNL73:JNQ73"/>
    <mergeCell ref="JNS73:JNX73"/>
    <mergeCell ref="JNZ73:JOE73"/>
    <mergeCell ref="JOG73:JOL73"/>
    <mergeCell ref="JON73:JOS73"/>
    <mergeCell ref="JOU73:JOZ73"/>
    <mergeCell ref="JLV73:JMA73"/>
    <mergeCell ref="JMC73:JMH73"/>
    <mergeCell ref="JMJ73:JMO73"/>
    <mergeCell ref="JMQ73:JMV73"/>
    <mergeCell ref="JMX73:JNC73"/>
    <mergeCell ref="JNE73:JNJ73"/>
    <mergeCell ref="JKF73:JKK73"/>
    <mergeCell ref="JKM73:JKR73"/>
    <mergeCell ref="JKT73:JKY73"/>
    <mergeCell ref="JLA73:JLF73"/>
    <mergeCell ref="JLH73:JLM73"/>
    <mergeCell ref="JLO73:JLT73"/>
    <mergeCell ref="JIP73:JIU73"/>
    <mergeCell ref="JIW73:JJB73"/>
    <mergeCell ref="JJD73:JJI73"/>
    <mergeCell ref="JJK73:JJP73"/>
    <mergeCell ref="JJR73:JJW73"/>
    <mergeCell ref="JJY73:JKD73"/>
    <mergeCell ref="JGZ73:JHE73"/>
    <mergeCell ref="JHG73:JHL73"/>
    <mergeCell ref="JHN73:JHS73"/>
    <mergeCell ref="JHU73:JHZ73"/>
    <mergeCell ref="JIB73:JIG73"/>
    <mergeCell ref="JII73:JIN73"/>
    <mergeCell ref="JFJ73:JFO73"/>
    <mergeCell ref="JFQ73:JFV73"/>
    <mergeCell ref="JFX73:JGC73"/>
    <mergeCell ref="JGE73:JGJ73"/>
    <mergeCell ref="JGL73:JGQ73"/>
    <mergeCell ref="JGS73:JGX73"/>
    <mergeCell ref="JDT73:JDY73"/>
    <mergeCell ref="JEA73:JEF73"/>
    <mergeCell ref="JEH73:JEM73"/>
    <mergeCell ref="JEO73:JET73"/>
    <mergeCell ref="JEV73:JFA73"/>
    <mergeCell ref="JFC73:JFH73"/>
    <mergeCell ref="JCD73:JCI73"/>
    <mergeCell ref="JCK73:JCP73"/>
    <mergeCell ref="JCR73:JCW73"/>
    <mergeCell ref="JCY73:JDD73"/>
    <mergeCell ref="JDF73:JDK73"/>
    <mergeCell ref="JDM73:JDR73"/>
    <mergeCell ref="JAN73:JAS73"/>
    <mergeCell ref="JAU73:JAZ73"/>
    <mergeCell ref="JBB73:JBG73"/>
    <mergeCell ref="JBI73:JBN73"/>
    <mergeCell ref="JBP73:JBU73"/>
    <mergeCell ref="JBW73:JCB73"/>
    <mergeCell ref="IYX73:IZC73"/>
    <mergeCell ref="IZE73:IZJ73"/>
    <mergeCell ref="IZL73:IZQ73"/>
    <mergeCell ref="IZS73:IZX73"/>
    <mergeCell ref="IZZ73:JAE73"/>
    <mergeCell ref="JAG73:JAL73"/>
    <mergeCell ref="IXH73:IXM73"/>
    <mergeCell ref="IXO73:IXT73"/>
    <mergeCell ref="IXV73:IYA73"/>
    <mergeCell ref="IYC73:IYH73"/>
    <mergeCell ref="IYJ73:IYO73"/>
    <mergeCell ref="IYQ73:IYV73"/>
    <mergeCell ref="IVR73:IVW73"/>
    <mergeCell ref="IVY73:IWD73"/>
    <mergeCell ref="IWF73:IWK73"/>
    <mergeCell ref="IWM73:IWR73"/>
    <mergeCell ref="IWT73:IWY73"/>
    <mergeCell ref="IXA73:IXF73"/>
    <mergeCell ref="IUB73:IUG73"/>
    <mergeCell ref="IUI73:IUN73"/>
    <mergeCell ref="IUP73:IUU73"/>
    <mergeCell ref="IUW73:IVB73"/>
    <mergeCell ref="IVD73:IVI73"/>
    <mergeCell ref="IVK73:IVP73"/>
    <mergeCell ref="ISL73:ISQ73"/>
    <mergeCell ref="ISS73:ISX73"/>
    <mergeCell ref="ISZ73:ITE73"/>
    <mergeCell ref="ITG73:ITL73"/>
    <mergeCell ref="ITN73:ITS73"/>
    <mergeCell ref="ITU73:ITZ73"/>
    <mergeCell ref="IQV73:IRA73"/>
    <mergeCell ref="IRC73:IRH73"/>
    <mergeCell ref="IRJ73:IRO73"/>
    <mergeCell ref="IRQ73:IRV73"/>
    <mergeCell ref="IRX73:ISC73"/>
    <mergeCell ref="ISE73:ISJ73"/>
    <mergeCell ref="IPF73:IPK73"/>
    <mergeCell ref="IPM73:IPR73"/>
    <mergeCell ref="IPT73:IPY73"/>
    <mergeCell ref="IQA73:IQF73"/>
    <mergeCell ref="IQH73:IQM73"/>
    <mergeCell ref="IQO73:IQT73"/>
    <mergeCell ref="INP73:INU73"/>
    <mergeCell ref="INW73:IOB73"/>
    <mergeCell ref="IOD73:IOI73"/>
    <mergeCell ref="IOK73:IOP73"/>
    <mergeCell ref="IOR73:IOW73"/>
    <mergeCell ref="IOY73:IPD73"/>
    <mergeCell ref="ILZ73:IME73"/>
    <mergeCell ref="IMG73:IML73"/>
    <mergeCell ref="IMN73:IMS73"/>
    <mergeCell ref="IMU73:IMZ73"/>
    <mergeCell ref="INB73:ING73"/>
    <mergeCell ref="INI73:INN73"/>
    <mergeCell ref="IKJ73:IKO73"/>
    <mergeCell ref="IKQ73:IKV73"/>
    <mergeCell ref="IKX73:ILC73"/>
    <mergeCell ref="ILE73:ILJ73"/>
    <mergeCell ref="ILL73:ILQ73"/>
    <mergeCell ref="ILS73:ILX73"/>
    <mergeCell ref="IIT73:IIY73"/>
    <mergeCell ref="IJA73:IJF73"/>
    <mergeCell ref="IJH73:IJM73"/>
    <mergeCell ref="IJO73:IJT73"/>
    <mergeCell ref="IJV73:IKA73"/>
    <mergeCell ref="IKC73:IKH73"/>
    <mergeCell ref="IHD73:IHI73"/>
    <mergeCell ref="IHK73:IHP73"/>
    <mergeCell ref="IHR73:IHW73"/>
    <mergeCell ref="IHY73:IID73"/>
    <mergeCell ref="IIF73:IIK73"/>
    <mergeCell ref="IIM73:IIR73"/>
    <mergeCell ref="IFN73:IFS73"/>
    <mergeCell ref="IFU73:IFZ73"/>
    <mergeCell ref="IGB73:IGG73"/>
    <mergeCell ref="IGI73:IGN73"/>
    <mergeCell ref="IGP73:IGU73"/>
    <mergeCell ref="IGW73:IHB73"/>
    <mergeCell ref="IDX73:IEC73"/>
    <mergeCell ref="IEE73:IEJ73"/>
    <mergeCell ref="IEL73:IEQ73"/>
    <mergeCell ref="IES73:IEX73"/>
    <mergeCell ref="IEZ73:IFE73"/>
    <mergeCell ref="IFG73:IFL73"/>
    <mergeCell ref="ICH73:ICM73"/>
    <mergeCell ref="ICO73:ICT73"/>
    <mergeCell ref="ICV73:IDA73"/>
    <mergeCell ref="IDC73:IDH73"/>
    <mergeCell ref="IDJ73:IDO73"/>
    <mergeCell ref="IDQ73:IDV73"/>
    <mergeCell ref="IAR73:IAW73"/>
    <mergeCell ref="IAY73:IBD73"/>
    <mergeCell ref="IBF73:IBK73"/>
    <mergeCell ref="IBM73:IBR73"/>
    <mergeCell ref="IBT73:IBY73"/>
    <mergeCell ref="ICA73:ICF73"/>
    <mergeCell ref="HZB73:HZG73"/>
    <mergeCell ref="HZI73:HZN73"/>
    <mergeCell ref="HZP73:HZU73"/>
    <mergeCell ref="HZW73:IAB73"/>
    <mergeCell ref="IAD73:IAI73"/>
    <mergeCell ref="IAK73:IAP73"/>
    <mergeCell ref="HXL73:HXQ73"/>
    <mergeCell ref="HXS73:HXX73"/>
    <mergeCell ref="HXZ73:HYE73"/>
    <mergeCell ref="HYG73:HYL73"/>
    <mergeCell ref="HYN73:HYS73"/>
    <mergeCell ref="HYU73:HYZ73"/>
    <mergeCell ref="HVV73:HWA73"/>
    <mergeCell ref="HWC73:HWH73"/>
    <mergeCell ref="HWJ73:HWO73"/>
    <mergeCell ref="HWQ73:HWV73"/>
    <mergeCell ref="HWX73:HXC73"/>
    <mergeCell ref="HXE73:HXJ73"/>
    <mergeCell ref="HUF73:HUK73"/>
    <mergeCell ref="HUM73:HUR73"/>
    <mergeCell ref="HUT73:HUY73"/>
    <mergeCell ref="HVA73:HVF73"/>
    <mergeCell ref="HVH73:HVM73"/>
    <mergeCell ref="HVO73:HVT73"/>
    <mergeCell ref="HSP73:HSU73"/>
    <mergeCell ref="HSW73:HTB73"/>
    <mergeCell ref="HTD73:HTI73"/>
    <mergeCell ref="HTK73:HTP73"/>
    <mergeCell ref="HTR73:HTW73"/>
    <mergeCell ref="HTY73:HUD73"/>
    <mergeCell ref="HQZ73:HRE73"/>
    <mergeCell ref="HRG73:HRL73"/>
    <mergeCell ref="HRN73:HRS73"/>
    <mergeCell ref="HRU73:HRZ73"/>
    <mergeCell ref="HSB73:HSG73"/>
    <mergeCell ref="HSI73:HSN73"/>
    <mergeCell ref="HPJ73:HPO73"/>
    <mergeCell ref="HPQ73:HPV73"/>
    <mergeCell ref="HPX73:HQC73"/>
    <mergeCell ref="HQE73:HQJ73"/>
    <mergeCell ref="HQL73:HQQ73"/>
    <mergeCell ref="HQS73:HQX73"/>
    <mergeCell ref="HNT73:HNY73"/>
    <mergeCell ref="HOA73:HOF73"/>
    <mergeCell ref="HOH73:HOM73"/>
    <mergeCell ref="HOO73:HOT73"/>
    <mergeCell ref="HOV73:HPA73"/>
    <mergeCell ref="HPC73:HPH73"/>
    <mergeCell ref="HMD73:HMI73"/>
    <mergeCell ref="HMK73:HMP73"/>
    <mergeCell ref="HMR73:HMW73"/>
    <mergeCell ref="HMY73:HND73"/>
    <mergeCell ref="HNF73:HNK73"/>
    <mergeCell ref="HNM73:HNR73"/>
    <mergeCell ref="HKN73:HKS73"/>
    <mergeCell ref="HKU73:HKZ73"/>
    <mergeCell ref="HLB73:HLG73"/>
    <mergeCell ref="HLI73:HLN73"/>
    <mergeCell ref="HLP73:HLU73"/>
    <mergeCell ref="HLW73:HMB73"/>
    <mergeCell ref="HIX73:HJC73"/>
    <mergeCell ref="HJE73:HJJ73"/>
    <mergeCell ref="HJL73:HJQ73"/>
    <mergeCell ref="HJS73:HJX73"/>
    <mergeCell ref="HJZ73:HKE73"/>
    <mergeCell ref="HKG73:HKL73"/>
    <mergeCell ref="HHH73:HHM73"/>
    <mergeCell ref="HHO73:HHT73"/>
    <mergeCell ref="HHV73:HIA73"/>
    <mergeCell ref="HIC73:HIH73"/>
    <mergeCell ref="HIJ73:HIO73"/>
    <mergeCell ref="HIQ73:HIV73"/>
    <mergeCell ref="HFR73:HFW73"/>
    <mergeCell ref="HFY73:HGD73"/>
    <mergeCell ref="HGF73:HGK73"/>
    <mergeCell ref="HGM73:HGR73"/>
    <mergeCell ref="HGT73:HGY73"/>
    <mergeCell ref="HHA73:HHF73"/>
    <mergeCell ref="HEB73:HEG73"/>
    <mergeCell ref="HEI73:HEN73"/>
    <mergeCell ref="HEP73:HEU73"/>
    <mergeCell ref="HEW73:HFB73"/>
    <mergeCell ref="HFD73:HFI73"/>
    <mergeCell ref="HFK73:HFP73"/>
    <mergeCell ref="HCL73:HCQ73"/>
    <mergeCell ref="HCS73:HCX73"/>
    <mergeCell ref="HCZ73:HDE73"/>
    <mergeCell ref="HDG73:HDL73"/>
    <mergeCell ref="HDN73:HDS73"/>
    <mergeCell ref="HDU73:HDZ73"/>
    <mergeCell ref="HAV73:HBA73"/>
    <mergeCell ref="HBC73:HBH73"/>
    <mergeCell ref="HBJ73:HBO73"/>
    <mergeCell ref="HBQ73:HBV73"/>
    <mergeCell ref="HBX73:HCC73"/>
    <mergeCell ref="HCE73:HCJ73"/>
    <mergeCell ref="GZF73:GZK73"/>
    <mergeCell ref="GZM73:GZR73"/>
    <mergeCell ref="GZT73:GZY73"/>
    <mergeCell ref="HAA73:HAF73"/>
    <mergeCell ref="HAH73:HAM73"/>
    <mergeCell ref="HAO73:HAT73"/>
    <mergeCell ref="GXP73:GXU73"/>
    <mergeCell ref="GXW73:GYB73"/>
    <mergeCell ref="GYD73:GYI73"/>
    <mergeCell ref="GYK73:GYP73"/>
    <mergeCell ref="GYR73:GYW73"/>
    <mergeCell ref="GYY73:GZD73"/>
    <mergeCell ref="GVZ73:GWE73"/>
    <mergeCell ref="GWG73:GWL73"/>
    <mergeCell ref="GWN73:GWS73"/>
    <mergeCell ref="GWU73:GWZ73"/>
    <mergeCell ref="GXB73:GXG73"/>
    <mergeCell ref="GXI73:GXN73"/>
    <mergeCell ref="GUJ73:GUO73"/>
    <mergeCell ref="GUQ73:GUV73"/>
    <mergeCell ref="GUX73:GVC73"/>
    <mergeCell ref="GVE73:GVJ73"/>
    <mergeCell ref="GVL73:GVQ73"/>
    <mergeCell ref="GVS73:GVX73"/>
    <mergeCell ref="GST73:GSY73"/>
    <mergeCell ref="GTA73:GTF73"/>
    <mergeCell ref="GTH73:GTM73"/>
    <mergeCell ref="GTO73:GTT73"/>
    <mergeCell ref="GTV73:GUA73"/>
    <mergeCell ref="GUC73:GUH73"/>
    <mergeCell ref="GRD73:GRI73"/>
    <mergeCell ref="GRK73:GRP73"/>
    <mergeCell ref="GRR73:GRW73"/>
    <mergeCell ref="GRY73:GSD73"/>
    <mergeCell ref="GSF73:GSK73"/>
    <mergeCell ref="GSM73:GSR73"/>
    <mergeCell ref="GPN73:GPS73"/>
    <mergeCell ref="GPU73:GPZ73"/>
    <mergeCell ref="GQB73:GQG73"/>
    <mergeCell ref="GQI73:GQN73"/>
    <mergeCell ref="GQP73:GQU73"/>
    <mergeCell ref="GQW73:GRB73"/>
    <mergeCell ref="GNX73:GOC73"/>
    <mergeCell ref="GOE73:GOJ73"/>
    <mergeCell ref="GOL73:GOQ73"/>
    <mergeCell ref="GOS73:GOX73"/>
    <mergeCell ref="GOZ73:GPE73"/>
    <mergeCell ref="GPG73:GPL73"/>
    <mergeCell ref="GMH73:GMM73"/>
    <mergeCell ref="GMO73:GMT73"/>
    <mergeCell ref="GMV73:GNA73"/>
    <mergeCell ref="GNC73:GNH73"/>
    <mergeCell ref="GNJ73:GNO73"/>
    <mergeCell ref="GNQ73:GNV73"/>
    <mergeCell ref="GKR73:GKW73"/>
    <mergeCell ref="GKY73:GLD73"/>
    <mergeCell ref="GLF73:GLK73"/>
    <mergeCell ref="GLM73:GLR73"/>
    <mergeCell ref="GLT73:GLY73"/>
    <mergeCell ref="GMA73:GMF73"/>
    <mergeCell ref="GJB73:GJG73"/>
    <mergeCell ref="GJI73:GJN73"/>
    <mergeCell ref="GJP73:GJU73"/>
    <mergeCell ref="GJW73:GKB73"/>
    <mergeCell ref="GKD73:GKI73"/>
    <mergeCell ref="GKK73:GKP73"/>
    <mergeCell ref="GHL73:GHQ73"/>
    <mergeCell ref="GHS73:GHX73"/>
    <mergeCell ref="GHZ73:GIE73"/>
    <mergeCell ref="GIG73:GIL73"/>
    <mergeCell ref="GIN73:GIS73"/>
    <mergeCell ref="GIU73:GIZ73"/>
    <mergeCell ref="GFV73:GGA73"/>
    <mergeCell ref="GGC73:GGH73"/>
    <mergeCell ref="GGJ73:GGO73"/>
    <mergeCell ref="GGQ73:GGV73"/>
    <mergeCell ref="GGX73:GHC73"/>
    <mergeCell ref="GHE73:GHJ73"/>
    <mergeCell ref="GEF73:GEK73"/>
    <mergeCell ref="GEM73:GER73"/>
    <mergeCell ref="GET73:GEY73"/>
    <mergeCell ref="GFA73:GFF73"/>
    <mergeCell ref="GFH73:GFM73"/>
    <mergeCell ref="GFO73:GFT73"/>
    <mergeCell ref="GCP73:GCU73"/>
    <mergeCell ref="GCW73:GDB73"/>
    <mergeCell ref="GDD73:GDI73"/>
    <mergeCell ref="GDK73:GDP73"/>
    <mergeCell ref="GDR73:GDW73"/>
    <mergeCell ref="GDY73:GED73"/>
    <mergeCell ref="GAZ73:GBE73"/>
    <mergeCell ref="GBG73:GBL73"/>
    <mergeCell ref="GBN73:GBS73"/>
    <mergeCell ref="GBU73:GBZ73"/>
    <mergeCell ref="GCB73:GCG73"/>
    <mergeCell ref="GCI73:GCN73"/>
    <mergeCell ref="FZJ73:FZO73"/>
    <mergeCell ref="FZQ73:FZV73"/>
    <mergeCell ref="FZX73:GAC73"/>
    <mergeCell ref="GAE73:GAJ73"/>
    <mergeCell ref="GAL73:GAQ73"/>
    <mergeCell ref="GAS73:GAX73"/>
    <mergeCell ref="FXT73:FXY73"/>
    <mergeCell ref="FYA73:FYF73"/>
    <mergeCell ref="FYH73:FYM73"/>
    <mergeCell ref="FYO73:FYT73"/>
    <mergeCell ref="FYV73:FZA73"/>
    <mergeCell ref="FZC73:FZH73"/>
    <mergeCell ref="FWD73:FWI73"/>
    <mergeCell ref="FWK73:FWP73"/>
    <mergeCell ref="FWR73:FWW73"/>
    <mergeCell ref="FWY73:FXD73"/>
    <mergeCell ref="FXF73:FXK73"/>
    <mergeCell ref="FXM73:FXR73"/>
    <mergeCell ref="FUN73:FUS73"/>
    <mergeCell ref="FUU73:FUZ73"/>
    <mergeCell ref="FVB73:FVG73"/>
    <mergeCell ref="FVI73:FVN73"/>
    <mergeCell ref="FVP73:FVU73"/>
    <mergeCell ref="FVW73:FWB73"/>
    <mergeCell ref="FSX73:FTC73"/>
    <mergeCell ref="FTE73:FTJ73"/>
    <mergeCell ref="FTL73:FTQ73"/>
    <mergeCell ref="FTS73:FTX73"/>
    <mergeCell ref="FTZ73:FUE73"/>
    <mergeCell ref="FUG73:FUL73"/>
    <mergeCell ref="FRH73:FRM73"/>
    <mergeCell ref="FRO73:FRT73"/>
    <mergeCell ref="FRV73:FSA73"/>
    <mergeCell ref="FSC73:FSH73"/>
    <mergeCell ref="FSJ73:FSO73"/>
    <mergeCell ref="FSQ73:FSV73"/>
    <mergeCell ref="FPR73:FPW73"/>
    <mergeCell ref="FPY73:FQD73"/>
    <mergeCell ref="FQF73:FQK73"/>
    <mergeCell ref="FQM73:FQR73"/>
    <mergeCell ref="FQT73:FQY73"/>
    <mergeCell ref="FRA73:FRF73"/>
    <mergeCell ref="FOB73:FOG73"/>
    <mergeCell ref="FOI73:FON73"/>
    <mergeCell ref="FOP73:FOU73"/>
    <mergeCell ref="FOW73:FPB73"/>
    <mergeCell ref="FPD73:FPI73"/>
    <mergeCell ref="FPK73:FPP73"/>
    <mergeCell ref="FML73:FMQ73"/>
    <mergeCell ref="FMS73:FMX73"/>
    <mergeCell ref="FMZ73:FNE73"/>
    <mergeCell ref="FNG73:FNL73"/>
    <mergeCell ref="FNN73:FNS73"/>
    <mergeCell ref="FNU73:FNZ73"/>
    <mergeCell ref="FKV73:FLA73"/>
    <mergeCell ref="FLC73:FLH73"/>
    <mergeCell ref="FLJ73:FLO73"/>
    <mergeCell ref="FLQ73:FLV73"/>
    <mergeCell ref="FLX73:FMC73"/>
    <mergeCell ref="FME73:FMJ73"/>
    <mergeCell ref="FJF73:FJK73"/>
    <mergeCell ref="FJM73:FJR73"/>
    <mergeCell ref="FJT73:FJY73"/>
    <mergeCell ref="FKA73:FKF73"/>
    <mergeCell ref="FKH73:FKM73"/>
    <mergeCell ref="FKO73:FKT73"/>
    <mergeCell ref="FHP73:FHU73"/>
    <mergeCell ref="FHW73:FIB73"/>
    <mergeCell ref="FID73:FII73"/>
    <mergeCell ref="FIK73:FIP73"/>
    <mergeCell ref="FIR73:FIW73"/>
    <mergeCell ref="FIY73:FJD73"/>
    <mergeCell ref="FFZ73:FGE73"/>
    <mergeCell ref="FGG73:FGL73"/>
    <mergeCell ref="FGN73:FGS73"/>
    <mergeCell ref="FGU73:FGZ73"/>
    <mergeCell ref="FHB73:FHG73"/>
    <mergeCell ref="FHI73:FHN73"/>
    <mergeCell ref="FEJ73:FEO73"/>
    <mergeCell ref="FEQ73:FEV73"/>
    <mergeCell ref="FEX73:FFC73"/>
    <mergeCell ref="FFE73:FFJ73"/>
    <mergeCell ref="FFL73:FFQ73"/>
    <mergeCell ref="FFS73:FFX73"/>
    <mergeCell ref="FCT73:FCY73"/>
    <mergeCell ref="FDA73:FDF73"/>
    <mergeCell ref="FDH73:FDM73"/>
    <mergeCell ref="FDO73:FDT73"/>
    <mergeCell ref="FDV73:FEA73"/>
    <mergeCell ref="FEC73:FEH73"/>
    <mergeCell ref="FBD73:FBI73"/>
    <mergeCell ref="FBK73:FBP73"/>
    <mergeCell ref="FBR73:FBW73"/>
    <mergeCell ref="FBY73:FCD73"/>
    <mergeCell ref="FCF73:FCK73"/>
    <mergeCell ref="FCM73:FCR73"/>
    <mergeCell ref="EZN73:EZS73"/>
    <mergeCell ref="EZU73:EZZ73"/>
    <mergeCell ref="FAB73:FAG73"/>
    <mergeCell ref="FAI73:FAN73"/>
    <mergeCell ref="FAP73:FAU73"/>
    <mergeCell ref="FAW73:FBB73"/>
    <mergeCell ref="EXX73:EYC73"/>
    <mergeCell ref="EYE73:EYJ73"/>
    <mergeCell ref="EYL73:EYQ73"/>
    <mergeCell ref="EYS73:EYX73"/>
    <mergeCell ref="EYZ73:EZE73"/>
    <mergeCell ref="EZG73:EZL73"/>
    <mergeCell ref="EWH73:EWM73"/>
    <mergeCell ref="EWO73:EWT73"/>
    <mergeCell ref="EWV73:EXA73"/>
    <mergeCell ref="EXC73:EXH73"/>
    <mergeCell ref="EXJ73:EXO73"/>
    <mergeCell ref="EXQ73:EXV73"/>
    <mergeCell ref="EUR73:EUW73"/>
    <mergeCell ref="EUY73:EVD73"/>
    <mergeCell ref="EVF73:EVK73"/>
    <mergeCell ref="EVM73:EVR73"/>
    <mergeCell ref="EVT73:EVY73"/>
    <mergeCell ref="EWA73:EWF73"/>
    <mergeCell ref="ETB73:ETG73"/>
    <mergeCell ref="ETI73:ETN73"/>
    <mergeCell ref="ETP73:ETU73"/>
    <mergeCell ref="ETW73:EUB73"/>
    <mergeCell ref="EUD73:EUI73"/>
    <mergeCell ref="EUK73:EUP73"/>
    <mergeCell ref="ERL73:ERQ73"/>
    <mergeCell ref="ERS73:ERX73"/>
    <mergeCell ref="ERZ73:ESE73"/>
    <mergeCell ref="ESG73:ESL73"/>
    <mergeCell ref="ESN73:ESS73"/>
    <mergeCell ref="ESU73:ESZ73"/>
    <mergeCell ref="EPV73:EQA73"/>
    <mergeCell ref="EQC73:EQH73"/>
    <mergeCell ref="EQJ73:EQO73"/>
    <mergeCell ref="EQQ73:EQV73"/>
    <mergeCell ref="EQX73:ERC73"/>
    <mergeCell ref="ERE73:ERJ73"/>
    <mergeCell ref="EOF73:EOK73"/>
    <mergeCell ref="EOM73:EOR73"/>
    <mergeCell ref="EOT73:EOY73"/>
    <mergeCell ref="EPA73:EPF73"/>
    <mergeCell ref="EPH73:EPM73"/>
    <mergeCell ref="EPO73:EPT73"/>
    <mergeCell ref="EMP73:EMU73"/>
    <mergeCell ref="EMW73:ENB73"/>
    <mergeCell ref="END73:ENI73"/>
    <mergeCell ref="ENK73:ENP73"/>
    <mergeCell ref="ENR73:ENW73"/>
    <mergeCell ref="ENY73:EOD73"/>
    <mergeCell ref="EKZ73:ELE73"/>
    <mergeCell ref="ELG73:ELL73"/>
    <mergeCell ref="ELN73:ELS73"/>
    <mergeCell ref="ELU73:ELZ73"/>
    <mergeCell ref="EMB73:EMG73"/>
    <mergeCell ref="EMI73:EMN73"/>
    <mergeCell ref="EJJ73:EJO73"/>
    <mergeCell ref="EJQ73:EJV73"/>
    <mergeCell ref="EJX73:EKC73"/>
    <mergeCell ref="EKE73:EKJ73"/>
    <mergeCell ref="EKL73:EKQ73"/>
    <mergeCell ref="EKS73:EKX73"/>
    <mergeCell ref="EHT73:EHY73"/>
    <mergeCell ref="EIA73:EIF73"/>
    <mergeCell ref="EIH73:EIM73"/>
    <mergeCell ref="EIO73:EIT73"/>
    <mergeCell ref="EIV73:EJA73"/>
    <mergeCell ref="EJC73:EJH73"/>
    <mergeCell ref="EGD73:EGI73"/>
    <mergeCell ref="EGK73:EGP73"/>
    <mergeCell ref="EGR73:EGW73"/>
    <mergeCell ref="EGY73:EHD73"/>
    <mergeCell ref="EHF73:EHK73"/>
    <mergeCell ref="EHM73:EHR73"/>
    <mergeCell ref="EEN73:EES73"/>
    <mergeCell ref="EEU73:EEZ73"/>
    <mergeCell ref="EFB73:EFG73"/>
    <mergeCell ref="EFI73:EFN73"/>
    <mergeCell ref="EFP73:EFU73"/>
    <mergeCell ref="EFW73:EGB73"/>
    <mergeCell ref="ECX73:EDC73"/>
    <mergeCell ref="EDE73:EDJ73"/>
    <mergeCell ref="EDL73:EDQ73"/>
    <mergeCell ref="EDS73:EDX73"/>
    <mergeCell ref="EDZ73:EEE73"/>
    <mergeCell ref="EEG73:EEL73"/>
    <mergeCell ref="EBH73:EBM73"/>
    <mergeCell ref="EBO73:EBT73"/>
    <mergeCell ref="EBV73:ECA73"/>
    <mergeCell ref="ECC73:ECH73"/>
    <mergeCell ref="ECJ73:ECO73"/>
    <mergeCell ref="ECQ73:ECV73"/>
    <mergeCell ref="DZR73:DZW73"/>
    <mergeCell ref="DZY73:EAD73"/>
    <mergeCell ref="EAF73:EAK73"/>
    <mergeCell ref="EAM73:EAR73"/>
    <mergeCell ref="EAT73:EAY73"/>
    <mergeCell ref="EBA73:EBF73"/>
    <mergeCell ref="DYB73:DYG73"/>
    <mergeCell ref="DYI73:DYN73"/>
    <mergeCell ref="DYP73:DYU73"/>
    <mergeCell ref="DYW73:DZB73"/>
    <mergeCell ref="DZD73:DZI73"/>
    <mergeCell ref="DZK73:DZP73"/>
    <mergeCell ref="DWL73:DWQ73"/>
    <mergeCell ref="DWS73:DWX73"/>
    <mergeCell ref="DWZ73:DXE73"/>
    <mergeCell ref="DXG73:DXL73"/>
    <mergeCell ref="DXN73:DXS73"/>
    <mergeCell ref="DXU73:DXZ73"/>
    <mergeCell ref="DUV73:DVA73"/>
    <mergeCell ref="DVC73:DVH73"/>
    <mergeCell ref="DVJ73:DVO73"/>
    <mergeCell ref="DVQ73:DVV73"/>
    <mergeCell ref="DVX73:DWC73"/>
    <mergeCell ref="DWE73:DWJ73"/>
    <mergeCell ref="DTF73:DTK73"/>
    <mergeCell ref="DTM73:DTR73"/>
    <mergeCell ref="DTT73:DTY73"/>
    <mergeCell ref="DUA73:DUF73"/>
    <mergeCell ref="DUH73:DUM73"/>
    <mergeCell ref="DUO73:DUT73"/>
    <mergeCell ref="DRP73:DRU73"/>
    <mergeCell ref="DRW73:DSB73"/>
    <mergeCell ref="DSD73:DSI73"/>
    <mergeCell ref="DSK73:DSP73"/>
    <mergeCell ref="DSR73:DSW73"/>
    <mergeCell ref="DSY73:DTD73"/>
    <mergeCell ref="DPZ73:DQE73"/>
    <mergeCell ref="DQG73:DQL73"/>
    <mergeCell ref="DQN73:DQS73"/>
    <mergeCell ref="DQU73:DQZ73"/>
    <mergeCell ref="DRB73:DRG73"/>
    <mergeCell ref="DRI73:DRN73"/>
    <mergeCell ref="DOJ73:DOO73"/>
    <mergeCell ref="DOQ73:DOV73"/>
    <mergeCell ref="DOX73:DPC73"/>
    <mergeCell ref="DPE73:DPJ73"/>
    <mergeCell ref="DPL73:DPQ73"/>
    <mergeCell ref="DPS73:DPX73"/>
    <mergeCell ref="DMT73:DMY73"/>
    <mergeCell ref="DNA73:DNF73"/>
    <mergeCell ref="DNH73:DNM73"/>
    <mergeCell ref="DNO73:DNT73"/>
    <mergeCell ref="DNV73:DOA73"/>
    <mergeCell ref="DOC73:DOH73"/>
    <mergeCell ref="DLD73:DLI73"/>
    <mergeCell ref="DLK73:DLP73"/>
    <mergeCell ref="DLR73:DLW73"/>
    <mergeCell ref="DLY73:DMD73"/>
    <mergeCell ref="DMF73:DMK73"/>
    <mergeCell ref="DMM73:DMR73"/>
    <mergeCell ref="DJN73:DJS73"/>
    <mergeCell ref="DJU73:DJZ73"/>
    <mergeCell ref="DKB73:DKG73"/>
    <mergeCell ref="DKI73:DKN73"/>
    <mergeCell ref="DKP73:DKU73"/>
    <mergeCell ref="DKW73:DLB73"/>
    <mergeCell ref="DHX73:DIC73"/>
    <mergeCell ref="DIE73:DIJ73"/>
    <mergeCell ref="DIL73:DIQ73"/>
    <mergeCell ref="DIS73:DIX73"/>
    <mergeCell ref="DIZ73:DJE73"/>
    <mergeCell ref="DJG73:DJL73"/>
    <mergeCell ref="DGH73:DGM73"/>
    <mergeCell ref="DGO73:DGT73"/>
    <mergeCell ref="DGV73:DHA73"/>
    <mergeCell ref="DHC73:DHH73"/>
    <mergeCell ref="DHJ73:DHO73"/>
    <mergeCell ref="DHQ73:DHV73"/>
    <mergeCell ref="DER73:DEW73"/>
    <mergeCell ref="DEY73:DFD73"/>
    <mergeCell ref="DFF73:DFK73"/>
    <mergeCell ref="DFM73:DFR73"/>
    <mergeCell ref="DFT73:DFY73"/>
    <mergeCell ref="DGA73:DGF73"/>
    <mergeCell ref="DDB73:DDG73"/>
    <mergeCell ref="DDI73:DDN73"/>
    <mergeCell ref="DDP73:DDU73"/>
    <mergeCell ref="DDW73:DEB73"/>
    <mergeCell ref="DED73:DEI73"/>
    <mergeCell ref="DEK73:DEP73"/>
    <mergeCell ref="DBL73:DBQ73"/>
    <mergeCell ref="DBS73:DBX73"/>
    <mergeCell ref="DBZ73:DCE73"/>
    <mergeCell ref="DCG73:DCL73"/>
    <mergeCell ref="DCN73:DCS73"/>
    <mergeCell ref="DCU73:DCZ73"/>
    <mergeCell ref="CZV73:DAA73"/>
    <mergeCell ref="DAC73:DAH73"/>
    <mergeCell ref="DAJ73:DAO73"/>
    <mergeCell ref="DAQ73:DAV73"/>
    <mergeCell ref="DAX73:DBC73"/>
    <mergeCell ref="DBE73:DBJ73"/>
    <mergeCell ref="CYF73:CYK73"/>
    <mergeCell ref="CYM73:CYR73"/>
    <mergeCell ref="CYT73:CYY73"/>
    <mergeCell ref="CZA73:CZF73"/>
    <mergeCell ref="CZH73:CZM73"/>
    <mergeCell ref="CZO73:CZT73"/>
    <mergeCell ref="CWP73:CWU73"/>
    <mergeCell ref="CWW73:CXB73"/>
    <mergeCell ref="CXD73:CXI73"/>
    <mergeCell ref="CXK73:CXP73"/>
    <mergeCell ref="CXR73:CXW73"/>
    <mergeCell ref="CXY73:CYD73"/>
    <mergeCell ref="CUZ73:CVE73"/>
    <mergeCell ref="CVG73:CVL73"/>
    <mergeCell ref="CVN73:CVS73"/>
    <mergeCell ref="CVU73:CVZ73"/>
    <mergeCell ref="CWB73:CWG73"/>
    <mergeCell ref="CWI73:CWN73"/>
    <mergeCell ref="CTJ73:CTO73"/>
    <mergeCell ref="CTQ73:CTV73"/>
    <mergeCell ref="CTX73:CUC73"/>
    <mergeCell ref="CUE73:CUJ73"/>
    <mergeCell ref="CUL73:CUQ73"/>
    <mergeCell ref="CUS73:CUX73"/>
    <mergeCell ref="CRT73:CRY73"/>
    <mergeCell ref="CSA73:CSF73"/>
    <mergeCell ref="CSH73:CSM73"/>
    <mergeCell ref="CSO73:CST73"/>
    <mergeCell ref="CSV73:CTA73"/>
    <mergeCell ref="CTC73:CTH73"/>
    <mergeCell ref="CQD73:CQI73"/>
    <mergeCell ref="CQK73:CQP73"/>
    <mergeCell ref="CQR73:CQW73"/>
    <mergeCell ref="CQY73:CRD73"/>
    <mergeCell ref="CRF73:CRK73"/>
    <mergeCell ref="CRM73:CRR73"/>
    <mergeCell ref="CON73:COS73"/>
    <mergeCell ref="COU73:COZ73"/>
    <mergeCell ref="CPB73:CPG73"/>
    <mergeCell ref="CPI73:CPN73"/>
    <mergeCell ref="CPP73:CPU73"/>
    <mergeCell ref="CPW73:CQB73"/>
    <mergeCell ref="CMX73:CNC73"/>
    <mergeCell ref="CNE73:CNJ73"/>
    <mergeCell ref="CNL73:CNQ73"/>
    <mergeCell ref="CNS73:CNX73"/>
    <mergeCell ref="CNZ73:COE73"/>
    <mergeCell ref="COG73:COL73"/>
    <mergeCell ref="CLH73:CLM73"/>
    <mergeCell ref="CLO73:CLT73"/>
    <mergeCell ref="CLV73:CMA73"/>
    <mergeCell ref="CMC73:CMH73"/>
    <mergeCell ref="CMJ73:CMO73"/>
    <mergeCell ref="CMQ73:CMV73"/>
    <mergeCell ref="CJR73:CJW73"/>
    <mergeCell ref="CJY73:CKD73"/>
    <mergeCell ref="CKF73:CKK73"/>
    <mergeCell ref="CKM73:CKR73"/>
    <mergeCell ref="CKT73:CKY73"/>
    <mergeCell ref="CLA73:CLF73"/>
    <mergeCell ref="CIB73:CIG73"/>
    <mergeCell ref="CII73:CIN73"/>
    <mergeCell ref="CIP73:CIU73"/>
    <mergeCell ref="CIW73:CJB73"/>
    <mergeCell ref="CJD73:CJI73"/>
    <mergeCell ref="CJK73:CJP73"/>
    <mergeCell ref="CGL73:CGQ73"/>
    <mergeCell ref="CGS73:CGX73"/>
    <mergeCell ref="CGZ73:CHE73"/>
    <mergeCell ref="CHG73:CHL73"/>
    <mergeCell ref="CHN73:CHS73"/>
    <mergeCell ref="CHU73:CHZ73"/>
    <mergeCell ref="CEV73:CFA73"/>
    <mergeCell ref="CFC73:CFH73"/>
    <mergeCell ref="CFJ73:CFO73"/>
    <mergeCell ref="CFQ73:CFV73"/>
    <mergeCell ref="CFX73:CGC73"/>
    <mergeCell ref="CGE73:CGJ73"/>
    <mergeCell ref="CDF73:CDK73"/>
    <mergeCell ref="CDM73:CDR73"/>
    <mergeCell ref="CDT73:CDY73"/>
    <mergeCell ref="CEA73:CEF73"/>
    <mergeCell ref="CEH73:CEM73"/>
    <mergeCell ref="CEO73:CET73"/>
    <mergeCell ref="CBP73:CBU73"/>
    <mergeCell ref="CBW73:CCB73"/>
    <mergeCell ref="CCD73:CCI73"/>
    <mergeCell ref="CCK73:CCP73"/>
    <mergeCell ref="CCR73:CCW73"/>
    <mergeCell ref="CCY73:CDD73"/>
    <mergeCell ref="BZZ73:CAE73"/>
    <mergeCell ref="CAG73:CAL73"/>
    <mergeCell ref="CAN73:CAS73"/>
    <mergeCell ref="CAU73:CAZ73"/>
    <mergeCell ref="CBB73:CBG73"/>
    <mergeCell ref="CBI73:CBN73"/>
    <mergeCell ref="BYJ73:BYO73"/>
    <mergeCell ref="BYQ73:BYV73"/>
    <mergeCell ref="BYX73:BZC73"/>
    <mergeCell ref="BZE73:BZJ73"/>
    <mergeCell ref="BZL73:BZQ73"/>
    <mergeCell ref="BZS73:BZX73"/>
    <mergeCell ref="BWT73:BWY73"/>
    <mergeCell ref="BXA73:BXF73"/>
    <mergeCell ref="BXH73:BXM73"/>
    <mergeCell ref="BXO73:BXT73"/>
    <mergeCell ref="BXV73:BYA73"/>
    <mergeCell ref="BYC73:BYH73"/>
    <mergeCell ref="BVD73:BVI73"/>
    <mergeCell ref="BVK73:BVP73"/>
    <mergeCell ref="BVR73:BVW73"/>
    <mergeCell ref="BVY73:BWD73"/>
    <mergeCell ref="BWF73:BWK73"/>
    <mergeCell ref="BWM73:BWR73"/>
    <mergeCell ref="BTN73:BTS73"/>
    <mergeCell ref="BTU73:BTZ73"/>
    <mergeCell ref="BUB73:BUG73"/>
    <mergeCell ref="BUI73:BUN73"/>
    <mergeCell ref="BUP73:BUU73"/>
    <mergeCell ref="BUW73:BVB73"/>
    <mergeCell ref="BRX73:BSC73"/>
    <mergeCell ref="BSE73:BSJ73"/>
    <mergeCell ref="BSL73:BSQ73"/>
    <mergeCell ref="BSS73:BSX73"/>
    <mergeCell ref="BSZ73:BTE73"/>
    <mergeCell ref="BTG73:BTL73"/>
    <mergeCell ref="BQH73:BQM73"/>
    <mergeCell ref="BQO73:BQT73"/>
    <mergeCell ref="BQV73:BRA73"/>
    <mergeCell ref="BRC73:BRH73"/>
    <mergeCell ref="BRJ73:BRO73"/>
    <mergeCell ref="BRQ73:BRV73"/>
    <mergeCell ref="BOR73:BOW73"/>
    <mergeCell ref="BOY73:BPD73"/>
    <mergeCell ref="BPF73:BPK73"/>
    <mergeCell ref="BPM73:BPR73"/>
    <mergeCell ref="BPT73:BPY73"/>
    <mergeCell ref="BQA73:BQF73"/>
    <mergeCell ref="BNB73:BNG73"/>
    <mergeCell ref="BNI73:BNN73"/>
    <mergeCell ref="BNP73:BNU73"/>
    <mergeCell ref="BNW73:BOB73"/>
    <mergeCell ref="BOD73:BOI73"/>
    <mergeCell ref="BOK73:BOP73"/>
    <mergeCell ref="BLL73:BLQ73"/>
    <mergeCell ref="BLS73:BLX73"/>
    <mergeCell ref="BLZ73:BME73"/>
    <mergeCell ref="BMG73:BML73"/>
    <mergeCell ref="BMN73:BMS73"/>
    <mergeCell ref="BMU73:BMZ73"/>
    <mergeCell ref="BJV73:BKA73"/>
    <mergeCell ref="BKC73:BKH73"/>
    <mergeCell ref="BKJ73:BKO73"/>
    <mergeCell ref="BKQ73:BKV73"/>
    <mergeCell ref="BKX73:BLC73"/>
    <mergeCell ref="BLE73:BLJ73"/>
    <mergeCell ref="BIF73:BIK73"/>
    <mergeCell ref="BIM73:BIR73"/>
    <mergeCell ref="BIT73:BIY73"/>
    <mergeCell ref="BJA73:BJF73"/>
    <mergeCell ref="BJH73:BJM73"/>
    <mergeCell ref="BJO73:BJT73"/>
    <mergeCell ref="BGP73:BGU73"/>
    <mergeCell ref="BGW73:BHB73"/>
    <mergeCell ref="BHD73:BHI73"/>
    <mergeCell ref="BHK73:BHP73"/>
    <mergeCell ref="BHR73:BHW73"/>
    <mergeCell ref="BHY73:BID73"/>
    <mergeCell ref="BEZ73:BFE73"/>
    <mergeCell ref="BFG73:BFL73"/>
    <mergeCell ref="BFN73:BFS73"/>
    <mergeCell ref="BFU73:BFZ73"/>
    <mergeCell ref="BGB73:BGG73"/>
    <mergeCell ref="BGI73:BGN73"/>
    <mergeCell ref="BDJ73:BDO73"/>
    <mergeCell ref="BDQ73:BDV73"/>
    <mergeCell ref="BDX73:BEC73"/>
    <mergeCell ref="BEE73:BEJ73"/>
    <mergeCell ref="BEL73:BEQ73"/>
    <mergeCell ref="BES73:BEX73"/>
    <mergeCell ref="BBT73:BBY73"/>
    <mergeCell ref="BCA73:BCF73"/>
    <mergeCell ref="BCH73:BCM73"/>
    <mergeCell ref="BCO73:BCT73"/>
    <mergeCell ref="BCV73:BDA73"/>
    <mergeCell ref="BDC73:BDH73"/>
    <mergeCell ref="BAD73:BAI73"/>
    <mergeCell ref="BAK73:BAP73"/>
    <mergeCell ref="BAR73:BAW73"/>
    <mergeCell ref="BAY73:BBD73"/>
    <mergeCell ref="BBF73:BBK73"/>
    <mergeCell ref="BBM73:BBR73"/>
    <mergeCell ref="AYN73:AYS73"/>
    <mergeCell ref="AYU73:AYZ73"/>
    <mergeCell ref="AZB73:AZG73"/>
    <mergeCell ref="AZI73:AZN73"/>
    <mergeCell ref="AZP73:AZU73"/>
    <mergeCell ref="AZW73:BAB73"/>
    <mergeCell ref="AWX73:AXC73"/>
    <mergeCell ref="AXE73:AXJ73"/>
    <mergeCell ref="AXL73:AXQ73"/>
    <mergeCell ref="AXS73:AXX73"/>
    <mergeCell ref="AXZ73:AYE73"/>
    <mergeCell ref="AYG73:AYL73"/>
    <mergeCell ref="AVH73:AVM73"/>
    <mergeCell ref="AVO73:AVT73"/>
    <mergeCell ref="AVV73:AWA73"/>
    <mergeCell ref="AWC73:AWH73"/>
    <mergeCell ref="AWJ73:AWO73"/>
    <mergeCell ref="AWQ73:AWV73"/>
    <mergeCell ref="ATR73:ATW73"/>
    <mergeCell ref="ATY73:AUD73"/>
    <mergeCell ref="AUF73:AUK73"/>
    <mergeCell ref="AUM73:AUR73"/>
    <mergeCell ref="AUT73:AUY73"/>
    <mergeCell ref="AVA73:AVF73"/>
    <mergeCell ref="ASB73:ASG73"/>
    <mergeCell ref="ASI73:ASN73"/>
    <mergeCell ref="ASP73:ASU73"/>
    <mergeCell ref="ASW73:ATB73"/>
    <mergeCell ref="ATD73:ATI73"/>
    <mergeCell ref="ATK73:ATP73"/>
    <mergeCell ref="AQL73:AQQ73"/>
    <mergeCell ref="AQS73:AQX73"/>
    <mergeCell ref="AQZ73:ARE73"/>
    <mergeCell ref="ARG73:ARL73"/>
    <mergeCell ref="ARN73:ARS73"/>
    <mergeCell ref="ARU73:ARZ73"/>
    <mergeCell ref="AOV73:APA73"/>
    <mergeCell ref="APC73:APH73"/>
    <mergeCell ref="APJ73:APO73"/>
    <mergeCell ref="APQ73:APV73"/>
    <mergeCell ref="APX73:AQC73"/>
    <mergeCell ref="AQE73:AQJ73"/>
    <mergeCell ref="ANF73:ANK73"/>
    <mergeCell ref="ANM73:ANR73"/>
    <mergeCell ref="ANT73:ANY73"/>
    <mergeCell ref="AOA73:AOF73"/>
    <mergeCell ref="AOH73:AOM73"/>
    <mergeCell ref="AOO73:AOT73"/>
    <mergeCell ref="ALP73:ALU73"/>
    <mergeCell ref="ALW73:AMB73"/>
    <mergeCell ref="AMD73:AMI73"/>
    <mergeCell ref="AMK73:AMP73"/>
    <mergeCell ref="AMR73:AMW73"/>
    <mergeCell ref="AMY73:AND73"/>
    <mergeCell ref="AJZ73:AKE73"/>
    <mergeCell ref="AKG73:AKL73"/>
    <mergeCell ref="AKN73:AKS73"/>
    <mergeCell ref="AKU73:AKZ73"/>
    <mergeCell ref="ALB73:ALG73"/>
    <mergeCell ref="ALI73:ALN73"/>
    <mergeCell ref="AIJ73:AIO73"/>
    <mergeCell ref="AIQ73:AIV73"/>
    <mergeCell ref="AIX73:AJC73"/>
    <mergeCell ref="AJE73:AJJ73"/>
    <mergeCell ref="AJL73:AJQ73"/>
    <mergeCell ref="AJS73:AJX73"/>
    <mergeCell ref="AGT73:AGY73"/>
    <mergeCell ref="AHA73:AHF73"/>
    <mergeCell ref="AHH73:AHM73"/>
    <mergeCell ref="AHO73:AHT73"/>
    <mergeCell ref="AHV73:AIA73"/>
    <mergeCell ref="AIC73:AIH73"/>
    <mergeCell ref="AFD73:AFI73"/>
    <mergeCell ref="AFK73:AFP73"/>
    <mergeCell ref="AFR73:AFW73"/>
    <mergeCell ref="AFY73:AGD73"/>
    <mergeCell ref="AGF73:AGK73"/>
    <mergeCell ref="AGM73:AGR73"/>
    <mergeCell ref="ADN73:ADS73"/>
    <mergeCell ref="ADU73:ADZ73"/>
    <mergeCell ref="AEB73:AEG73"/>
    <mergeCell ref="AEI73:AEN73"/>
    <mergeCell ref="AEP73:AEU73"/>
    <mergeCell ref="AEW73:AFB73"/>
    <mergeCell ref="ABX73:ACC73"/>
    <mergeCell ref="ACE73:ACJ73"/>
    <mergeCell ref="ACL73:ACQ73"/>
    <mergeCell ref="ACS73:ACX73"/>
    <mergeCell ref="ACZ73:ADE73"/>
    <mergeCell ref="ADG73:ADL73"/>
    <mergeCell ref="AAH73:AAM73"/>
    <mergeCell ref="AAO73:AAT73"/>
    <mergeCell ref="AAV73:ABA73"/>
    <mergeCell ref="ABC73:ABH73"/>
    <mergeCell ref="ABJ73:ABO73"/>
    <mergeCell ref="ABQ73:ABV73"/>
    <mergeCell ref="YR73:YW73"/>
    <mergeCell ref="YY73:ZD73"/>
    <mergeCell ref="ZF73:ZK73"/>
    <mergeCell ref="ZM73:ZR73"/>
    <mergeCell ref="ZT73:ZY73"/>
    <mergeCell ref="AAA73:AAF73"/>
    <mergeCell ref="XB73:XG73"/>
    <mergeCell ref="XI73:XN73"/>
    <mergeCell ref="XP73:XU73"/>
    <mergeCell ref="XW73:YB73"/>
    <mergeCell ref="YD73:YI73"/>
    <mergeCell ref="YK73:YP73"/>
    <mergeCell ref="VL73:VQ73"/>
    <mergeCell ref="VS73:VX73"/>
    <mergeCell ref="VZ73:WE73"/>
    <mergeCell ref="WG73:WL73"/>
    <mergeCell ref="WN73:WS73"/>
    <mergeCell ref="WU73:WZ73"/>
    <mergeCell ref="TV73:UA73"/>
    <mergeCell ref="UC73:UH73"/>
    <mergeCell ref="UJ73:UO73"/>
    <mergeCell ref="UQ73:UV73"/>
    <mergeCell ref="UX73:VC73"/>
    <mergeCell ref="VE73:VJ73"/>
    <mergeCell ref="SF73:SK73"/>
    <mergeCell ref="SM73:SR73"/>
    <mergeCell ref="ST73:SY73"/>
    <mergeCell ref="TA73:TF73"/>
    <mergeCell ref="TH73:TM73"/>
    <mergeCell ref="TO73:TT73"/>
    <mergeCell ref="QP73:QU73"/>
    <mergeCell ref="QW73:RB73"/>
    <mergeCell ref="RD73:RI73"/>
    <mergeCell ref="RK73:RP73"/>
    <mergeCell ref="RR73:RW73"/>
    <mergeCell ref="RY73:SD73"/>
    <mergeCell ref="OZ73:PE73"/>
    <mergeCell ref="PG73:PL73"/>
    <mergeCell ref="PN73:PS73"/>
    <mergeCell ref="PU73:PZ73"/>
    <mergeCell ref="QB73:QG73"/>
    <mergeCell ref="QI73:QN73"/>
    <mergeCell ref="NJ73:NO73"/>
    <mergeCell ref="NQ73:NV73"/>
    <mergeCell ref="NX73:OC73"/>
    <mergeCell ref="OE73:OJ73"/>
    <mergeCell ref="OL73:OQ73"/>
    <mergeCell ref="OS73:OX73"/>
    <mergeCell ref="LT73:LY73"/>
    <mergeCell ref="MA73:MF73"/>
    <mergeCell ref="MH73:MM73"/>
    <mergeCell ref="MO73:MT73"/>
    <mergeCell ref="MV73:NA73"/>
    <mergeCell ref="NC73:NH73"/>
    <mergeCell ref="KD73:KI73"/>
    <mergeCell ref="KK73:KP73"/>
    <mergeCell ref="KR73:KW73"/>
    <mergeCell ref="KY73:LD73"/>
    <mergeCell ref="LF73:LK73"/>
    <mergeCell ref="LM73:LR73"/>
    <mergeCell ref="IN73:IS73"/>
    <mergeCell ref="IU73:IZ73"/>
    <mergeCell ref="JB73:JG73"/>
    <mergeCell ref="JI73:JN73"/>
    <mergeCell ref="JP73:JU73"/>
    <mergeCell ref="JW73:KB73"/>
    <mergeCell ref="GX73:HC73"/>
    <mergeCell ref="HE73:HJ73"/>
    <mergeCell ref="HL73:HQ73"/>
    <mergeCell ref="HS73:HX73"/>
    <mergeCell ref="HZ73:IE73"/>
    <mergeCell ref="IG73:IL73"/>
    <mergeCell ref="FO73:FT73"/>
    <mergeCell ref="FV73:GA73"/>
    <mergeCell ref="GC73:GH73"/>
    <mergeCell ref="GJ73:GO73"/>
    <mergeCell ref="GQ73:GV73"/>
    <mergeCell ref="DR73:DW73"/>
    <mergeCell ref="DY73:ED73"/>
    <mergeCell ref="EF73:EK73"/>
    <mergeCell ref="EM73:ER73"/>
    <mergeCell ref="ET73:EY73"/>
    <mergeCell ref="FA73:FF73"/>
    <mergeCell ref="B39:G39"/>
    <mergeCell ref="B40:G40"/>
    <mergeCell ref="B25:G25"/>
    <mergeCell ref="B29:G29"/>
    <mergeCell ref="B30:G30"/>
    <mergeCell ref="B31:G31"/>
    <mergeCell ref="B34:G34"/>
    <mergeCell ref="CB73:CG73"/>
    <mergeCell ref="CI73:CN73"/>
    <mergeCell ref="CP73:CU73"/>
    <mergeCell ref="CW73:DB73"/>
    <mergeCell ref="DD73:DI73"/>
    <mergeCell ref="DK73:DP73"/>
    <mergeCell ref="AL73:AQ73"/>
    <mergeCell ref="AS73:AX73"/>
    <mergeCell ref="AZ73:BE73"/>
    <mergeCell ref="BG73:BL73"/>
    <mergeCell ref="BN73:BS73"/>
    <mergeCell ref="BU73:BZ73"/>
    <mergeCell ref="J73:O73"/>
    <mergeCell ref="B60:G60"/>
    <mergeCell ref="B2:G2"/>
    <mergeCell ref="B5:G5"/>
    <mergeCell ref="B6:G6"/>
    <mergeCell ref="B7:G7"/>
    <mergeCell ref="B8:G8"/>
    <mergeCell ref="B9:G9"/>
    <mergeCell ref="B16:G16"/>
    <mergeCell ref="B74:G74"/>
    <mergeCell ref="B72:G72"/>
    <mergeCell ref="B73:G73"/>
    <mergeCell ref="B52:G52"/>
    <mergeCell ref="B53:G53"/>
    <mergeCell ref="B54:G54"/>
    <mergeCell ref="B41:G41"/>
    <mergeCell ref="B42:G42"/>
    <mergeCell ref="B43:G43"/>
    <mergeCell ref="FH73:FM73"/>
    <mergeCell ref="ET74:EY74"/>
    <mergeCell ref="FA74:FF74"/>
    <mergeCell ref="FH74:FM74"/>
    <mergeCell ref="B61:G61"/>
    <mergeCell ref="B47:G47"/>
    <mergeCell ref="B48:G48"/>
    <mergeCell ref="B49:G49"/>
    <mergeCell ref="B35:G35"/>
    <mergeCell ref="B36:G36"/>
    <mergeCell ref="B37:G37"/>
    <mergeCell ref="B38:G38"/>
    <mergeCell ref="B44:G44"/>
    <mergeCell ref="B45:G45"/>
    <mergeCell ref="B46:G46"/>
    <mergeCell ref="Q73:V73"/>
    <mergeCell ref="X73:AC73"/>
    <mergeCell ref="AE73:AJ73"/>
    <mergeCell ref="B78:G78"/>
    <mergeCell ref="B79:G79"/>
    <mergeCell ref="B77:G77"/>
    <mergeCell ref="B83:G83"/>
    <mergeCell ref="B20:G20"/>
    <mergeCell ref="B21:G21"/>
    <mergeCell ref="B22:G22"/>
    <mergeCell ref="B23:G23"/>
    <mergeCell ref="B10:G10"/>
    <mergeCell ref="B15:G15"/>
    <mergeCell ref="B11:G11"/>
    <mergeCell ref="B14:G14"/>
    <mergeCell ref="B19:G19"/>
  </mergeCells>
  <phoneticPr fontId="27" type="noConversion"/>
  <hyperlinks>
    <hyperlink ref="D6" r:id="rId1"/>
    <hyperlink ref="D8"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4"/>
  <sheetViews>
    <sheetView showGridLines="0" zoomScale="70" zoomScaleNormal="70" workbookViewId="0">
      <selection activeCell="B1" sqref="B1:J1"/>
    </sheetView>
  </sheetViews>
  <sheetFormatPr baseColWidth="10" defaultColWidth="11.5703125" defaultRowHeight="14.25" x14ac:dyDescent="0.2"/>
  <cols>
    <col min="1" max="1" width="11.5703125" style="101"/>
    <col min="2" max="2" width="89.42578125" style="101" customWidth="1"/>
    <col min="3" max="3" width="50.85546875" style="101" customWidth="1"/>
    <col min="4" max="4" width="38.140625" style="101" customWidth="1"/>
    <col min="5" max="5" width="27.42578125" style="101" customWidth="1"/>
    <col min="6" max="6" width="24.28515625" style="101" customWidth="1"/>
    <col min="7" max="7" width="24.140625" style="101" customWidth="1"/>
    <col min="8" max="8" width="29.28515625" style="101" customWidth="1"/>
    <col min="9" max="9" width="20.5703125" style="101" bestFit="1" customWidth="1"/>
    <col min="10" max="14" width="21.140625" style="101" bestFit="1" customWidth="1"/>
    <col min="15" max="15" width="23.85546875" style="101" customWidth="1"/>
    <col min="16" max="17" width="20.5703125" style="101" bestFit="1" customWidth="1"/>
    <col min="18" max="18" width="19.85546875" style="101" bestFit="1" customWidth="1"/>
    <col min="19" max="21" width="20.5703125" style="101" bestFit="1" customWidth="1"/>
    <col min="22" max="22" width="31.140625" style="101" bestFit="1" customWidth="1"/>
    <col min="23" max="23" width="16.85546875" style="101" bestFit="1" customWidth="1"/>
    <col min="24" max="24" width="15.7109375" style="101" bestFit="1" customWidth="1"/>
    <col min="25" max="16384" width="11.5703125" style="101"/>
  </cols>
  <sheetData>
    <row r="1" spans="1:10" ht="15" x14ac:dyDescent="0.25">
      <c r="B1" s="816" t="s">
        <v>7</v>
      </c>
      <c r="C1" s="816"/>
      <c r="D1" s="816"/>
      <c r="E1" s="816"/>
      <c r="F1" s="816"/>
      <c r="G1" s="816"/>
      <c r="H1" s="816"/>
      <c r="I1" s="816"/>
      <c r="J1" s="816"/>
    </row>
    <row r="2" spans="1:10" ht="15" x14ac:dyDescent="0.25">
      <c r="A2" s="102"/>
      <c r="B2" s="423"/>
      <c r="C2" s="423"/>
      <c r="D2" s="423"/>
      <c r="E2" s="423"/>
      <c r="F2" s="423"/>
      <c r="G2" s="423"/>
      <c r="H2" s="423"/>
      <c r="I2" s="423"/>
      <c r="J2" s="423"/>
    </row>
    <row r="3" spans="1:10" ht="15" x14ac:dyDescent="0.25">
      <c r="B3" s="424" t="s">
        <v>611</v>
      </c>
      <c r="D3" s="425"/>
    </row>
    <row r="4" spans="1:10" ht="15" x14ac:dyDescent="0.25">
      <c r="B4" s="426" t="s">
        <v>612</v>
      </c>
      <c r="D4" s="425"/>
    </row>
    <row r="5" spans="1:10" x14ac:dyDescent="0.2">
      <c r="A5" s="427"/>
      <c r="D5" s="425"/>
    </row>
    <row r="6" spans="1:10" ht="15" x14ac:dyDescent="0.25">
      <c r="B6" s="817" t="s">
        <v>613</v>
      </c>
      <c r="C6" s="817"/>
      <c r="D6" s="817"/>
      <c r="E6" s="817"/>
    </row>
    <row r="7" spans="1:10" ht="15" x14ac:dyDescent="0.25">
      <c r="B7" s="428" t="s">
        <v>614</v>
      </c>
      <c r="C7" s="428" t="s">
        <v>11</v>
      </c>
      <c r="D7" s="429" t="s">
        <v>54</v>
      </c>
      <c r="E7" s="428" t="s">
        <v>55</v>
      </c>
    </row>
    <row r="8" spans="1:10" x14ac:dyDescent="0.2">
      <c r="B8" s="103" t="s">
        <v>615</v>
      </c>
      <c r="C8" s="103" t="s">
        <v>616</v>
      </c>
      <c r="D8" s="430">
        <v>17927128</v>
      </c>
      <c r="E8" s="431" t="s">
        <v>617</v>
      </c>
    </row>
    <row r="9" spans="1:10" x14ac:dyDescent="0.2">
      <c r="B9" s="103" t="s">
        <v>618</v>
      </c>
      <c r="C9" s="103" t="s">
        <v>619</v>
      </c>
      <c r="D9" s="430">
        <v>16197317</v>
      </c>
      <c r="E9" s="431" t="s">
        <v>617</v>
      </c>
    </row>
    <row r="10" spans="1:10" x14ac:dyDescent="0.2">
      <c r="B10" s="103" t="s">
        <v>620</v>
      </c>
      <c r="C10" s="103" t="s">
        <v>621</v>
      </c>
      <c r="D10" s="430">
        <v>14467506</v>
      </c>
      <c r="E10" s="431" t="s">
        <v>617</v>
      </c>
    </row>
    <row r="11" spans="1:10" x14ac:dyDescent="0.2">
      <c r="B11" s="103" t="s">
        <v>622</v>
      </c>
      <c r="C11" s="103" t="s">
        <v>623</v>
      </c>
      <c r="D11" s="430">
        <v>12894949</v>
      </c>
      <c r="E11" s="431" t="s">
        <v>617</v>
      </c>
    </row>
    <row r="12" spans="1:10" x14ac:dyDescent="0.2">
      <c r="B12" s="103" t="s">
        <v>624</v>
      </c>
      <c r="C12" s="103" t="s">
        <v>625</v>
      </c>
      <c r="D12" s="430">
        <v>11479652</v>
      </c>
      <c r="E12" s="431" t="s">
        <v>617</v>
      </c>
    </row>
    <row r="13" spans="1:10" ht="15" thickBot="1" x14ac:dyDescent="0.25">
      <c r="B13" s="103" t="s">
        <v>626</v>
      </c>
      <c r="C13" s="103" t="s">
        <v>627</v>
      </c>
      <c r="D13" s="430">
        <v>10850628</v>
      </c>
      <c r="E13" s="431" t="s">
        <v>617</v>
      </c>
      <c r="G13" s="432"/>
    </row>
    <row r="14" spans="1:10" x14ac:dyDescent="0.2">
      <c r="B14" s="103" t="s">
        <v>628</v>
      </c>
      <c r="C14" s="103" t="s">
        <v>629</v>
      </c>
      <c r="D14" s="430">
        <v>10378862</v>
      </c>
      <c r="E14" s="431" t="s">
        <v>617</v>
      </c>
      <c r="G14" s="433" t="s">
        <v>630</v>
      </c>
      <c r="H14" s="434"/>
      <c r="I14" s="434"/>
      <c r="J14" s="435"/>
    </row>
    <row r="15" spans="1:10" x14ac:dyDescent="0.2">
      <c r="B15" s="103" t="s">
        <v>631</v>
      </c>
      <c r="C15" s="103" t="s">
        <v>632</v>
      </c>
      <c r="D15" s="430">
        <v>9907096</v>
      </c>
      <c r="E15" s="431" t="s">
        <v>617</v>
      </c>
      <c r="G15" s="436"/>
      <c r="J15" s="437"/>
    </row>
    <row r="16" spans="1:10" x14ac:dyDescent="0.2">
      <c r="B16" s="103" t="s">
        <v>633</v>
      </c>
      <c r="C16" s="103" t="s">
        <v>634</v>
      </c>
      <c r="D16" s="430">
        <v>8963563</v>
      </c>
      <c r="E16" s="431" t="s">
        <v>617</v>
      </c>
      <c r="G16" s="438" t="s">
        <v>635</v>
      </c>
      <c r="H16" s="101" t="s">
        <v>636</v>
      </c>
      <c r="J16" s="437"/>
    </row>
    <row r="17" spans="2:10" x14ac:dyDescent="0.2">
      <c r="B17" s="103" t="s">
        <v>637</v>
      </c>
      <c r="C17" s="103" t="s">
        <v>638</v>
      </c>
      <c r="D17" s="430">
        <v>7862772</v>
      </c>
      <c r="E17" s="431" t="s">
        <v>617</v>
      </c>
      <c r="G17" s="438" t="s">
        <v>639</v>
      </c>
      <c r="H17" s="101" t="s">
        <v>640</v>
      </c>
      <c r="J17" s="437"/>
    </row>
    <row r="18" spans="2:10" x14ac:dyDescent="0.2">
      <c r="B18" s="103" t="s">
        <v>641</v>
      </c>
      <c r="C18" s="103" t="s">
        <v>642</v>
      </c>
      <c r="D18" s="430">
        <v>7233751</v>
      </c>
      <c r="E18" s="431" t="s">
        <v>617</v>
      </c>
      <c r="G18" s="438" t="s">
        <v>643</v>
      </c>
      <c r="H18" s="101" t="s">
        <v>644</v>
      </c>
      <c r="J18" s="437"/>
    </row>
    <row r="19" spans="2:10" x14ac:dyDescent="0.2">
      <c r="B19" s="103" t="s">
        <v>645</v>
      </c>
      <c r="C19" s="103" t="s">
        <v>646</v>
      </c>
      <c r="D19" s="430">
        <v>6604729</v>
      </c>
      <c r="E19" s="431" t="s">
        <v>617</v>
      </c>
      <c r="G19" s="438" t="s">
        <v>647</v>
      </c>
      <c r="H19" s="101" t="s">
        <v>648</v>
      </c>
      <c r="J19" s="437"/>
    </row>
    <row r="20" spans="2:10" x14ac:dyDescent="0.2">
      <c r="B20" s="103" t="s">
        <v>649</v>
      </c>
      <c r="C20" s="103" t="s">
        <v>650</v>
      </c>
      <c r="D20" s="430">
        <v>5661197</v>
      </c>
      <c r="E20" s="431" t="s">
        <v>617</v>
      </c>
      <c r="G20" s="438" t="s">
        <v>651</v>
      </c>
      <c r="H20" s="101" t="s">
        <v>652</v>
      </c>
      <c r="J20" s="437"/>
    </row>
    <row r="21" spans="2:10" x14ac:dyDescent="0.2">
      <c r="B21" s="103" t="s">
        <v>653</v>
      </c>
      <c r="C21" s="103" t="s">
        <v>654</v>
      </c>
      <c r="D21" s="430">
        <v>5032173</v>
      </c>
      <c r="E21" s="431" t="s">
        <v>617</v>
      </c>
      <c r="G21" s="438" t="s">
        <v>655</v>
      </c>
      <c r="H21" s="101" t="s">
        <v>656</v>
      </c>
      <c r="J21" s="437"/>
    </row>
    <row r="22" spans="2:10" x14ac:dyDescent="0.2">
      <c r="B22" s="103" t="s">
        <v>657</v>
      </c>
      <c r="C22" s="103" t="s">
        <v>658</v>
      </c>
      <c r="D22" s="430">
        <v>4560407</v>
      </c>
      <c r="E22" s="431" t="s">
        <v>617</v>
      </c>
      <c r="G22" s="438" t="s">
        <v>659</v>
      </c>
      <c r="H22" s="101" t="s">
        <v>660</v>
      </c>
      <c r="J22" s="437"/>
    </row>
    <row r="23" spans="2:10" ht="15" thickBot="1" x14ac:dyDescent="0.25">
      <c r="B23" s="103" t="s">
        <v>661</v>
      </c>
      <c r="C23" s="103" t="s">
        <v>662</v>
      </c>
      <c r="D23" s="430">
        <v>3931384</v>
      </c>
      <c r="E23" s="431" t="s">
        <v>617</v>
      </c>
      <c r="G23" s="439"/>
      <c r="H23" s="440"/>
      <c r="I23" s="440"/>
      <c r="J23" s="441"/>
    </row>
    <row r="24" spans="2:10" x14ac:dyDescent="0.2">
      <c r="B24" s="103" t="s">
        <v>663</v>
      </c>
      <c r="C24" s="103" t="s">
        <v>664</v>
      </c>
      <c r="D24" s="430">
        <v>3538246</v>
      </c>
      <c r="E24" s="431" t="s">
        <v>617</v>
      </c>
    </row>
    <row r="25" spans="2:10" x14ac:dyDescent="0.2">
      <c r="B25" s="103" t="s">
        <v>665</v>
      </c>
      <c r="C25" s="103" t="s">
        <v>666</v>
      </c>
      <c r="D25" s="430">
        <v>3145107</v>
      </c>
      <c r="E25" s="431" t="s">
        <v>617</v>
      </c>
    </row>
    <row r="26" spans="2:10" x14ac:dyDescent="0.2">
      <c r="B26" s="103" t="s">
        <v>667</v>
      </c>
      <c r="C26" s="103" t="s">
        <v>668</v>
      </c>
      <c r="D26" s="430">
        <v>2830596</v>
      </c>
      <c r="E26" s="431" t="s">
        <v>617</v>
      </c>
    </row>
    <row r="27" spans="2:10" x14ac:dyDescent="0.2">
      <c r="B27" s="103" t="s">
        <v>669</v>
      </c>
      <c r="C27" s="103" t="s">
        <v>670</v>
      </c>
      <c r="D27" s="430">
        <v>2516084</v>
      </c>
      <c r="E27" s="431" t="s">
        <v>617</v>
      </c>
    </row>
    <row r="28" spans="2:10" x14ac:dyDescent="0.2">
      <c r="B28" s="103" t="s">
        <v>671</v>
      </c>
      <c r="C28" s="103" t="s">
        <v>672</v>
      </c>
      <c r="D28" s="430">
        <v>2201574</v>
      </c>
      <c r="E28" s="431" t="s">
        <v>617</v>
      </c>
    </row>
    <row r="29" spans="2:10" x14ac:dyDescent="0.2">
      <c r="B29" s="103" t="s">
        <v>673</v>
      </c>
      <c r="C29" s="103" t="s">
        <v>674</v>
      </c>
      <c r="D29" s="430">
        <v>1887064</v>
      </c>
      <c r="E29" s="431" t="s">
        <v>617</v>
      </c>
    </row>
    <row r="30" spans="2:10" x14ac:dyDescent="0.2">
      <c r="B30" s="103" t="s">
        <v>675</v>
      </c>
      <c r="C30" s="103" t="s">
        <v>676</v>
      </c>
      <c r="D30" s="430">
        <v>1572552</v>
      </c>
      <c r="E30" s="431" t="s">
        <v>617</v>
      </c>
    </row>
    <row r="31" spans="2:10" x14ac:dyDescent="0.2">
      <c r="B31" s="103" t="s">
        <v>677</v>
      </c>
      <c r="C31" s="103" t="s">
        <v>678</v>
      </c>
      <c r="D31" s="430">
        <v>1258039</v>
      </c>
      <c r="E31" s="431" t="s">
        <v>617</v>
      </c>
    </row>
    <row r="32" spans="2:10" x14ac:dyDescent="0.2">
      <c r="B32" s="101" t="s">
        <v>679</v>
      </c>
      <c r="D32" s="425"/>
    </row>
    <row r="33" spans="2:5" ht="15" x14ac:dyDescent="0.25">
      <c r="B33" s="442" t="s">
        <v>680</v>
      </c>
      <c r="D33" s="425"/>
    </row>
    <row r="34" spans="2:5" x14ac:dyDescent="0.2">
      <c r="B34" s="101" t="s">
        <v>681</v>
      </c>
    </row>
    <row r="37" spans="2:5" ht="15" x14ac:dyDescent="0.25">
      <c r="B37" s="424" t="s">
        <v>682</v>
      </c>
    </row>
    <row r="38" spans="2:5" x14ac:dyDescent="0.2">
      <c r="D38" s="40"/>
    </row>
    <row r="39" spans="2:5" ht="15" x14ac:dyDescent="0.25">
      <c r="B39" s="426" t="s">
        <v>683</v>
      </c>
      <c r="D39" s="40"/>
    </row>
    <row r="40" spans="2:5" ht="15" x14ac:dyDescent="0.25">
      <c r="B40" s="443" t="s">
        <v>684</v>
      </c>
      <c r="C40" s="443"/>
      <c r="D40" s="443"/>
      <c r="E40" s="443"/>
    </row>
    <row r="41" spans="2:5" ht="15" x14ac:dyDescent="0.25">
      <c r="B41" s="428" t="s">
        <v>614</v>
      </c>
      <c r="C41" s="444" t="s">
        <v>11</v>
      </c>
      <c r="D41" s="445" t="s">
        <v>685</v>
      </c>
      <c r="E41" s="446" t="s">
        <v>54</v>
      </c>
    </row>
    <row r="42" spans="2:5" x14ac:dyDescent="0.2">
      <c r="B42" s="103" t="s">
        <v>615</v>
      </c>
      <c r="C42" s="103" t="s">
        <v>686</v>
      </c>
      <c r="D42" s="447">
        <v>17927128</v>
      </c>
      <c r="E42" s="448">
        <f>D81</f>
        <v>845463</v>
      </c>
    </row>
    <row r="43" spans="2:5" x14ac:dyDescent="0.2">
      <c r="B43" s="103" t="s">
        <v>618</v>
      </c>
      <c r="C43" s="103" t="s">
        <v>687</v>
      </c>
      <c r="D43" s="447">
        <v>16197317</v>
      </c>
      <c r="E43" s="448">
        <f>D81</f>
        <v>845463</v>
      </c>
    </row>
    <row r="44" spans="2:5" x14ac:dyDescent="0.2">
      <c r="B44" s="103" t="s">
        <v>620</v>
      </c>
      <c r="C44" s="103" t="s">
        <v>688</v>
      </c>
      <c r="D44" s="447">
        <v>14467506</v>
      </c>
      <c r="E44" s="448">
        <f>D80</f>
        <v>717923</v>
      </c>
    </row>
    <row r="45" spans="2:5" x14ac:dyDescent="0.2">
      <c r="B45" s="103" t="s">
        <v>622</v>
      </c>
      <c r="C45" s="103" t="s">
        <v>689</v>
      </c>
      <c r="D45" s="447">
        <v>12894949</v>
      </c>
      <c r="E45" s="448">
        <f>D80</f>
        <v>717923</v>
      </c>
    </row>
    <row r="46" spans="2:5" x14ac:dyDescent="0.2">
      <c r="B46" s="103" t="s">
        <v>624</v>
      </c>
      <c r="C46" s="103" t="s">
        <v>690</v>
      </c>
      <c r="D46" s="447">
        <v>11479652</v>
      </c>
      <c r="E46" s="448">
        <f>D79</f>
        <v>593522</v>
      </c>
    </row>
    <row r="47" spans="2:5" x14ac:dyDescent="0.2">
      <c r="B47" s="103" t="s">
        <v>626</v>
      </c>
      <c r="C47" s="103" t="s">
        <v>691</v>
      </c>
      <c r="D47" s="447">
        <v>10850628</v>
      </c>
      <c r="E47" s="448">
        <f>D79</f>
        <v>593522</v>
      </c>
    </row>
    <row r="48" spans="2:5" x14ac:dyDescent="0.2">
      <c r="B48" s="103" t="s">
        <v>628</v>
      </c>
      <c r="C48" s="103" t="s">
        <v>692</v>
      </c>
      <c r="D48" s="447">
        <v>10378862</v>
      </c>
      <c r="E48" s="448">
        <f>D79</f>
        <v>593522</v>
      </c>
    </row>
    <row r="49" spans="2:5" x14ac:dyDescent="0.2">
      <c r="B49" s="103" t="s">
        <v>631</v>
      </c>
      <c r="C49" s="103" t="s">
        <v>693</v>
      </c>
      <c r="D49" s="447">
        <v>9907096</v>
      </c>
      <c r="E49" s="448">
        <f>D79</f>
        <v>593522</v>
      </c>
    </row>
    <row r="50" spans="2:5" x14ac:dyDescent="0.2">
      <c r="B50" s="103" t="s">
        <v>633</v>
      </c>
      <c r="C50" s="103" t="s">
        <v>694</v>
      </c>
      <c r="D50" s="447">
        <v>8963563</v>
      </c>
      <c r="E50" s="448">
        <f>D78</f>
        <v>456561</v>
      </c>
    </row>
    <row r="51" spans="2:5" x14ac:dyDescent="0.2">
      <c r="B51" s="103" t="s">
        <v>637</v>
      </c>
      <c r="C51" s="103" t="s">
        <v>695</v>
      </c>
      <c r="D51" s="447">
        <v>7862772</v>
      </c>
      <c r="E51" s="448">
        <f>D78</f>
        <v>456561</v>
      </c>
    </row>
    <row r="52" spans="2:5" x14ac:dyDescent="0.2">
      <c r="B52" s="103" t="s">
        <v>641</v>
      </c>
      <c r="C52" s="103" t="s">
        <v>696</v>
      </c>
      <c r="D52" s="447">
        <v>7233751</v>
      </c>
      <c r="E52" s="448">
        <f>D78</f>
        <v>456561</v>
      </c>
    </row>
    <row r="53" spans="2:5" x14ac:dyDescent="0.2">
      <c r="B53" s="103" t="s">
        <v>645</v>
      </c>
      <c r="C53" s="103" t="s">
        <v>697</v>
      </c>
      <c r="D53" s="447">
        <v>6604729</v>
      </c>
      <c r="E53" s="448">
        <f>D77</f>
        <v>338443</v>
      </c>
    </row>
    <row r="54" spans="2:5" x14ac:dyDescent="0.2">
      <c r="B54" s="103" t="s">
        <v>649</v>
      </c>
      <c r="C54" s="103" t="s">
        <v>698</v>
      </c>
      <c r="D54" s="447">
        <v>5661197</v>
      </c>
      <c r="E54" s="448">
        <f>D76</f>
        <v>278634</v>
      </c>
    </row>
    <row r="55" spans="2:5" x14ac:dyDescent="0.2">
      <c r="B55" s="103" t="s">
        <v>653</v>
      </c>
      <c r="C55" s="103" t="s">
        <v>699</v>
      </c>
      <c r="D55" s="447">
        <v>5032173</v>
      </c>
      <c r="E55" s="448">
        <f>D76</f>
        <v>278634</v>
      </c>
    </row>
    <row r="56" spans="2:5" x14ac:dyDescent="0.2">
      <c r="B56" s="103" t="s">
        <v>657</v>
      </c>
      <c r="C56" s="103" t="s">
        <v>700</v>
      </c>
      <c r="D56" s="447">
        <v>4560407</v>
      </c>
      <c r="E56" s="448">
        <f>D76</f>
        <v>278634</v>
      </c>
    </row>
    <row r="57" spans="2:5" x14ac:dyDescent="0.2">
      <c r="B57" s="103" t="s">
        <v>661</v>
      </c>
      <c r="C57" s="103" t="s">
        <v>701</v>
      </c>
      <c r="D57" s="447">
        <v>3931384</v>
      </c>
      <c r="E57" s="448">
        <f>D75</f>
        <v>246864</v>
      </c>
    </row>
    <row r="58" spans="2:5" x14ac:dyDescent="0.2">
      <c r="B58" s="103" t="s">
        <v>663</v>
      </c>
      <c r="C58" s="103" t="s">
        <v>702</v>
      </c>
      <c r="D58" s="447">
        <v>3538246</v>
      </c>
      <c r="E58" s="448">
        <f>D75</f>
        <v>246864</v>
      </c>
    </row>
    <row r="59" spans="2:5" x14ac:dyDescent="0.2">
      <c r="B59" s="103" t="s">
        <v>665</v>
      </c>
      <c r="C59" s="103" t="s">
        <v>666</v>
      </c>
      <c r="D59" s="447">
        <v>3145107</v>
      </c>
      <c r="E59" s="448">
        <f>D74</f>
        <v>214980</v>
      </c>
    </row>
    <row r="60" spans="2:5" x14ac:dyDescent="0.2">
      <c r="B60" s="103" t="s">
        <v>667</v>
      </c>
      <c r="C60" s="103" t="s">
        <v>668</v>
      </c>
      <c r="D60" s="447">
        <v>2830596</v>
      </c>
      <c r="E60" s="448">
        <f>D74</f>
        <v>214980</v>
      </c>
    </row>
    <row r="61" spans="2:5" x14ac:dyDescent="0.2">
      <c r="B61" s="103" t="s">
        <v>669</v>
      </c>
      <c r="C61" s="103" t="s">
        <v>670</v>
      </c>
      <c r="D61" s="447">
        <v>2516084</v>
      </c>
      <c r="E61" s="448">
        <f>D73</f>
        <v>184753</v>
      </c>
    </row>
    <row r="62" spans="2:5" x14ac:dyDescent="0.2">
      <c r="B62" s="103" t="s">
        <v>671</v>
      </c>
      <c r="C62" s="103" t="s">
        <v>672</v>
      </c>
      <c r="D62" s="447">
        <v>2201574</v>
      </c>
      <c r="E62" s="448">
        <f>D73</f>
        <v>184753</v>
      </c>
    </row>
    <row r="63" spans="2:5" x14ac:dyDescent="0.2">
      <c r="B63" s="103" t="s">
        <v>673</v>
      </c>
      <c r="C63" s="103" t="s">
        <v>674</v>
      </c>
      <c r="D63" s="447">
        <v>1887064</v>
      </c>
      <c r="E63" s="448">
        <f>D72</f>
        <v>152268</v>
      </c>
    </row>
    <row r="64" spans="2:5" x14ac:dyDescent="0.2">
      <c r="B64" s="103" t="s">
        <v>675</v>
      </c>
      <c r="C64" s="103" t="s">
        <v>676</v>
      </c>
      <c r="D64" s="447">
        <v>1572552</v>
      </c>
      <c r="E64" s="448">
        <f>D72</f>
        <v>152268</v>
      </c>
    </row>
    <row r="65" spans="2:5" x14ac:dyDescent="0.2">
      <c r="B65" s="103" t="s">
        <v>677</v>
      </c>
      <c r="C65" s="103" t="s">
        <v>678</v>
      </c>
      <c r="D65" s="447">
        <v>1258039</v>
      </c>
      <c r="E65" s="448">
        <f>D72</f>
        <v>152268</v>
      </c>
    </row>
    <row r="66" spans="2:5" x14ac:dyDescent="0.2">
      <c r="B66" s="101" t="s">
        <v>703</v>
      </c>
      <c r="D66" s="449"/>
      <c r="E66" s="450"/>
    </row>
    <row r="68" spans="2:5" ht="15" x14ac:dyDescent="0.25">
      <c r="B68" s="426" t="s">
        <v>704</v>
      </c>
      <c r="D68" s="40"/>
    </row>
    <row r="69" spans="2:5" ht="14.1" customHeight="1" x14ac:dyDescent="0.2">
      <c r="B69" s="818" t="s">
        <v>705</v>
      </c>
      <c r="C69" s="819"/>
      <c r="D69" s="820"/>
    </row>
    <row r="70" spans="2:5" ht="27.95" customHeight="1" x14ac:dyDescent="0.2">
      <c r="B70" s="451" t="s">
        <v>706</v>
      </c>
      <c r="C70" s="452" t="s">
        <v>707</v>
      </c>
      <c r="D70" s="453" t="s">
        <v>708</v>
      </c>
    </row>
    <row r="71" spans="2:5" x14ac:dyDescent="0.2">
      <c r="B71" s="454" t="s">
        <v>709</v>
      </c>
      <c r="C71" s="821" t="s">
        <v>710</v>
      </c>
      <c r="D71" s="447">
        <v>111414</v>
      </c>
    </row>
    <row r="72" spans="2:5" x14ac:dyDescent="0.2">
      <c r="B72" s="454" t="s">
        <v>711</v>
      </c>
      <c r="C72" s="822"/>
      <c r="D72" s="447">
        <v>152268</v>
      </c>
    </row>
    <row r="73" spans="2:5" x14ac:dyDescent="0.2">
      <c r="B73" s="454" t="s">
        <v>712</v>
      </c>
      <c r="C73" s="822"/>
      <c r="D73" s="447">
        <v>184753</v>
      </c>
    </row>
    <row r="74" spans="2:5" x14ac:dyDescent="0.2">
      <c r="B74" s="454" t="s">
        <v>713</v>
      </c>
      <c r="C74" s="822"/>
      <c r="D74" s="447">
        <v>214980</v>
      </c>
    </row>
    <row r="75" spans="2:5" x14ac:dyDescent="0.2">
      <c r="B75" s="454" t="s">
        <v>714</v>
      </c>
      <c r="C75" s="822"/>
      <c r="D75" s="447">
        <v>246864</v>
      </c>
    </row>
    <row r="76" spans="2:5" x14ac:dyDescent="0.2">
      <c r="B76" s="454" t="s">
        <v>715</v>
      </c>
      <c r="C76" s="822"/>
      <c r="D76" s="447">
        <v>278634</v>
      </c>
    </row>
    <row r="77" spans="2:5" x14ac:dyDescent="0.2">
      <c r="B77" s="454" t="s">
        <v>716</v>
      </c>
      <c r="C77" s="822"/>
      <c r="D77" s="447">
        <v>338443</v>
      </c>
    </row>
    <row r="78" spans="2:5" x14ac:dyDescent="0.2">
      <c r="B78" s="454" t="s">
        <v>717</v>
      </c>
      <c r="C78" s="822"/>
      <c r="D78" s="447">
        <v>456561</v>
      </c>
    </row>
    <row r="79" spans="2:5" x14ac:dyDescent="0.2">
      <c r="B79" s="454" t="s">
        <v>718</v>
      </c>
      <c r="C79" s="822"/>
      <c r="D79" s="447">
        <v>593522</v>
      </c>
    </row>
    <row r="80" spans="2:5" x14ac:dyDescent="0.2">
      <c r="B80" s="454" t="s">
        <v>719</v>
      </c>
      <c r="C80" s="822"/>
      <c r="D80" s="447">
        <v>717923</v>
      </c>
    </row>
    <row r="81" spans="2:4" x14ac:dyDescent="0.2">
      <c r="B81" s="454" t="s">
        <v>720</v>
      </c>
      <c r="C81" s="823"/>
      <c r="D81" s="447">
        <v>845463</v>
      </c>
    </row>
    <row r="82" spans="2:4" ht="12.95" customHeight="1" x14ac:dyDescent="0.2">
      <c r="B82" s="101" t="s">
        <v>721</v>
      </c>
      <c r="D82" s="40"/>
    </row>
    <row r="83" spans="2:4" ht="12.95" customHeight="1" x14ac:dyDescent="0.2">
      <c r="B83" s="101" t="s">
        <v>722</v>
      </c>
      <c r="D83" s="40"/>
    </row>
    <row r="84" spans="2:4" ht="12.95" customHeight="1" x14ac:dyDescent="0.2">
      <c r="D84" s="40"/>
    </row>
    <row r="86" spans="2:4" ht="15" x14ac:dyDescent="0.25">
      <c r="B86" s="426" t="s">
        <v>1206</v>
      </c>
      <c r="D86" s="40"/>
    </row>
    <row r="87" spans="2:4" x14ac:dyDescent="0.2">
      <c r="B87" s="104" t="s">
        <v>723</v>
      </c>
      <c r="C87" s="54">
        <v>320000</v>
      </c>
      <c r="D87" s="40"/>
    </row>
    <row r="88" spans="2:4" x14ac:dyDescent="0.2">
      <c r="B88" s="104" t="s">
        <v>724</v>
      </c>
      <c r="C88" s="54">
        <v>360000</v>
      </c>
      <c r="D88" s="40"/>
    </row>
    <row r="89" spans="2:4" x14ac:dyDescent="0.2">
      <c r="B89" s="104" t="s">
        <v>725</v>
      </c>
      <c r="C89" s="54">
        <v>360000</v>
      </c>
      <c r="D89" s="40"/>
    </row>
    <row r="90" spans="2:4" x14ac:dyDescent="0.2">
      <c r="B90" s="104" t="s">
        <v>726</v>
      </c>
      <c r="C90" s="54">
        <v>560000</v>
      </c>
      <c r="D90" s="40"/>
    </row>
    <row r="91" spans="2:4" ht="15" x14ac:dyDescent="0.25">
      <c r="B91" s="455" t="s">
        <v>727</v>
      </c>
      <c r="C91" s="455">
        <f>AVERAGE(C87:C90)</f>
        <v>400000</v>
      </c>
      <c r="D91" s="40"/>
    </row>
    <row r="92" spans="2:4" x14ac:dyDescent="0.2">
      <c r="B92" s="450" t="s">
        <v>728</v>
      </c>
      <c r="D92" s="40"/>
    </row>
    <row r="93" spans="2:4" x14ac:dyDescent="0.2">
      <c r="B93" s="450" t="s">
        <v>729</v>
      </c>
      <c r="C93" s="450"/>
      <c r="D93" s="40"/>
    </row>
    <row r="94" spans="2:4" x14ac:dyDescent="0.2">
      <c r="B94" s="456"/>
      <c r="D94" s="425"/>
    </row>
    <row r="95" spans="2:4" ht="15" x14ac:dyDescent="0.25">
      <c r="B95" s="824" t="s">
        <v>1207</v>
      </c>
      <c r="C95" s="825"/>
      <c r="D95" s="457">
        <v>300000</v>
      </c>
    </row>
    <row r="97" spans="2:5" ht="15" x14ac:dyDescent="0.25">
      <c r="B97" s="426" t="s">
        <v>730</v>
      </c>
      <c r="C97" s="426" t="s">
        <v>731</v>
      </c>
      <c r="D97" s="458" t="s">
        <v>732</v>
      </c>
      <c r="E97" s="455">
        <v>9200</v>
      </c>
    </row>
    <row r="98" spans="2:5" x14ac:dyDescent="0.2">
      <c r="B98" s="104" t="s">
        <v>733</v>
      </c>
      <c r="C98" s="459" t="s">
        <v>734</v>
      </c>
      <c r="D98" s="460"/>
    </row>
    <row r="99" spans="2:5" x14ac:dyDescent="0.2">
      <c r="B99" s="104" t="s">
        <v>735</v>
      </c>
      <c r="C99" s="104" t="s">
        <v>736</v>
      </c>
      <c r="D99" s="460">
        <f>(2000/35)*E97</f>
        <v>525714.2857142858</v>
      </c>
    </row>
    <row r="100" spans="2:5" x14ac:dyDescent="0.2">
      <c r="B100" s="104" t="s">
        <v>737</v>
      </c>
      <c r="C100" s="104" t="s">
        <v>738</v>
      </c>
      <c r="D100" s="460">
        <f>(4000/35)*E97</f>
        <v>1051428.5714285716</v>
      </c>
    </row>
    <row r="101" spans="2:5" ht="15" x14ac:dyDescent="0.25">
      <c r="B101" s="104"/>
      <c r="C101" s="104"/>
      <c r="D101" s="461">
        <f>AVERAGE(D99:D100)</f>
        <v>788571.42857142864</v>
      </c>
    </row>
    <row r="102" spans="2:5" ht="15" x14ac:dyDescent="0.25">
      <c r="B102" s="462" t="s">
        <v>739</v>
      </c>
      <c r="C102" s="462" t="s">
        <v>740</v>
      </c>
      <c r="D102" s="463">
        <f>800000</f>
        <v>800000</v>
      </c>
    </row>
    <row r="103" spans="2:5" s="102" customFormat="1" x14ac:dyDescent="0.2">
      <c r="B103" s="102" t="s">
        <v>741</v>
      </c>
    </row>
    <row r="104" spans="2:5" s="102" customFormat="1" x14ac:dyDescent="0.2"/>
    <row r="105" spans="2:5" s="102" customFormat="1" x14ac:dyDescent="0.2">
      <c r="B105" s="101"/>
      <c r="C105" s="101"/>
      <c r="D105" s="101"/>
      <c r="E105" s="101"/>
    </row>
    <row r="106" spans="2:5" ht="15" x14ac:dyDescent="0.25">
      <c r="B106" s="426" t="s">
        <v>1209</v>
      </c>
      <c r="C106" s="463">
        <f>24000*20</f>
        <v>480000</v>
      </c>
    </row>
    <row r="107" spans="2:5" ht="15" x14ac:dyDescent="0.25">
      <c r="B107" s="426" t="s">
        <v>742</v>
      </c>
      <c r="C107" s="463">
        <f>500000</f>
        <v>500000</v>
      </c>
    </row>
    <row r="108" spans="2:5" x14ac:dyDescent="0.2">
      <c r="B108" s="814" t="s">
        <v>743</v>
      </c>
      <c r="C108" s="815"/>
    </row>
    <row r="109" spans="2:5" x14ac:dyDescent="0.2">
      <c r="B109" s="814" t="s">
        <v>744</v>
      </c>
      <c r="C109" s="815"/>
    </row>
    <row r="110" spans="2:5" x14ac:dyDescent="0.2">
      <c r="B110" s="42"/>
      <c r="C110" s="42"/>
    </row>
    <row r="111" spans="2:5" ht="15" x14ac:dyDescent="0.25">
      <c r="B111" s="426" t="s">
        <v>745</v>
      </c>
      <c r="C111" s="42"/>
    </row>
    <row r="112" spans="2:5" x14ac:dyDescent="0.2">
      <c r="B112" s="104" t="s">
        <v>746</v>
      </c>
      <c r="C112" s="43">
        <f>C107</f>
        <v>500000</v>
      </c>
    </row>
    <row r="113" spans="2:4" x14ac:dyDescent="0.2">
      <c r="B113" s="104" t="s">
        <v>730</v>
      </c>
      <c r="C113" s="43">
        <f>D102</f>
        <v>800000</v>
      </c>
    </row>
    <row r="114" spans="2:4" ht="15" x14ac:dyDescent="0.25">
      <c r="B114" s="426" t="s">
        <v>56</v>
      </c>
      <c r="C114" s="463">
        <f>C112+C113</f>
        <v>1300000</v>
      </c>
    </row>
    <row r="116" spans="2:4" ht="15" x14ac:dyDescent="0.25">
      <c r="B116" s="426" t="s">
        <v>1203</v>
      </c>
      <c r="C116" s="458" t="s">
        <v>54</v>
      </c>
    </row>
    <row r="117" spans="2:4" x14ac:dyDescent="0.2">
      <c r="B117" s="103" t="s">
        <v>747</v>
      </c>
      <c r="C117" s="43">
        <v>35000</v>
      </c>
    </row>
    <row r="118" spans="2:4" x14ac:dyDescent="0.2">
      <c r="B118" s="103" t="s">
        <v>748</v>
      </c>
      <c r="C118" s="43">
        <v>120000</v>
      </c>
    </row>
    <row r="119" spans="2:4" ht="15" x14ac:dyDescent="0.25">
      <c r="B119" s="458" t="s">
        <v>32</v>
      </c>
      <c r="C119" s="457">
        <f>C118+C117</f>
        <v>155000</v>
      </c>
      <c r="D119" s="101" t="s">
        <v>1205</v>
      </c>
    </row>
    <row r="120" spans="2:4" x14ac:dyDescent="0.2">
      <c r="B120" s="103" t="s">
        <v>749</v>
      </c>
      <c r="C120" s="43">
        <v>190000</v>
      </c>
    </row>
    <row r="121" spans="2:4" x14ac:dyDescent="0.2">
      <c r="B121" s="103" t="s">
        <v>750</v>
      </c>
      <c r="C121" s="43">
        <v>40000</v>
      </c>
    </row>
    <row r="122" spans="2:4" x14ac:dyDescent="0.2">
      <c r="B122" s="103" t="s">
        <v>751</v>
      </c>
      <c r="C122" s="43"/>
    </row>
    <row r="123" spans="2:4" ht="15" x14ac:dyDescent="0.25">
      <c r="B123" s="458" t="s">
        <v>32</v>
      </c>
      <c r="C123" s="457">
        <f>C119+C120+C121</f>
        <v>385000</v>
      </c>
    </row>
    <row r="124" spans="2:4" x14ac:dyDescent="0.2">
      <c r="B124" s="827" t="s">
        <v>752</v>
      </c>
      <c r="C124" s="828"/>
    </row>
    <row r="126" spans="2:4" ht="15" x14ac:dyDescent="0.25">
      <c r="B126" s="426" t="s">
        <v>753</v>
      </c>
      <c r="D126" s="40"/>
    </row>
    <row r="127" spans="2:4" x14ac:dyDescent="0.2">
      <c r="B127" s="101" t="s">
        <v>727</v>
      </c>
      <c r="D127" s="40"/>
    </row>
    <row r="128" spans="2:4" x14ac:dyDescent="0.2">
      <c r="D128" s="40"/>
    </row>
    <row r="129" spans="1:4" ht="15" x14ac:dyDescent="0.25">
      <c r="B129" s="464" t="s">
        <v>754</v>
      </c>
      <c r="C129" s="464" t="s">
        <v>755</v>
      </c>
      <c r="D129" s="425"/>
    </row>
    <row r="130" spans="1:4" x14ac:dyDescent="0.2">
      <c r="B130" s="448" t="s">
        <v>756</v>
      </c>
      <c r="C130" s="43">
        <v>2000000</v>
      </c>
      <c r="D130" s="425"/>
    </row>
    <row r="131" spans="1:4" ht="13.5" customHeight="1" x14ac:dyDescent="0.2">
      <c r="B131" s="448" t="s">
        <v>757</v>
      </c>
      <c r="C131" s="43">
        <v>1300000</v>
      </c>
      <c r="D131" s="425"/>
    </row>
    <row r="132" spans="1:4" x14ac:dyDescent="0.2">
      <c r="B132" s="448" t="s">
        <v>758</v>
      </c>
      <c r="C132" s="43">
        <v>3500000</v>
      </c>
      <c r="D132" s="425"/>
    </row>
    <row r="133" spans="1:4" x14ac:dyDescent="0.2">
      <c r="B133" s="448" t="s">
        <v>759</v>
      </c>
      <c r="C133" s="43">
        <v>1800000</v>
      </c>
      <c r="D133" s="425"/>
    </row>
    <row r="134" spans="1:4" ht="12.6" customHeight="1" x14ac:dyDescent="0.2">
      <c r="B134" s="827" t="s">
        <v>760</v>
      </c>
      <c r="C134" s="828"/>
      <c r="D134" s="425"/>
    </row>
    <row r="135" spans="1:4" x14ac:dyDescent="0.2">
      <c r="B135" s="450" t="s">
        <v>761</v>
      </c>
      <c r="C135" s="465"/>
      <c r="D135" s="425"/>
    </row>
    <row r="137" spans="1:4" ht="15" x14ac:dyDescent="0.25">
      <c r="B137" s="466" t="s">
        <v>1200</v>
      </c>
      <c r="C137" s="466">
        <v>7</v>
      </c>
    </row>
    <row r="138" spans="1:4" ht="15" x14ac:dyDescent="0.25">
      <c r="B138" s="466" t="s">
        <v>1211</v>
      </c>
      <c r="C138" s="466">
        <v>19</v>
      </c>
    </row>
    <row r="139" spans="1:4" ht="15" x14ac:dyDescent="0.25">
      <c r="B139" s="466" t="s">
        <v>1212</v>
      </c>
      <c r="C139" s="466">
        <v>4</v>
      </c>
    </row>
    <row r="140" spans="1:4" x14ac:dyDescent="0.2">
      <c r="A140" s="450"/>
      <c r="B140" s="101" t="s">
        <v>762</v>
      </c>
    </row>
    <row r="143" spans="1:4" ht="15" x14ac:dyDescent="0.25">
      <c r="B143" s="466" t="s">
        <v>763</v>
      </c>
    </row>
    <row r="144" spans="1:4" x14ac:dyDescent="0.2">
      <c r="A144" s="103">
        <v>1</v>
      </c>
      <c r="B144" s="467" t="s">
        <v>764</v>
      </c>
    </row>
    <row r="145" spans="1:3" x14ac:dyDescent="0.2">
      <c r="A145" s="103">
        <v>2</v>
      </c>
      <c r="B145" s="467" t="s">
        <v>765</v>
      </c>
    </row>
    <row r="146" spans="1:3" x14ac:dyDescent="0.2">
      <c r="A146" s="103">
        <v>3</v>
      </c>
      <c r="B146" s="467" t="s">
        <v>766</v>
      </c>
    </row>
    <row r="147" spans="1:3" x14ac:dyDescent="0.2">
      <c r="A147" s="103">
        <v>4</v>
      </c>
      <c r="B147" s="467" t="s">
        <v>767</v>
      </c>
    </row>
    <row r="148" spans="1:3" x14ac:dyDescent="0.2">
      <c r="A148" s="103">
        <v>5</v>
      </c>
      <c r="B148" s="467" t="s">
        <v>768</v>
      </c>
    </row>
    <row r="149" spans="1:3" x14ac:dyDescent="0.2">
      <c r="A149" s="103">
        <v>6</v>
      </c>
      <c r="B149" s="467" t="s">
        <v>769</v>
      </c>
    </row>
    <row r="150" spans="1:3" x14ac:dyDescent="0.2">
      <c r="A150" s="103">
        <v>7</v>
      </c>
      <c r="B150" s="467" t="s">
        <v>770</v>
      </c>
    </row>
    <row r="154" spans="1:3" ht="15" x14ac:dyDescent="0.25">
      <c r="B154" s="466" t="s">
        <v>771</v>
      </c>
      <c r="C154" s="466" t="s">
        <v>772</v>
      </c>
    </row>
    <row r="155" spans="1:3" x14ac:dyDescent="0.2">
      <c r="A155" s="103">
        <v>1</v>
      </c>
      <c r="B155" s="388" t="s">
        <v>773</v>
      </c>
      <c r="C155" s="468">
        <v>1</v>
      </c>
    </row>
    <row r="156" spans="1:3" x14ac:dyDescent="0.2">
      <c r="A156" s="103">
        <v>2</v>
      </c>
      <c r="B156" s="388" t="s">
        <v>774</v>
      </c>
      <c r="C156" s="468">
        <v>1</v>
      </c>
    </row>
    <row r="157" spans="1:3" ht="15" customHeight="1" x14ac:dyDescent="0.2">
      <c r="A157" s="103">
        <v>3</v>
      </c>
      <c r="B157" s="388" t="s">
        <v>775</v>
      </c>
      <c r="C157" s="468">
        <v>0.99</v>
      </c>
    </row>
    <row r="158" spans="1:3" x14ac:dyDescent="0.2">
      <c r="A158" s="103">
        <v>4</v>
      </c>
      <c r="B158" s="388" t="s">
        <v>776</v>
      </c>
      <c r="C158" s="468">
        <v>0.95</v>
      </c>
    </row>
    <row r="159" spans="1:3" x14ac:dyDescent="0.2">
      <c r="A159" s="103">
        <v>5</v>
      </c>
      <c r="B159" s="388" t="s">
        <v>777</v>
      </c>
      <c r="C159" s="468">
        <v>0.93</v>
      </c>
    </row>
    <row r="160" spans="1:3" x14ac:dyDescent="0.2">
      <c r="A160" s="103">
        <v>6</v>
      </c>
      <c r="B160" s="388" t="s">
        <v>778</v>
      </c>
      <c r="C160" s="468">
        <v>0.86</v>
      </c>
    </row>
    <row r="161" spans="1:3" x14ac:dyDescent="0.2">
      <c r="A161" s="103">
        <v>7</v>
      </c>
      <c r="B161" s="388" t="s">
        <v>779</v>
      </c>
      <c r="C161" s="468">
        <v>0.49</v>
      </c>
    </row>
    <row r="162" spans="1:3" x14ac:dyDescent="0.2">
      <c r="A162" s="103">
        <v>8</v>
      </c>
      <c r="B162" s="388" t="s">
        <v>780</v>
      </c>
      <c r="C162" s="468">
        <v>0.49</v>
      </c>
    </row>
    <row r="163" spans="1:3" x14ac:dyDescent="0.2">
      <c r="A163" s="103">
        <v>9</v>
      </c>
      <c r="B163" s="388" t="s">
        <v>781</v>
      </c>
      <c r="C163" s="468">
        <v>0.44</v>
      </c>
    </row>
    <row r="164" spans="1:3" x14ac:dyDescent="0.2">
      <c r="A164" s="103">
        <v>10</v>
      </c>
      <c r="B164" s="388" t="s">
        <v>782</v>
      </c>
      <c r="C164" s="468">
        <v>0.31</v>
      </c>
    </row>
    <row r="165" spans="1:3" x14ac:dyDescent="0.2">
      <c r="A165" s="103">
        <v>11</v>
      </c>
      <c r="B165" s="469" t="s">
        <v>783</v>
      </c>
      <c r="C165" s="470">
        <v>0.18</v>
      </c>
    </row>
    <row r="166" spans="1:3" x14ac:dyDescent="0.2">
      <c r="A166" s="103">
        <v>12</v>
      </c>
      <c r="B166" s="469" t="s">
        <v>784</v>
      </c>
      <c r="C166" s="470">
        <v>0.18</v>
      </c>
    </row>
    <row r="167" spans="1:3" x14ac:dyDescent="0.2">
      <c r="A167" s="103">
        <v>13</v>
      </c>
      <c r="B167" s="469" t="s">
        <v>785</v>
      </c>
      <c r="C167" s="470">
        <v>0.15</v>
      </c>
    </row>
    <row r="168" spans="1:3" x14ac:dyDescent="0.2">
      <c r="A168" s="103">
        <v>14</v>
      </c>
      <c r="B168" s="469" t="s">
        <v>786</v>
      </c>
      <c r="C168" s="470">
        <v>0.14000000000000001</v>
      </c>
    </row>
    <row r="169" spans="1:3" x14ac:dyDescent="0.2">
      <c r="A169" s="103">
        <v>15</v>
      </c>
      <c r="B169" s="469" t="s">
        <v>787</v>
      </c>
      <c r="C169" s="470">
        <v>0.12</v>
      </c>
    </row>
    <row r="170" spans="1:3" x14ac:dyDescent="0.2">
      <c r="A170" s="103">
        <v>16</v>
      </c>
      <c r="B170" s="469" t="s">
        <v>788</v>
      </c>
      <c r="C170" s="470">
        <v>7.0000000000000007E-2</v>
      </c>
    </row>
    <row r="171" spans="1:3" x14ac:dyDescent="0.2">
      <c r="A171" s="103">
        <v>17</v>
      </c>
      <c r="B171" s="469" t="s">
        <v>789</v>
      </c>
      <c r="C171" s="470">
        <v>0.01</v>
      </c>
    </row>
    <row r="172" spans="1:3" x14ac:dyDescent="0.2">
      <c r="A172" s="103">
        <v>18</v>
      </c>
      <c r="B172" s="469" t="s">
        <v>790</v>
      </c>
      <c r="C172" s="470">
        <v>0</v>
      </c>
    </row>
    <row r="173" spans="1:3" x14ac:dyDescent="0.2">
      <c r="A173" s="103">
        <v>19</v>
      </c>
      <c r="B173" s="101" t="s">
        <v>791</v>
      </c>
      <c r="C173" s="101" t="s">
        <v>792</v>
      </c>
    </row>
    <row r="174" spans="1:3" ht="15" x14ac:dyDescent="0.25">
      <c r="B174" s="466" t="s">
        <v>793</v>
      </c>
      <c r="C174" s="466">
        <f>+A164</f>
        <v>10</v>
      </c>
    </row>
    <row r="175" spans="1:3" x14ac:dyDescent="0.2">
      <c r="B175" s="101" t="s">
        <v>794</v>
      </c>
    </row>
    <row r="177" spans="1:4" ht="15" x14ac:dyDescent="0.25">
      <c r="B177" s="466" t="s">
        <v>795</v>
      </c>
    </row>
    <row r="178" spans="1:4" ht="15" x14ac:dyDescent="0.25">
      <c r="B178" s="466" t="s">
        <v>796</v>
      </c>
      <c r="C178" s="466" t="s">
        <v>797</v>
      </c>
      <c r="D178" s="466" t="s">
        <v>798</v>
      </c>
    </row>
    <row r="179" spans="1:4" x14ac:dyDescent="0.2">
      <c r="A179" s="103">
        <v>1</v>
      </c>
      <c r="B179" s="471" t="s">
        <v>773</v>
      </c>
      <c r="C179" s="472">
        <v>77815</v>
      </c>
      <c r="D179" s="829" t="s">
        <v>799</v>
      </c>
    </row>
    <row r="180" spans="1:4" x14ac:dyDescent="0.2">
      <c r="A180" s="103">
        <v>2</v>
      </c>
      <c r="B180" s="471" t="s">
        <v>774</v>
      </c>
      <c r="C180" s="472">
        <v>14344</v>
      </c>
      <c r="D180" s="830"/>
    </row>
    <row r="181" spans="1:4" x14ac:dyDescent="0.2">
      <c r="A181" s="103">
        <v>3</v>
      </c>
      <c r="B181" s="471" t="s">
        <v>780</v>
      </c>
      <c r="C181" s="472">
        <v>57587</v>
      </c>
      <c r="D181" s="831"/>
    </row>
    <row r="182" spans="1:4" x14ac:dyDescent="0.2">
      <c r="A182" s="103">
        <v>4</v>
      </c>
      <c r="B182" s="471" t="s">
        <v>775</v>
      </c>
      <c r="C182" s="472">
        <v>20675</v>
      </c>
      <c r="D182" s="832" t="s">
        <v>800</v>
      </c>
    </row>
    <row r="183" spans="1:4" x14ac:dyDescent="0.2">
      <c r="A183" s="103">
        <v>5</v>
      </c>
      <c r="B183" s="471" t="s">
        <v>781</v>
      </c>
      <c r="C183" s="472">
        <v>39113</v>
      </c>
      <c r="D183" s="833"/>
    </row>
    <row r="184" spans="1:4" x14ac:dyDescent="0.2">
      <c r="A184" s="103">
        <v>6</v>
      </c>
      <c r="B184" s="471" t="s">
        <v>776</v>
      </c>
      <c r="C184" s="472">
        <v>277455</v>
      </c>
      <c r="D184" s="834"/>
    </row>
    <row r="185" spans="1:4" x14ac:dyDescent="0.2">
      <c r="A185" s="103">
        <v>7</v>
      </c>
      <c r="B185" s="471" t="s">
        <v>782</v>
      </c>
      <c r="C185" s="472">
        <v>98649</v>
      </c>
      <c r="D185" s="835" t="s">
        <v>801</v>
      </c>
    </row>
    <row r="186" spans="1:4" x14ac:dyDescent="0.2">
      <c r="A186" s="103">
        <v>8</v>
      </c>
      <c r="B186" s="471" t="s">
        <v>779</v>
      </c>
      <c r="C186" s="472">
        <v>239032</v>
      </c>
      <c r="D186" s="836"/>
    </row>
    <row r="187" spans="1:4" x14ac:dyDescent="0.2">
      <c r="A187" s="103">
        <v>9</v>
      </c>
      <c r="B187" s="471" t="s">
        <v>777</v>
      </c>
      <c r="C187" s="472">
        <v>152479</v>
      </c>
      <c r="D187" s="837" t="s">
        <v>802</v>
      </c>
    </row>
    <row r="188" spans="1:4" x14ac:dyDescent="0.2">
      <c r="A188" s="103">
        <v>10</v>
      </c>
      <c r="B188" s="471" t="s">
        <v>778</v>
      </c>
      <c r="C188" s="472">
        <v>117860</v>
      </c>
      <c r="D188" s="837"/>
    </row>
    <row r="189" spans="1:4" ht="15" x14ac:dyDescent="0.25">
      <c r="B189" s="466" t="s">
        <v>803</v>
      </c>
      <c r="D189" s="466">
        <v>4</v>
      </c>
    </row>
    <row r="190" spans="1:4" s="102" customFormat="1" ht="15" x14ac:dyDescent="0.25">
      <c r="B190" s="49" t="s">
        <v>804</v>
      </c>
      <c r="D190" s="49"/>
    </row>
    <row r="192" spans="1:4" ht="15" x14ac:dyDescent="0.25">
      <c r="B192" s="466" t="s">
        <v>805</v>
      </c>
    </row>
    <row r="193" spans="1:3" x14ac:dyDescent="0.2">
      <c r="A193" s="473">
        <v>1</v>
      </c>
      <c r="B193" s="473" t="s">
        <v>806</v>
      </c>
      <c r="C193" s="473" t="s">
        <v>792</v>
      </c>
    </row>
    <row r="194" spans="1:3" x14ac:dyDescent="0.2">
      <c r="A194" s="473">
        <v>2</v>
      </c>
      <c r="B194" s="473" t="s">
        <v>790</v>
      </c>
      <c r="C194" s="474">
        <v>1</v>
      </c>
    </row>
    <row r="195" spans="1:3" ht="15" customHeight="1" x14ac:dyDescent="0.2">
      <c r="A195" s="473">
        <v>3</v>
      </c>
      <c r="B195" s="473" t="s">
        <v>789</v>
      </c>
      <c r="C195" s="474">
        <v>0.99</v>
      </c>
    </row>
    <row r="196" spans="1:3" x14ac:dyDescent="0.2">
      <c r="A196" s="473">
        <v>4</v>
      </c>
      <c r="B196" s="473" t="s">
        <v>788</v>
      </c>
      <c r="C196" s="474">
        <v>0.91</v>
      </c>
    </row>
    <row r="197" spans="1:3" x14ac:dyDescent="0.2">
      <c r="A197" s="473">
        <v>5</v>
      </c>
      <c r="B197" s="473" t="s">
        <v>787</v>
      </c>
      <c r="C197" s="474">
        <v>0.88</v>
      </c>
    </row>
    <row r="198" spans="1:3" x14ac:dyDescent="0.2">
      <c r="A198" s="473">
        <v>6</v>
      </c>
      <c r="B198" s="473" t="s">
        <v>786</v>
      </c>
      <c r="C198" s="474">
        <v>0.86</v>
      </c>
    </row>
    <row r="199" spans="1:3" x14ac:dyDescent="0.2">
      <c r="A199" s="473">
        <v>7</v>
      </c>
      <c r="B199" s="473" t="s">
        <v>785</v>
      </c>
      <c r="C199" s="474">
        <v>0.85</v>
      </c>
    </row>
    <row r="200" spans="1:3" x14ac:dyDescent="0.2">
      <c r="A200" s="473">
        <v>8</v>
      </c>
      <c r="B200" s="473" t="s">
        <v>784</v>
      </c>
      <c r="C200" s="474">
        <v>0.82</v>
      </c>
    </row>
    <row r="201" spans="1:3" x14ac:dyDescent="0.2">
      <c r="A201" s="473">
        <v>9</v>
      </c>
      <c r="B201" s="473" t="s">
        <v>783</v>
      </c>
      <c r="C201" s="474">
        <v>0.85</v>
      </c>
    </row>
    <row r="202" spans="1:3" x14ac:dyDescent="0.2">
      <c r="A202" s="473">
        <v>10</v>
      </c>
      <c r="B202" s="473" t="s">
        <v>782</v>
      </c>
      <c r="C202" s="474">
        <v>0.69</v>
      </c>
    </row>
    <row r="203" spans="1:3" x14ac:dyDescent="0.2">
      <c r="A203" s="473">
        <v>11</v>
      </c>
      <c r="B203" s="473" t="s">
        <v>781</v>
      </c>
      <c r="C203" s="474">
        <v>0.56000000000000005</v>
      </c>
    </row>
    <row r="204" spans="1:3" x14ac:dyDescent="0.2">
      <c r="A204" s="473">
        <v>12</v>
      </c>
      <c r="B204" s="473" t="s">
        <v>780</v>
      </c>
      <c r="C204" s="474">
        <v>0.51</v>
      </c>
    </row>
    <row r="205" spans="1:3" x14ac:dyDescent="0.2">
      <c r="A205" s="473">
        <v>13</v>
      </c>
      <c r="B205" s="473" t="s">
        <v>779</v>
      </c>
      <c r="C205" s="474">
        <v>0.51</v>
      </c>
    </row>
    <row r="206" spans="1:3" x14ac:dyDescent="0.2">
      <c r="A206" s="473">
        <v>14</v>
      </c>
      <c r="B206" s="473" t="s">
        <v>778</v>
      </c>
      <c r="C206" s="474">
        <v>0.14000000000000001</v>
      </c>
    </row>
    <row r="207" spans="1:3" x14ac:dyDescent="0.2">
      <c r="A207" s="473">
        <v>15</v>
      </c>
      <c r="B207" s="473" t="s">
        <v>777</v>
      </c>
      <c r="C207" s="474">
        <v>7.0000000000000007E-2</v>
      </c>
    </row>
    <row r="208" spans="1:3" x14ac:dyDescent="0.2">
      <c r="A208" s="103">
        <v>16</v>
      </c>
      <c r="B208" s="48" t="s">
        <v>776</v>
      </c>
      <c r="C208" s="475">
        <v>0.05</v>
      </c>
    </row>
    <row r="209" spans="1:6" x14ac:dyDescent="0.2">
      <c r="A209" s="103">
        <v>17</v>
      </c>
      <c r="B209" s="48" t="s">
        <v>775</v>
      </c>
      <c r="C209" s="475">
        <v>0.01</v>
      </c>
    </row>
    <row r="210" spans="1:6" x14ac:dyDescent="0.2">
      <c r="A210" s="103">
        <v>18</v>
      </c>
      <c r="B210" s="48" t="s">
        <v>774</v>
      </c>
      <c r="C210" s="475"/>
    </row>
    <row r="211" spans="1:6" x14ac:dyDescent="0.2">
      <c r="A211" s="103">
        <v>19</v>
      </c>
      <c r="B211" s="48" t="s">
        <v>773</v>
      </c>
      <c r="C211" s="475"/>
    </row>
    <row r="212" spans="1:6" ht="15" x14ac:dyDescent="0.25">
      <c r="B212" s="466" t="s">
        <v>807</v>
      </c>
      <c r="C212" s="466">
        <f>A207</f>
        <v>15</v>
      </c>
    </row>
    <row r="213" spans="1:6" x14ac:dyDescent="0.2">
      <c r="B213" s="101" t="s">
        <v>794</v>
      </c>
    </row>
    <row r="215" spans="1:6" ht="15" x14ac:dyDescent="0.25">
      <c r="B215" s="476" t="s">
        <v>808</v>
      </c>
      <c r="D215" s="425"/>
      <c r="F215" s="432"/>
    </row>
    <row r="216" spans="1:6" x14ac:dyDescent="0.2">
      <c r="B216" s="104" t="s">
        <v>809</v>
      </c>
      <c r="C216" s="477">
        <f>C229</f>
        <v>500000</v>
      </c>
      <c r="E216" s="44"/>
      <c r="F216" s="432"/>
    </row>
    <row r="217" spans="1:6" x14ac:dyDescent="0.2">
      <c r="B217" s="103" t="str">
        <f>B232</f>
        <v>b. Talleres y/ o eventos de divulgación nacionales y/o regionales (Productor, transformador, comercialización)</v>
      </c>
      <c r="C217" s="45">
        <f>C238</f>
        <v>2300000</v>
      </c>
      <c r="E217" s="44"/>
      <c r="F217" s="432"/>
    </row>
    <row r="218" spans="1:6" x14ac:dyDescent="0.2">
      <c r="B218" s="104" t="str">
        <f>B247</f>
        <v>c. Escuelas, dias de campo, giras técnicas,  y/ o visitas,  (Productor, transformador, comercialización)</v>
      </c>
      <c r="C218" s="477">
        <f>C254</f>
        <v>3270000</v>
      </c>
      <c r="E218" s="44"/>
      <c r="F218" s="432"/>
    </row>
    <row r="219" spans="1:6" x14ac:dyDescent="0.2">
      <c r="B219" s="104" t="str">
        <f>B258</f>
        <v xml:space="preserve">d. Parcelas demostrativas o lotes modelos </v>
      </c>
      <c r="C219" s="477">
        <f>C264</f>
        <v>5170000</v>
      </c>
      <c r="E219" s="44"/>
      <c r="F219" s="432"/>
    </row>
    <row r="220" spans="1:6" x14ac:dyDescent="0.2">
      <c r="B220" s="104" t="s">
        <v>810</v>
      </c>
      <c r="C220" s="477">
        <f>C216*20%</f>
        <v>100000</v>
      </c>
      <c r="E220" s="44"/>
      <c r="F220" s="432"/>
    </row>
    <row r="221" spans="1:6" x14ac:dyDescent="0.2">
      <c r="B221" s="104" t="s">
        <v>811</v>
      </c>
      <c r="C221" s="477">
        <f>C217*20%</f>
        <v>460000</v>
      </c>
      <c r="E221" s="44"/>
      <c r="F221" s="432"/>
    </row>
    <row r="222" spans="1:6" hidden="1" x14ac:dyDescent="0.2">
      <c r="B222" s="103" t="s">
        <v>812</v>
      </c>
      <c r="C222" s="478" t="e">
        <f>#REF!*10%</f>
        <v>#REF!</v>
      </c>
      <c r="E222" s="44"/>
      <c r="F222" s="432"/>
    </row>
    <row r="223" spans="1:6" x14ac:dyDescent="0.2">
      <c r="B223" s="101" t="s">
        <v>813</v>
      </c>
      <c r="E223" s="44"/>
      <c r="F223" s="432"/>
    </row>
    <row r="224" spans="1:6" x14ac:dyDescent="0.2">
      <c r="E224" s="44"/>
      <c r="F224" s="432"/>
    </row>
    <row r="226" spans="2:3" ht="27" customHeight="1" x14ac:dyDescent="0.25">
      <c r="B226" s="466" t="s">
        <v>809</v>
      </c>
      <c r="C226" s="40" t="s">
        <v>814</v>
      </c>
    </row>
    <row r="227" spans="2:3" x14ac:dyDescent="0.2">
      <c r="B227" s="103" t="s">
        <v>815</v>
      </c>
      <c r="C227" s="478">
        <f>15000*20</f>
        <v>300000</v>
      </c>
    </row>
    <row r="228" spans="2:3" x14ac:dyDescent="0.2">
      <c r="B228" s="103" t="s">
        <v>816</v>
      </c>
      <c r="C228" s="478">
        <v>200000</v>
      </c>
    </row>
    <row r="229" spans="2:3" ht="15" x14ac:dyDescent="0.25">
      <c r="B229" s="479" t="s">
        <v>817</v>
      </c>
      <c r="C229" s="480">
        <f>C227+C228</f>
        <v>500000</v>
      </c>
    </row>
    <row r="232" spans="2:3" ht="39" customHeight="1" x14ac:dyDescent="0.25">
      <c r="B232" s="481" t="s">
        <v>818</v>
      </c>
      <c r="C232" s="466" t="s">
        <v>819</v>
      </c>
    </row>
    <row r="233" spans="2:3" x14ac:dyDescent="0.2">
      <c r="B233" s="103" t="s">
        <v>820</v>
      </c>
      <c r="C233" s="478">
        <v>500000</v>
      </c>
    </row>
    <row r="234" spans="2:3" x14ac:dyDescent="0.2">
      <c r="B234" s="103" t="s">
        <v>815</v>
      </c>
      <c r="C234" s="478">
        <f>15000*40</f>
        <v>600000</v>
      </c>
    </row>
    <row r="235" spans="2:3" x14ac:dyDescent="0.2">
      <c r="B235" s="303" t="s">
        <v>821</v>
      </c>
      <c r="C235" s="478">
        <f>2500*40</f>
        <v>100000</v>
      </c>
    </row>
    <row r="236" spans="2:3" x14ac:dyDescent="0.2">
      <c r="B236" s="103" t="s">
        <v>822</v>
      </c>
      <c r="C236" s="478">
        <f>25000*40</f>
        <v>1000000</v>
      </c>
    </row>
    <row r="237" spans="2:3" x14ac:dyDescent="0.2">
      <c r="B237" s="103" t="s">
        <v>823</v>
      </c>
      <c r="C237" s="478">
        <v>100000</v>
      </c>
    </row>
    <row r="238" spans="2:3" ht="15" x14ac:dyDescent="0.25">
      <c r="B238" s="466" t="s">
        <v>824</v>
      </c>
      <c r="C238" s="480">
        <f>SUM(C233:C237)</f>
        <v>2300000</v>
      </c>
    </row>
    <row r="239" spans="2:3" x14ac:dyDescent="0.2">
      <c r="B239" s="103" t="s">
        <v>825</v>
      </c>
      <c r="C239" s="478"/>
    </row>
    <row r="241" spans="2:3" ht="15" hidden="1" x14ac:dyDescent="0.25">
      <c r="B241" s="466" t="s">
        <v>826</v>
      </c>
      <c r="C241" s="40" t="s">
        <v>814</v>
      </c>
    </row>
    <row r="242" spans="2:3" hidden="1" x14ac:dyDescent="0.2">
      <c r="B242" s="103" t="s">
        <v>815</v>
      </c>
      <c r="C242" s="478">
        <v>500000</v>
      </c>
    </row>
    <row r="243" spans="2:3" hidden="1" x14ac:dyDescent="0.2">
      <c r="B243" s="303" t="s">
        <v>820</v>
      </c>
      <c r="C243" s="478">
        <v>500000</v>
      </c>
    </row>
    <row r="244" spans="2:3" ht="15" hidden="1" x14ac:dyDescent="0.25">
      <c r="B244" s="479" t="s">
        <v>817</v>
      </c>
      <c r="C244" s="480">
        <f>SUM(C242:C243)</f>
        <v>1000000</v>
      </c>
    </row>
    <row r="245" spans="2:3" hidden="1" x14ac:dyDescent="0.2">
      <c r="B245" s="103" t="s">
        <v>827</v>
      </c>
    </row>
    <row r="247" spans="2:3" ht="30" x14ac:dyDescent="0.25">
      <c r="B247" s="481" t="s">
        <v>828</v>
      </c>
      <c r="C247" s="466" t="s">
        <v>829</v>
      </c>
    </row>
    <row r="248" spans="2:3" x14ac:dyDescent="0.2">
      <c r="B248" s="478" t="s">
        <v>830</v>
      </c>
      <c r="C248" s="478">
        <f>20000*20</f>
        <v>400000</v>
      </c>
    </row>
    <row r="249" spans="2:3" x14ac:dyDescent="0.2">
      <c r="B249" s="478" t="s">
        <v>831</v>
      </c>
      <c r="C249" s="478">
        <f>25000*20</f>
        <v>500000</v>
      </c>
    </row>
    <row r="250" spans="2:3" x14ac:dyDescent="0.2">
      <c r="B250" s="103" t="s">
        <v>1221</v>
      </c>
      <c r="C250" s="478">
        <f>25000*20</f>
        <v>500000</v>
      </c>
    </row>
    <row r="251" spans="2:3" x14ac:dyDescent="0.2">
      <c r="B251" s="103" t="s">
        <v>832</v>
      </c>
      <c r="C251" s="478">
        <f>C123*2</f>
        <v>770000</v>
      </c>
    </row>
    <row r="252" spans="2:3" x14ac:dyDescent="0.2">
      <c r="B252" s="103" t="s">
        <v>833</v>
      </c>
      <c r="C252" s="478">
        <v>100000</v>
      </c>
    </row>
    <row r="253" spans="2:3" x14ac:dyDescent="0.2">
      <c r="B253" s="103" t="s">
        <v>834</v>
      </c>
      <c r="C253" s="478">
        <f>50000*20</f>
        <v>1000000</v>
      </c>
    </row>
    <row r="254" spans="2:3" ht="15" x14ac:dyDescent="0.25">
      <c r="B254" s="466" t="s">
        <v>32</v>
      </c>
      <c r="C254" s="480">
        <f>SUM(C248:C253)</f>
        <v>3270000</v>
      </c>
    </row>
    <row r="255" spans="2:3" x14ac:dyDescent="0.2">
      <c r="B255" s="101" t="s">
        <v>835</v>
      </c>
    </row>
    <row r="256" spans="2:3" x14ac:dyDescent="0.2">
      <c r="B256" s="101" t="s">
        <v>836</v>
      </c>
    </row>
    <row r="258" spans="2:4" ht="15" x14ac:dyDescent="0.25">
      <c r="B258" s="466" t="s">
        <v>837</v>
      </c>
      <c r="C258" s="466" t="s">
        <v>838</v>
      </c>
    </row>
    <row r="259" spans="2:4" x14ac:dyDescent="0.2">
      <c r="B259" s="478" t="s">
        <v>839</v>
      </c>
      <c r="C259" s="478">
        <f>(900000*1.5)</f>
        <v>1350000</v>
      </c>
      <c r="D259" s="52"/>
    </row>
    <row r="260" spans="2:4" x14ac:dyDescent="0.2">
      <c r="B260" s="103" t="s">
        <v>840</v>
      </c>
      <c r="C260" s="53">
        <f>150000*20</f>
        <v>3000000</v>
      </c>
    </row>
    <row r="261" spans="2:4" x14ac:dyDescent="0.2">
      <c r="B261" s="103" t="s">
        <v>841</v>
      </c>
      <c r="C261" s="53">
        <f>80000*4</f>
        <v>320000</v>
      </c>
    </row>
    <row r="262" spans="2:4" x14ac:dyDescent="0.2">
      <c r="B262" s="478" t="s">
        <v>842</v>
      </c>
      <c r="C262" s="53">
        <f>40000*5</f>
        <v>200000</v>
      </c>
    </row>
    <row r="263" spans="2:4" x14ac:dyDescent="0.2">
      <c r="B263" s="103" t="s">
        <v>843</v>
      </c>
      <c r="C263" s="478">
        <f>2*150000</f>
        <v>300000</v>
      </c>
    </row>
    <row r="264" spans="2:4" ht="15" x14ac:dyDescent="0.25">
      <c r="B264" s="466" t="s">
        <v>32</v>
      </c>
      <c r="C264" s="480">
        <f>SUM(C259:C263)</f>
        <v>5170000</v>
      </c>
    </row>
    <row r="266" spans="2:4" ht="15" hidden="1" x14ac:dyDescent="0.25">
      <c r="B266" s="838" t="s">
        <v>844</v>
      </c>
      <c r="C266" s="839"/>
    </row>
    <row r="267" spans="2:4" hidden="1" x14ac:dyDescent="0.2">
      <c r="B267" s="482" t="s">
        <v>845</v>
      </c>
      <c r="C267" s="483">
        <f>50000*25</f>
        <v>1250000</v>
      </c>
    </row>
    <row r="268" spans="2:4" hidden="1" x14ac:dyDescent="0.2">
      <c r="B268" s="483" t="s">
        <v>815</v>
      </c>
      <c r="C268" s="483">
        <f>15000*25</f>
        <v>375000</v>
      </c>
    </row>
    <row r="269" spans="2:4" hidden="1" x14ac:dyDescent="0.2">
      <c r="B269" s="46" t="s">
        <v>831</v>
      </c>
      <c r="C269" s="483">
        <f>25000*25</f>
        <v>625000</v>
      </c>
    </row>
    <row r="270" spans="2:4" hidden="1" x14ac:dyDescent="0.2">
      <c r="B270" s="478" t="s">
        <v>846</v>
      </c>
      <c r="C270" s="483">
        <v>600000</v>
      </c>
    </row>
    <row r="271" spans="2:4" hidden="1" x14ac:dyDescent="0.2">
      <c r="B271" s="483" t="s">
        <v>847</v>
      </c>
      <c r="C271" s="483">
        <f>30*40000</f>
        <v>1200000</v>
      </c>
    </row>
    <row r="272" spans="2:4" hidden="1" x14ac:dyDescent="0.2">
      <c r="B272" s="103" t="s">
        <v>848</v>
      </c>
      <c r="C272" s="478">
        <v>250000</v>
      </c>
    </row>
    <row r="273" spans="2:3" hidden="1" x14ac:dyDescent="0.2">
      <c r="B273" s="103" t="s">
        <v>849</v>
      </c>
      <c r="C273" s="478">
        <v>300000</v>
      </c>
    </row>
    <row r="274" spans="2:3" ht="15" hidden="1" x14ac:dyDescent="0.25">
      <c r="B274" s="484" t="s">
        <v>817</v>
      </c>
      <c r="C274" s="484">
        <f>SUM(C267:C273)</f>
        <v>4600000</v>
      </c>
    </row>
    <row r="275" spans="2:3" hidden="1" x14ac:dyDescent="0.2"/>
    <row r="276" spans="2:3" ht="27" customHeight="1" x14ac:dyDescent="0.25">
      <c r="B276" s="466" t="s">
        <v>1224</v>
      </c>
      <c r="C276" s="40" t="s">
        <v>814</v>
      </c>
    </row>
    <row r="277" spans="2:3" x14ac:dyDescent="0.2">
      <c r="B277" s="103" t="s">
        <v>815</v>
      </c>
      <c r="C277" s="478">
        <f>15000*20</f>
        <v>300000</v>
      </c>
    </row>
    <row r="278" spans="2:3" x14ac:dyDescent="0.2">
      <c r="B278" s="103" t="s">
        <v>816</v>
      </c>
      <c r="C278" s="478">
        <v>200000</v>
      </c>
    </row>
    <row r="279" spans="2:3" ht="15" x14ac:dyDescent="0.25">
      <c r="B279" s="479" t="s">
        <v>817</v>
      </c>
      <c r="C279" s="480">
        <f>C277+C278</f>
        <v>500000</v>
      </c>
    </row>
    <row r="280" spans="2:3" ht="15" x14ac:dyDescent="0.25">
      <c r="B280" s="479" t="s">
        <v>1225</v>
      </c>
      <c r="C280" s="480">
        <f>C279*20%</f>
        <v>100000</v>
      </c>
    </row>
    <row r="282" spans="2:3" ht="39" customHeight="1" x14ac:dyDescent="0.25">
      <c r="B282" s="655" t="s">
        <v>1227</v>
      </c>
      <c r="C282" s="466" t="s">
        <v>819</v>
      </c>
    </row>
    <row r="283" spans="2:3" x14ac:dyDescent="0.2">
      <c r="B283" s="103" t="s">
        <v>820</v>
      </c>
      <c r="C283" s="478">
        <v>500000</v>
      </c>
    </row>
    <row r="284" spans="2:3" x14ac:dyDescent="0.2">
      <c r="B284" s="103" t="s">
        <v>815</v>
      </c>
      <c r="C284" s="478">
        <f>15000*40</f>
        <v>600000</v>
      </c>
    </row>
    <row r="285" spans="2:3" x14ac:dyDescent="0.2">
      <c r="B285" s="656" t="s">
        <v>821</v>
      </c>
      <c r="C285" s="478">
        <f>2500*40</f>
        <v>100000</v>
      </c>
    </row>
    <row r="286" spans="2:3" x14ac:dyDescent="0.2">
      <c r="B286" s="103" t="s">
        <v>822</v>
      </c>
      <c r="C286" s="478">
        <f>25000*40</f>
        <v>1000000</v>
      </c>
    </row>
    <row r="287" spans="2:3" x14ac:dyDescent="0.2">
      <c r="B287" s="103" t="s">
        <v>823</v>
      </c>
      <c r="C287" s="478">
        <v>100000</v>
      </c>
    </row>
    <row r="288" spans="2:3" ht="15" x14ac:dyDescent="0.25">
      <c r="B288" s="466" t="s">
        <v>824</v>
      </c>
      <c r="C288" s="480">
        <f>SUM(C283:C287)</f>
        <v>2300000</v>
      </c>
    </row>
    <row r="289" spans="1:6" ht="15" x14ac:dyDescent="0.25">
      <c r="B289" s="466" t="s">
        <v>1228</v>
      </c>
      <c r="C289" s="480">
        <f>C288*20%</f>
        <v>460000</v>
      </c>
    </row>
    <row r="292" spans="1:6" ht="15" x14ac:dyDescent="0.25">
      <c r="B292" s="485" t="s">
        <v>850</v>
      </c>
      <c r="D292" s="40"/>
      <c r="F292" s="432"/>
    </row>
    <row r="293" spans="1:6" ht="15" x14ac:dyDescent="0.25">
      <c r="B293" s="486" t="s">
        <v>851</v>
      </c>
      <c r="C293" s="487" t="s">
        <v>852</v>
      </c>
      <c r="D293" s="487" t="s">
        <v>853</v>
      </c>
      <c r="F293" s="432"/>
    </row>
    <row r="294" spans="1:6" x14ac:dyDescent="0.2">
      <c r="B294" s="431">
        <v>2022</v>
      </c>
      <c r="C294" s="53">
        <v>3913.49</v>
      </c>
      <c r="D294" s="53">
        <v>4394.3</v>
      </c>
      <c r="F294" s="432"/>
    </row>
    <row r="295" spans="1:6" x14ac:dyDescent="0.2">
      <c r="B295" s="431">
        <v>2021</v>
      </c>
      <c r="C295" s="53">
        <v>3743.09</v>
      </c>
      <c r="D295" s="53">
        <v>4419.5600000000004</v>
      </c>
    </row>
    <row r="296" spans="1:6" x14ac:dyDescent="0.2">
      <c r="B296" s="431">
        <v>2020</v>
      </c>
      <c r="C296" s="53">
        <v>3693.36</v>
      </c>
      <c r="D296" s="53">
        <v>4214.03</v>
      </c>
    </row>
    <row r="297" spans="1:6" ht="15" x14ac:dyDescent="0.25">
      <c r="B297" s="488" t="s">
        <v>854</v>
      </c>
      <c r="C297" s="489">
        <f>AVERAGE(C294:C296)</f>
        <v>3783.3133333333335</v>
      </c>
      <c r="D297" s="489">
        <f>AVERAGE(D294:D296)</f>
        <v>4342.63</v>
      </c>
    </row>
    <row r="298" spans="1:6" ht="15" x14ac:dyDescent="0.25">
      <c r="B298" s="840" t="s">
        <v>1231</v>
      </c>
      <c r="C298" s="841"/>
      <c r="D298" s="841"/>
    </row>
    <row r="300" spans="1:6" ht="15" x14ac:dyDescent="0.25">
      <c r="B300" s="485" t="s">
        <v>855</v>
      </c>
      <c r="C300" s="490"/>
      <c r="D300" s="490"/>
    </row>
    <row r="301" spans="1:6" ht="15" x14ac:dyDescent="0.2">
      <c r="A301" s="40"/>
      <c r="B301" s="491" t="s">
        <v>856</v>
      </c>
      <c r="C301" s="492" t="s">
        <v>54</v>
      </c>
      <c r="D301" s="425"/>
    </row>
    <row r="302" spans="1:6" x14ac:dyDescent="0.2">
      <c r="A302" s="40"/>
      <c r="B302" s="103" t="s">
        <v>857</v>
      </c>
      <c r="C302" s="493">
        <f>C323</f>
        <v>9200000</v>
      </c>
      <c r="D302" s="425"/>
    </row>
    <row r="303" spans="1:6" ht="15" customHeight="1" x14ac:dyDescent="0.2">
      <c r="A303" s="40"/>
      <c r="B303" s="103" t="s">
        <v>858</v>
      </c>
      <c r="C303" s="493">
        <f>C331</f>
        <v>150000</v>
      </c>
      <c r="D303" s="425"/>
    </row>
    <row r="304" spans="1:6" x14ac:dyDescent="0.2">
      <c r="A304" s="40"/>
      <c r="B304" s="103" t="s">
        <v>859</v>
      </c>
      <c r="C304" s="493">
        <f>C335</f>
        <v>15000000</v>
      </c>
      <c r="D304" s="425"/>
    </row>
    <row r="305" spans="1:8" x14ac:dyDescent="0.2">
      <c r="A305" s="40"/>
      <c r="B305" s="103" t="s">
        <v>860</v>
      </c>
      <c r="C305" s="493">
        <f>C336</f>
        <v>8000000</v>
      </c>
      <c r="D305" s="425"/>
    </row>
    <row r="306" spans="1:8" ht="14.1" customHeight="1" x14ac:dyDescent="0.2">
      <c r="A306" s="40"/>
      <c r="B306" s="48" t="s">
        <v>861</v>
      </c>
      <c r="C306" s="494">
        <v>20000000</v>
      </c>
      <c r="D306" s="425"/>
    </row>
    <row r="307" spans="1:8" x14ac:dyDescent="0.2">
      <c r="A307" s="40"/>
      <c r="B307" s="48" t="s">
        <v>862</v>
      </c>
      <c r="C307" s="494">
        <f>C341</f>
        <v>4000000</v>
      </c>
      <c r="D307" s="425"/>
    </row>
    <row r="308" spans="1:8" x14ac:dyDescent="0.2">
      <c r="A308" s="40"/>
      <c r="B308" s="48" t="s">
        <v>863</v>
      </c>
      <c r="C308" s="495">
        <f>C345</f>
        <v>1000000</v>
      </c>
      <c r="D308" s="425"/>
    </row>
    <row r="309" spans="1:8" x14ac:dyDescent="0.2">
      <c r="A309" s="40"/>
      <c r="B309" s="48" t="s">
        <v>864</v>
      </c>
      <c r="C309" s="430">
        <f>E355</f>
        <v>217000000</v>
      </c>
      <c r="D309" s="425"/>
    </row>
    <row r="310" spans="1:8" x14ac:dyDescent="0.2">
      <c r="A310" s="40"/>
      <c r="B310" s="48" t="s">
        <v>865</v>
      </c>
      <c r="C310" s="493">
        <f>E365</f>
        <v>125500000</v>
      </c>
      <c r="D310" s="425"/>
    </row>
    <row r="311" spans="1:8" x14ac:dyDescent="0.2">
      <c r="A311" s="40"/>
      <c r="B311" s="103" t="s">
        <v>866</v>
      </c>
      <c r="C311" s="493">
        <f>E377</f>
        <v>142800000</v>
      </c>
      <c r="D311" s="425"/>
    </row>
    <row r="312" spans="1:8" x14ac:dyDescent="0.2">
      <c r="A312" s="40"/>
      <c r="B312" s="48" t="s">
        <v>867</v>
      </c>
      <c r="C312" s="496">
        <f>C393</f>
        <v>3500000</v>
      </c>
      <c r="D312" s="425"/>
    </row>
    <row r="313" spans="1:8" x14ac:dyDescent="0.2">
      <c r="A313" s="40"/>
      <c r="B313" s="48" t="s">
        <v>868</v>
      </c>
      <c r="C313" s="493">
        <f>C394</f>
        <v>1500000</v>
      </c>
      <c r="D313" s="425"/>
    </row>
    <row r="314" spans="1:8" x14ac:dyDescent="0.2">
      <c r="A314" s="40"/>
      <c r="B314" s="103" t="str">
        <f>B398</f>
        <v>m. Plan de Medios radial Nacional</v>
      </c>
      <c r="C314" s="493">
        <f>E402</f>
        <v>83600000</v>
      </c>
      <c r="D314" s="425"/>
    </row>
    <row r="315" spans="1:8" ht="12.95" customHeight="1" x14ac:dyDescent="0.2">
      <c r="A315" s="40"/>
      <c r="B315" s="103" t="str">
        <f>B404</f>
        <v>n. Plan de Medios radial regional</v>
      </c>
      <c r="C315" s="493">
        <f>E408</f>
        <v>14500000</v>
      </c>
      <c r="D315" s="425"/>
    </row>
    <row r="316" spans="1:8" x14ac:dyDescent="0.2">
      <c r="D316" s="425"/>
    </row>
    <row r="317" spans="1:8" x14ac:dyDescent="0.2">
      <c r="D317" s="425"/>
      <c r="E317" s="42"/>
      <c r="F317" s="42"/>
      <c r="G317" s="42"/>
      <c r="H317" s="42"/>
    </row>
    <row r="318" spans="1:8" ht="15" x14ac:dyDescent="0.25">
      <c r="B318" s="497" t="s">
        <v>869</v>
      </c>
      <c r="C318" s="498"/>
      <c r="D318" s="425"/>
      <c r="E318" s="425"/>
      <c r="F318" s="425"/>
      <c r="G318" s="425"/>
      <c r="H318" s="425"/>
    </row>
    <row r="319" spans="1:8" ht="15" x14ac:dyDescent="0.25">
      <c r="B319" s="499"/>
      <c r="C319" s="499" t="s">
        <v>54</v>
      </c>
      <c r="D319" s="425"/>
      <c r="E319" s="425"/>
      <c r="F319" s="425"/>
      <c r="G319" s="425"/>
      <c r="H319" s="425"/>
    </row>
    <row r="320" spans="1:8" x14ac:dyDescent="0.2">
      <c r="B320" s="103" t="s">
        <v>870</v>
      </c>
      <c r="C320" s="478">
        <v>5900000</v>
      </c>
      <c r="D320" s="425"/>
      <c r="E320" s="425"/>
      <c r="F320" s="425"/>
      <c r="G320" s="425"/>
      <c r="H320" s="425"/>
    </row>
    <row r="321" spans="2:8" x14ac:dyDescent="0.2">
      <c r="B321" s="103" t="s">
        <v>871</v>
      </c>
      <c r="C321" s="478">
        <v>15400000</v>
      </c>
      <c r="D321" s="425"/>
      <c r="E321" s="425"/>
      <c r="F321" s="425"/>
      <c r="G321" s="425"/>
      <c r="H321" s="425"/>
    </row>
    <row r="322" spans="2:8" x14ac:dyDescent="0.2">
      <c r="B322" s="103" t="s">
        <v>872</v>
      </c>
      <c r="C322" s="478">
        <v>6300000</v>
      </c>
      <c r="D322" s="425"/>
      <c r="E322" s="425"/>
      <c r="F322" s="425"/>
      <c r="G322" s="425"/>
      <c r="H322" s="425"/>
    </row>
    <row r="323" spans="2:8" ht="15" x14ac:dyDescent="0.25">
      <c r="B323" s="424" t="s">
        <v>57</v>
      </c>
      <c r="C323" s="500">
        <f>AVERAGE(C320:C322)</f>
        <v>9200000</v>
      </c>
      <c r="D323" s="425"/>
      <c r="E323" s="425"/>
      <c r="F323" s="425"/>
      <c r="G323" s="425"/>
      <c r="H323" s="425"/>
    </row>
    <row r="324" spans="2:8" x14ac:dyDescent="0.2">
      <c r="B324" s="101" t="s">
        <v>873</v>
      </c>
      <c r="C324" s="432"/>
      <c r="H324" s="42"/>
    </row>
    <row r="325" spans="2:8" x14ac:dyDescent="0.2">
      <c r="D325" s="425"/>
      <c r="E325" s="42"/>
      <c r="F325" s="42"/>
      <c r="G325" s="42"/>
      <c r="H325" s="42"/>
    </row>
    <row r="326" spans="2:8" x14ac:dyDescent="0.2">
      <c r="C326" s="432"/>
      <c r="F326" s="42"/>
      <c r="G326" s="42"/>
      <c r="H326" s="42"/>
    </row>
    <row r="327" spans="2:8" ht="15" x14ac:dyDescent="0.25">
      <c r="B327" s="842" t="s">
        <v>874</v>
      </c>
      <c r="C327" s="842"/>
      <c r="D327" s="425"/>
      <c r="E327" s="425"/>
      <c r="F327" s="425"/>
      <c r="G327" s="42"/>
      <c r="H327" s="42"/>
    </row>
    <row r="328" spans="2:8" ht="15" x14ac:dyDescent="0.25">
      <c r="B328" s="501" t="s">
        <v>875</v>
      </c>
      <c r="C328" s="501" t="s">
        <v>54</v>
      </c>
      <c r="D328" s="425"/>
      <c r="E328" s="425"/>
      <c r="F328" s="425"/>
    </row>
    <row r="329" spans="2:8" x14ac:dyDescent="0.2">
      <c r="B329" s="48" t="s">
        <v>876</v>
      </c>
      <c r="C329" s="496">
        <v>130000</v>
      </c>
      <c r="D329" s="425"/>
      <c r="E329" s="425"/>
      <c r="F329" s="425"/>
    </row>
    <row r="330" spans="2:8" x14ac:dyDescent="0.2">
      <c r="B330" s="103" t="s">
        <v>877</v>
      </c>
      <c r="C330" s="493">
        <v>170000</v>
      </c>
      <c r="D330" s="425"/>
      <c r="E330" s="425"/>
      <c r="F330" s="425"/>
    </row>
    <row r="331" spans="2:8" ht="15" x14ac:dyDescent="0.25">
      <c r="B331" s="424" t="s">
        <v>878</v>
      </c>
      <c r="C331" s="502">
        <f>AVERAGE(C329:C330)</f>
        <v>150000</v>
      </c>
      <c r="D331" s="425"/>
      <c r="E331" s="425"/>
      <c r="F331" s="425"/>
    </row>
    <row r="332" spans="2:8" x14ac:dyDescent="0.2">
      <c r="B332" s="101" t="s">
        <v>873</v>
      </c>
    </row>
    <row r="333" spans="2:8" x14ac:dyDescent="0.2">
      <c r="B333" s="42"/>
      <c r="C333" s="42"/>
      <c r="D333" s="42"/>
      <c r="E333" s="42"/>
    </row>
    <row r="334" spans="2:8" ht="15" x14ac:dyDescent="0.25">
      <c r="B334" s="503" t="s">
        <v>879</v>
      </c>
      <c r="C334" s="503" t="s">
        <v>54</v>
      </c>
      <c r="D334" s="42"/>
      <c r="E334" s="42"/>
    </row>
    <row r="335" spans="2:8" x14ac:dyDescent="0.2">
      <c r="B335" s="103" t="s">
        <v>880</v>
      </c>
      <c r="C335" s="504">
        <v>15000000</v>
      </c>
      <c r="D335" s="42"/>
      <c r="E335" s="42"/>
    </row>
    <row r="336" spans="2:8" x14ac:dyDescent="0.2">
      <c r="B336" s="103" t="s">
        <v>881</v>
      </c>
      <c r="C336" s="504">
        <v>8000000</v>
      </c>
      <c r="D336" s="42"/>
      <c r="E336" s="42"/>
    </row>
    <row r="337" spans="2:5" x14ac:dyDescent="0.2">
      <c r="B337" s="843" t="s">
        <v>882</v>
      </c>
      <c r="C337" s="843"/>
      <c r="D337" s="42"/>
      <c r="E337" s="42"/>
    </row>
    <row r="338" spans="2:5" x14ac:dyDescent="0.2">
      <c r="B338" s="505"/>
      <c r="C338" s="505"/>
      <c r="D338" s="42"/>
      <c r="E338" s="42"/>
    </row>
    <row r="339" spans="2:5" ht="15" x14ac:dyDescent="0.25">
      <c r="B339" s="503" t="s">
        <v>883</v>
      </c>
      <c r="C339" s="503" t="s">
        <v>54</v>
      </c>
      <c r="D339" s="42"/>
      <c r="E339" s="42"/>
    </row>
    <row r="340" spans="2:5" x14ac:dyDescent="0.2">
      <c r="B340" s="48" t="s">
        <v>861</v>
      </c>
      <c r="C340" s="506">
        <v>10000000</v>
      </c>
      <c r="D340" s="42"/>
      <c r="E340" s="42"/>
    </row>
    <row r="341" spans="2:5" x14ac:dyDescent="0.2">
      <c r="B341" s="48" t="s">
        <v>862</v>
      </c>
      <c r="C341" s="506">
        <v>4000000</v>
      </c>
      <c r="D341" s="42"/>
      <c r="E341" s="42"/>
    </row>
    <row r="342" spans="2:5" x14ac:dyDescent="0.2">
      <c r="B342" s="826" t="s">
        <v>884</v>
      </c>
      <c r="C342" s="826"/>
      <c r="D342" s="42"/>
      <c r="E342" s="42"/>
    </row>
    <row r="343" spans="2:5" x14ac:dyDescent="0.2">
      <c r="B343" s="507"/>
      <c r="C343" s="507"/>
      <c r="D343" s="42"/>
      <c r="E343" s="42"/>
    </row>
    <row r="344" spans="2:5" ht="15" x14ac:dyDescent="0.25">
      <c r="B344" s="503" t="s">
        <v>885</v>
      </c>
      <c r="C344" s="503" t="s">
        <v>54</v>
      </c>
      <c r="D344" s="42"/>
      <c r="E344" s="42"/>
    </row>
    <row r="345" spans="2:5" x14ac:dyDescent="0.2">
      <c r="B345" s="48" t="s">
        <v>863</v>
      </c>
      <c r="C345" s="506">
        <v>1000000</v>
      </c>
      <c r="D345" s="42"/>
      <c r="E345" s="42"/>
    </row>
    <row r="346" spans="2:5" x14ac:dyDescent="0.2">
      <c r="B346" s="505" t="s">
        <v>886</v>
      </c>
      <c r="C346" s="505"/>
      <c r="D346" s="42"/>
      <c r="E346" s="42"/>
    </row>
    <row r="347" spans="2:5" x14ac:dyDescent="0.2">
      <c r="B347" s="505"/>
      <c r="C347" s="505"/>
      <c r="D347" s="42"/>
      <c r="E347" s="42"/>
    </row>
    <row r="348" spans="2:5" ht="15" x14ac:dyDescent="0.25">
      <c r="B348" s="466" t="s">
        <v>887</v>
      </c>
      <c r="C348" s="508" t="s">
        <v>58</v>
      </c>
      <c r="D348" s="508" t="s">
        <v>54</v>
      </c>
      <c r="E348" s="508" t="s">
        <v>32</v>
      </c>
    </row>
    <row r="349" spans="2:5" x14ac:dyDescent="0.2">
      <c r="B349" s="478" t="s">
        <v>888</v>
      </c>
      <c r="C349" s="478">
        <v>4</v>
      </c>
      <c r="D349" s="478">
        <f>5000000</f>
        <v>5000000</v>
      </c>
      <c r="E349" s="478">
        <f t="shared" ref="E349:E354" si="0">C349*D349</f>
        <v>20000000</v>
      </c>
    </row>
    <row r="350" spans="2:5" x14ac:dyDescent="0.2">
      <c r="B350" s="478" t="s">
        <v>889</v>
      </c>
      <c r="C350" s="478">
        <v>2000</v>
      </c>
      <c r="D350" s="478">
        <v>500</v>
      </c>
      <c r="E350" s="478">
        <f t="shared" si="0"/>
        <v>1000000</v>
      </c>
    </row>
    <row r="351" spans="2:5" x14ac:dyDescent="0.2">
      <c r="B351" s="478" t="s">
        <v>890</v>
      </c>
      <c r="C351" s="478">
        <v>5</v>
      </c>
      <c r="D351" s="478">
        <f>C302</f>
        <v>9200000</v>
      </c>
      <c r="E351" s="478">
        <f t="shared" si="0"/>
        <v>46000000</v>
      </c>
    </row>
    <row r="352" spans="2:5" x14ac:dyDescent="0.2">
      <c r="B352" s="478" t="s">
        <v>891</v>
      </c>
      <c r="C352" s="478">
        <v>2</v>
      </c>
      <c r="D352" s="478">
        <f>C306</f>
        <v>20000000</v>
      </c>
      <c r="E352" s="478">
        <f t="shared" si="0"/>
        <v>40000000</v>
      </c>
    </row>
    <row r="353" spans="2:5" x14ac:dyDescent="0.2">
      <c r="B353" s="478" t="s">
        <v>59</v>
      </c>
      <c r="C353" s="478">
        <v>1</v>
      </c>
      <c r="D353" s="478">
        <v>50000000</v>
      </c>
      <c r="E353" s="478">
        <f t="shared" si="0"/>
        <v>50000000</v>
      </c>
    </row>
    <row r="354" spans="2:5" x14ac:dyDescent="0.2">
      <c r="B354" s="103" t="s">
        <v>879</v>
      </c>
      <c r="C354" s="478">
        <v>4</v>
      </c>
      <c r="D354" s="478">
        <f>C304</f>
        <v>15000000</v>
      </c>
      <c r="E354" s="478">
        <f t="shared" si="0"/>
        <v>60000000</v>
      </c>
    </row>
    <row r="355" spans="2:5" ht="15" x14ac:dyDescent="0.25">
      <c r="B355" s="509" t="s">
        <v>892</v>
      </c>
      <c r="C355" s="509"/>
      <c r="D355" s="509"/>
      <c r="E355" s="510">
        <f>SUM(E349:E354)</f>
        <v>217000000</v>
      </c>
    </row>
    <row r="356" spans="2:5" s="102" customFormat="1" ht="15" x14ac:dyDescent="0.25">
      <c r="B356" s="49" t="s">
        <v>893</v>
      </c>
      <c r="C356" s="49"/>
      <c r="D356" s="49"/>
      <c r="E356" s="511" t="s">
        <v>894</v>
      </c>
    </row>
    <row r="357" spans="2:5" x14ac:dyDescent="0.2">
      <c r="B357" s="505"/>
      <c r="C357" s="505"/>
      <c r="D357" s="42"/>
      <c r="E357" s="42"/>
    </row>
    <row r="358" spans="2:5" ht="15" x14ac:dyDescent="0.25">
      <c r="B358" s="466" t="s">
        <v>895</v>
      </c>
      <c r="C358" s="508" t="s">
        <v>58</v>
      </c>
      <c r="D358" s="508" t="s">
        <v>54</v>
      </c>
      <c r="E358" s="508" t="s">
        <v>32</v>
      </c>
    </row>
    <row r="359" spans="2:5" x14ac:dyDescent="0.2">
      <c r="B359" s="478" t="s">
        <v>888</v>
      </c>
      <c r="C359" s="478">
        <v>2</v>
      </c>
      <c r="D359" s="478">
        <v>5000000</v>
      </c>
      <c r="E359" s="478">
        <f t="shared" ref="E359:E364" si="1">C359*D359</f>
        <v>10000000</v>
      </c>
    </row>
    <row r="360" spans="2:5" x14ac:dyDescent="0.2">
      <c r="B360" s="478" t="s">
        <v>889</v>
      </c>
      <c r="C360" s="478">
        <v>10000</v>
      </c>
      <c r="D360" s="478">
        <v>500</v>
      </c>
      <c r="E360" s="478">
        <f t="shared" si="1"/>
        <v>5000000</v>
      </c>
    </row>
    <row r="361" spans="2:5" x14ac:dyDescent="0.2">
      <c r="B361" s="478" t="s">
        <v>896</v>
      </c>
      <c r="C361" s="478">
        <v>30</v>
      </c>
      <c r="D361" s="478">
        <f>C303</f>
        <v>150000</v>
      </c>
      <c r="E361" s="478">
        <f t="shared" si="1"/>
        <v>4500000</v>
      </c>
    </row>
    <row r="362" spans="2:5" x14ac:dyDescent="0.2">
      <c r="B362" s="478" t="s">
        <v>59</v>
      </c>
      <c r="C362" s="478">
        <v>4</v>
      </c>
      <c r="D362" s="478">
        <v>5000000</v>
      </c>
      <c r="E362" s="478">
        <f t="shared" si="1"/>
        <v>20000000</v>
      </c>
    </row>
    <row r="363" spans="2:5" x14ac:dyDescent="0.2">
      <c r="B363" s="478" t="s">
        <v>897</v>
      </c>
      <c r="C363" s="478">
        <v>12</v>
      </c>
      <c r="D363" s="478">
        <f>C307</f>
        <v>4000000</v>
      </c>
      <c r="E363" s="478">
        <f t="shared" si="1"/>
        <v>48000000</v>
      </c>
    </row>
    <row r="364" spans="2:5" x14ac:dyDescent="0.2">
      <c r="B364" s="103" t="s">
        <v>898</v>
      </c>
      <c r="C364" s="478">
        <v>6</v>
      </c>
      <c r="D364" s="512">
        <f>C305</f>
        <v>8000000</v>
      </c>
      <c r="E364" s="478">
        <f t="shared" si="1"/>
        <v>48000000</v>
      </c>
    </row>
    <row r="365" spans="2:5" ht="15" x14ac:dyDescent="0.25">
      <c r="B365" s="509" t="s">
        <v>899</v>
      </c>
      <c r="C365" s="509"/>
      <c r="D365" s="509"/>
      <c r="E365" s="510">
        <f>SUM(E360:E364)</f>
        <v>125500000</v>
      </c>
    </row>
    <row r="366" spans="2:5" s="102" customFormat="1" ht="15" x14ac:dyDescent="0.25">
      <c r="B366" s="49" t="s">
        <v>900</v>
      </c>
      <c r="C366" s="49"/>
      <c r="D366" s="49"/>
      <c r="E366" s="511"/>
    </row>
    <row r="367" spans="2:5" x14ac:dyDescent="0.2">
      <c r="B367" s="505"/>
      <c r="C367" s="505"/>
      <c r="D367" s="42"/>
      <c r="E367" s="42"/>
    </row>
    <row r="368" spans="2:5" ht="15" x14ac:dyDescent="0.25">
      <c r="B368" s="845" t="s">
        <v>901</v>
      </c>
      <c r="C368" s="846"/>
    </row>
    <row r="369" spans="1:7" ht="15" x14ac:dyDescent="0.25">
      <c r="B369" s="509" t="s">
        <v>856</v>
      </c>
      <c r="C369" s="513" t="s">
        <v>58</v>
      </c>
      <c r="D369" s="513" t="s">
        <v>54</v>
      </c>
      <c r="E369" s="513" t="s">
        <v>32</v>
      </c>
    </row>
    <row r="370" spans="1:7" x14ac:dyDescent="0.2">
      <c r="B370" s="478" t="s">
        <v>888</v>
      </c>
      <c r="C370" s="478">
        <v>2</v>
      </c>
      <c r="D370" s="478">
        <v>5000000</v>
      </c>
      <c r="E370" s="478">
        <f t="shared" ref="E370:E376" si="2">C370*D370</f>
        <v>10000000</v>
      </c>
    </row>
    <row r="371" spans="1:7" x14ac:dyDescent="0.2">
      <c r="B371" s="478" t="s">
        <v>889</v>
      </c>
      <c r="C371" s="478">
        <v>2000</v>
      </c>
      <c r="D371" s="478">
        <v>500</v>
      </c>
      <c r="E371" s="478">
        <f t="shared" si="2"/>
        <v>1000000</v>
      </c>
    </row>
    <row r="372" spans="1:7" x14ac:dyDescent="0.2">
      <c r="B372" s="478" t="s">
        <v>902</v>
      </c>
      <c r="C372" s="478">
        <v>4</v>
      </c>
      <c r="D372" s="478">
        <f>C302</f>
        <v>9200000</v>
      </c>
      <c r="E372" s="478">
        <f t="shared" si="2"/>
        <v>36800000</v>
      </c>
    </row>
    <row r="373" spans="1:7" x14ac:dyDescent="0.2">
      <c r="B373" s="478" t="s">
        <v>59</v>
      </c>
      <c r="C373" s="478">
        <v>8</v>
      </c>
      <c r="D373" s="478">
        <v>5000000</v>
      </c>
      <c r="E373" s="478">
        <v>10000000</v>
      </c>
    </row>
    <row r="374" spans="1:7" x14ac:dyDescent="0.2">
      <c r="B374" s="478" t="s">
        <v>903</v>
      </c>
      <c r="C374" s="478">
        <v>2</v>
      </c>
      <c r="D374" s="478">
        <f>C306</f>
        <v>20000000</v>
      </c>
      <c r="E374" s="478">
        <f t="shared" si="2"/>
        <v>40000000</v>
      </c>
    </row>
    <row r="375" spans="1:7" x14ac:dyDescent="0.2">
      <c r="B375" s="103" t="s">
        <v>904</v>
      </c>
      <c r="C375" s="478">
        <v>2</v>
      </c>
      <c r="D375" s="512">
        <f>C335</f>
        <v>15000000</v>
      </c>
      <c r="E375" s="478">
        <f t="shared" si="2"/>
        <v>30000000</v>
      </c>
    </row>
    <row r="376" spans="1:7" x14ac:dyDescent="0.2">
      <c r="B376" s="103" t="s">
        <v>905</v>
      </c>
      <c r="C376" s="478">
        <v>1000</v>
      </c>
      <c r="D376" s="512">
        <v>15000</v>
      </c>
      <c r="E376" s="478">
        <f t="shared" si="2"/>
        <v>15000000</v>
      </c>
    </row>
    <row r="377" spans="1:7" ht="15" x14ac:dyDescent="0.25">
      <c r="B377" s="509" t="s">
        <v>906</v>
      </c>
      <c r="C377" s="509"/>
      <c r="D377" s="509"/>
      <c r="E377" s="510">
        <f>SUM(E370:E376)</f>
        <v>142800000</v>
      </c>
    </row>
    <row r="378" spans="1:7" s="102" customFormat="1" ht="15" x14ac:dyDescent="0.25">
      <c r="A378" s="101"/>
      <c r="B378" s="49" t="s">
        <v>907</v>
      </c>
      <c r="C378" s="101"/>
      <c r="D378" s="101"/>
      <c r="E378" s="101"/>
      <c r="F378" s="101"/>
    </row>
    <row r="379" spans="1:7" s="102" customFormat="1" x14ac:dyDescent="0.2">
      <c r="A379" s="101"/>
      <c r="B379" s="514"/>
      <c r="C379" s="515"/>
      <c r="D379" s="516"/>
      <c r="E379" s="516"/>
      <c r="F379" s="517"/>
      <c r="G379" s="517"/>
    </row>
    <row r="380" spans="1:7" ht="15" x14ac:dyDescent="0.25">
      <c r="B380" s="845" t="s">
        <v>908</v>
      </c>
      <c r="C380" s="846"/>
    </row>
    <row r="381" spans="1:7" ht="15" x14ac:dyDescent="0.25">
      <c r="B381" s="509" t="s">
        <v>856</v>
      </c>
      <c r="C381" s="513" t="s">
        <v>58</v>
      </c>
      <c r="D381" s="513" t="s">
        <v>54</v>
      </c>
      <c r="E381" s="513" t="s">
        <v>32</v>
      </c>
    </row>
    <row r="382" spans="1:7" x14ac:dyDescent="0.2">
      <c r="B382" s="478" t="s">
        <v>888</v>
      </c>
      <c r="C382" s="478">
        <v>2</v>
      </c>
      <c r="D382" s="478">
        <v>5000000</v>
      </c>
      <c r="E382" s="478">
        <f t="shared" ref="E382:E388" si="3">C382*D382</f>
        <v>10000000</v>
      </c>
    </row>
    <row r="383" spans="1:7" x14ac:dyDescent="0.2">
      <c r="B383" s="478" t="s">
        <v>889</v>
      </c>
      <c r="C383" s="478">
        <v>10000</v>
      </c>
      <c r="D383" s="478">
        <v>500</v>
      </c>
      <c r="E383" s="478">
        <f t="shared" si="3"/>
        <v>5000000</v>
      </c>
    </row>
    <row r="384" spans="1:7" x14ac:dyDescent="0.2">
      <c r="B384" s="478" t="s">
        <v>909</v>
      </c>
      <c r="C384" s="478">
        <v>20</v>
      </c>
      <c r="D384" s="478">
        <f>C303</f>
        <v>150000</v>
      </c>
      <c r="E384" s="478">
        <f t="shared" si="3"/>
        <v>3000000</v>
      </c>
    </row>
    <row r="385" spans="1:6" x14ac:dyDescent="0.2">
      <c r="B385" s="478" t="s">
        <v>59</v>
      </c>
      <c r="C385" s="478">
        <v>1</v>
      </c>
      <c r="D385" s="478">
        <v>5000000</v>
      </c>
      <c r="E385" s="478">
        <f t="shared" si="3"/>
        <v>5000000</v>
      </c>
    </row>
    <row r="386" spans="1:6" x14ac:dyDescent="0.2">
      <c r="B386" s="478" t="s">
        <v>897</v>
      </c>
      <c r="C386" s="478">
        <v>12</v>
      </c>
      <c r="D386" s="478">
        <f>C307</f>
        <v>4000000</v>
      </c>
      <c r="E386" s="478">
        <f t="shared" si="3"/>
        <v>48000000</v>
      </c>
    </row>
    <row r="387" spans="1:6" x14ac:dyDescent="0.2">
      <c r="B387" s="103" t="s">
        <v>910</v>
      </c>
      <c r="C387" s="478">
        <v>4</v>
      </c>
      <c r="D387" s="512">
        <f>C305</f>
        <v>8000000</v>
      </c>
      <c r="E387" s="478">
        <f t="shared" si="3"/>
        <v>32000000</v>
      </c>
    </row>
    <row r="388" spans="1:6" x14ac:dyDescent="0.2">
      <c r="B388" s="103" t="s">
        <v>905</v>
      </c>
      <c r="C388" s="478">
        <v>500</v>
      </c>
      <c r="D388" s="512">
        <v>15000</v>
      </c>
      <c r="E388" s="478">
        <f t="shared" si="3"/>
        <v>7500000</v>
      </c>
    </row>
    <row r="389" spans="1:6" ht="15" x14ac:dyDescent="0.25">
      <c r="B389" s="509" t="s">
        <v>906</v>
      </c>
      <c r="C389" s="509"/>
      <c r="D389" s="509"/>
      <c r="E389" s="510">
        <f>SUM(E382:E388)</f>
        <v>110500000</v>
      </c>
    </row>
    <row r="390" spans="1:6" s="102" customFormat="1" ht="15" x14ac:dyDescent="0.25">
      <c r="A390" s="101"/>
      <c r="B390" s="49" t="s">
        <v>907</v>
      </c>
      <c r="C390" s="101"/>
      <c r="D390" s="101"/>
      <c r="E390" s="101"/>
      <c r="F390" s="101"/>
    </row>
    <row r="391" spans="1:6" s="102" customFormat="1" ht="15" x14ac:dyDescent="0.25">
      <c r="A391" s="101"/>
      <c r="B391" s="49"/>
      <c r="C391" s="101"/>
      <c r="D391" s="101"/>
      <c r="E391" s="101"/>
      <c r="F391" s="101"/>
    </row>
    <row r="392" spans="1:6" s="102" customFormat="1" ht="15" x14ac:dyDescent="0.25">
      <c r="A392" s="101"/>
      <c r="B392" s="466" t="s">
        <v>1238</v>
      </c>
      <c r="C392" s="508" t="s">
        <v>54</v>
      </c>
      <c r="D392" s="516"/>
      <c r="E392" s="516"/>
      <c r="F392" s="101"/>
    </row>
    <row r="393" spans="1:6" s="102" customFormat="1" x14ac:dyDescent="0.2">
      <c r="A393" s="101"/>
      <c r="B393" s="448" t="s">
        <v>911</v>
      </c>
      <c r="C393" s="478">
        <v>3500000</v>
      </c>
      <c r="D393" s="516"/>
      <c r="E393" s="516"/>
      <c r="F393" s="101"/>
    </row>
    <row r="394" spans="1:6" s="102" customFormat="1" x14ac:dyDescent="0.2">
      <c r="A394" s="101"/>
      <c r="B394" s="103" t="s">
        <v>912</v>
      </c>
      <c r="C394" s="478">
        <v>1500000</v>
      </c>
      <c r="D394" s="516"/>
      <c r="E394" s="516"/>
      <c r="F394" s="101"/>
    </row>
    <row r="395" spans="1:6" s="102" customFormat="1" x14ac:dyDescent="0.2">
      <c r="A395" s="101"/>
      <c r="B395" s="828" t="s">
        <v>913</v>
      </c>
      <c r="C395" s="828"/>
      <c r="D395" s="516"/>
      <c r="E395" s="516"/>
      <c r="F395" s="101"/>
    </row>
    <row r="396" spans="1:6" s="102" customFormat="1" x14ac:dyDescent="0.2">
      <c r="A396" s="101"/>
      <c r="B396" s="42"/>
      <c r="C396" s="42"/>
      <c r="D396" s="516"/>
      <c r="E396" s="516"/>
      <c r="F396" s="101"/>
    </row>
    <row r="397" spans="1:6" s="102" customFormat="1" x14ac:dyDescent="0.2">
      <c r="A397" s="101"/>
      <c r="B397" s="42"/>
      <c r="C397" s="42"/>
      <c r="D397" s="516"/>
      <c r="E397" s="516"/>
      <c r="F397" s="101"/>
    </row>
    <row r="398" spans="1:6" s="102" customFormat="1" ht="15" x14ac:dyDescent="0.25">
      <c r="A398" s="101"/>
      <c r="B398" s="845" t="s">
        <v>914</v>
      </c>
      <c r="C398" s="846"/>
      <c r="D398" s="101"/>
      <c r="E398" s="101"/>
      <c r="F398" s="101"/>
    </row>
    <row r="399" spans="1:6" s="102" customFormat="1" ht="15" x14ac:dyDescent="0.25">
      <c r="A399" s="101"/>
      <c r="B399" s="509" t="s">
        <v>915</v>
      </c>
      <c r="C399" s="513" t="s">
        <v>58</v>
      </c>
      <c r="D399" s="513" t="s">
        <v>54</v>
      </c>
      <c r="E399" s="513" t="s">
        <v>32</v>
      </c>
      <c r="F399" s="101"/>
    </row>
    <row r="400" spans="1:6" s="102" customFormat="1" x14ac:dyDescent="0.2">
      <c r="A400" s="101"/>
      <c r="B400" s="448" t="s">
        <v>916</v>
      </c>
      <c r="C400" s="478">
        <v>8</v>
      </c>
      <c r="D400" s="478">
        <f>D351</f>
        <v>9200000</v>
      </c>
      <c r="E400" s="478">
        <f>C400*D400</f>
        <v>73600000</v>
      </c>
      <c r="F400" s="101"/>
    </row>
    <row r="401" spans="1:7" s="102" customFormat="1" x14ac:dyDescent="0.2">
      <c r="A401" s="101"/>
      <c r="B401" s="448" t="s">
        <v>59</v>
      </c>
      <c r="C401" s="478">
        <v>1</v>
      </c>
      <c r="D401" s="478">
        <v>10000000</v>
      </c>
      <c r="E401" s="478">
        <f>C401*D401</f>
        <v>10000000</v>
      </c>
      <c r="F401" s="101"/>
    </row>
    <row r="402" spans="1:7" s="102" customFormat="1" ht="15" x14ac:dyDescent="0.25">
      <c r="A402" s="101"/>
      <c r="B402" s="509" t="s">
        <v>917</v>
      </c>
      <c r="C402" s="101"/>
      <c r="D402" s="101"/>
      <c r="E402" s="510">
        <f>SUM(E400:E401)</f>
        <v>83600000</v>
      </c>
      <c r="F402" s="101"/>
    </row>
    <row r="403" spans="1:7" s="102" customFormat="1" ht="15" x14ac:dyDescent="0.25">
      <c r="B403" s="518"/>
      <c r="E403" s="511"/>
    </row>
    <row r="404" spans="1:7" s="102" customFormat="1" ht="15" x14ac:dyDescent="0.25">
      <c r="A404" s="101"/>
      <c r="B404" s="838" t="s">
        <v>918</v>
      </c>
      <c r="C404" s="839"/>
      <c r="D404" s="101"/>
      <c r="E404" s="101"/>
      <c r="F404" s="517"/>
      <c r="G404" s="517"/>
    </row>
    <row r="405" spans="1:7" s="102" customFormat="1" ht="15" x14ac:dyDescent="0.25">
      <c r="A405" s="101"/>
      <c r="B405" s="509" t="s">
        <v>915</v>
      </c>
      <c r="C405" s="513" t="s">
        <v>58</v>
      </c>
      <c r="D405" s="513" t="s">
        <v>54</v>
      </c>
      <c r="E405" s="513" t="s">
        <v>32</v>
      </c>
      <c r="F405" s="517"/>
      <c r="G405" s="517"/>
    </row>
    <row r="406" spans="1:7" s="102" customFormat="1" x14ac:dyDescent="0.2">
      <c r="A406" s="101"/>
      <c r="B406" s="478" t="s">
        <v>909</v>
      </c>
      <c r="C406" s="478">
        <v>30</v>
      </c>
      <c r="D406" s="478">
        <f>C303</f>
        <v>150000</v>
      </c>
      <c r="E406" s="478">
        <f>C406*D406</f>
        <v>4500000</v>
      </c>
      <c r="F406" s="517"/>
      <c r="G406" s="517"/>
    </row>
    <row r="407" spans="1:7" s="102" customFormat="1" x14ac:dyDescent="0.2">
      <c r="A407" s="101"/>
      <c r="B407" s="478" t="s">
        <v>59</v>
      </c>
      <c r="C407" s="478">
        <v>1</v>
      </c>
      <c r="D407" s="478">
        <v>10000000</v>
      </c>
      <c r="E407" s="478">
        <f>C407*D407</f>
        <v>10000000</v>
      </c>
      <c r="F407" s="42"/>
      <c r="G407" s="42"/>
    </row>
    <row r="408" spans="1:7" s="102" customFormat="1" ht="15" x14ac:dyDescent="0.25">
      <c r="A408" s="101"/>
      <c r="B408" s="509" t="s">
        <v>60</v>
      </c>
      <c r="C408" s="101"/>
      <c r="D408" s="101"/>
      <c r="E408" s="510">
        <f>SUM(E406:E407)</f>
        <v>14500000</v>
      </c>
      <c r="F408" s="101"/>
    </row>
    <row r="409" spans="1:7" s="102" customFormat="1" x14ac:dyDescent="0.2">
      <c r="A409" s="101"/>
      <c r="B409" s="515"/>
      <c r="C409" s="515"/>
      <c r="D409" s="516"/>
      <c r="E409" s="516"/>
      <c r="F409" s="42"/>
      <c r="G409" s="42"/>
    </row>
    <row r="410" spans="1:7" s="102" customFormat="1" ht="15" x14ac:dyDescent="0.25">
      <c r="A410" s="101"/>
      <c r="B410" s="838" t="s">
        <v>919</v>
      </c>
      <c r="C410" s="839"/>
      <c r="D410" s="101"/>
      <c r="E410" s="101"/>
      <c r="F410" s="517"/>
      <c r="G410" s="517"/>
    </row>
    <row r="411" spans="1:7" s="102" customFormat="1" ht="15" x14ac:dyDescent="0.25">
      <c r="A411" s="101"/>
      <c r="B411" s="509" t="s">
        <v>915</v>
      </c>
      <c r="C411" s="513" t="s">
        <v>58</v>
      </c>
      <c r="D411" s="513" t="s">
        <v>54</v>
      </c>
      <c r="E411" s="513" t="s">
        <v>32</v>
      </c>
      <c r="F411" s="517"/>
      <c r="G411" s="517"/>
    </row>
    <row r="412" spans="1:7" s="102" customFormat="1" x14ac:dyDescent="0.2">
      <c r="A412" s="101"/>
      <c r="B412" s="478" t="s">
        <v>916</v>
      </c>
      <c r="C412" s="478"/>
      <c r="D412" s="478"/>
      <c r="E412" s="478"/>
      <c r="F412" s="517"/>
      <c r="G412" s="517"/>
    </row>
    <row r="413" spans="1:7" s="102" customFormat="1" x14ac:dyDescent="0.2">
      <c r="A413" s="101"/>
      <c r="B413" s="478" t="s">
        <v>909</v>
      </c>
      <c r="C413" s="478">
        <v>30</v>
      </c>
      <c r="D413" s="478">
        <f>C309</f>
        <v>217000000</v>
      </c>
      <c r="E413" s="478">
        <f>C413*D413</f>
        <v>6510000000</v>
      </c>
      <c r="F413" s="517"/>
      <c r="G413" s="517"/>
    </row>
    <row r="414" spans="1:7" s="102" customFormat="1" x14ac:dyDescent="0.2">
      <c r="A414" s="101"/>
      <c r="B414" s="478"/>
      <c r="C414" s="478"/>
      <c r="D414" s="478"/>
      <c r="E414" s="478"/>
      <c r="F414" s="517"/>
      <c r="G414" s="517"/>
    </row>
    <row r="415" spans="1:7" s="102" customFormat="1" x14ac:dyDescent="0.2">
      <c r="A415" s="101"/>
      <c r="B415" s="478" t="s">
        <v>59</v>
      </c>
      <c r="C415" s="478">
        <v>1</v>
      </c>
      <c r="D415" s="478">
        <v>10000000</v>
      </c>
      <c r="E415" s="478">
        <f>C415*D415</f>
        <v>10000000</v>
      </c>
      <c r="F415" s="42"/>
      <c r="G415" s="42"/>
    </row>
    <row r="416" spans="1:7" s="102" customFormat="1" ht="15" x14ac:dyDescent="0.25">
      <c r="A416" s="101"/>
      <c r="B416" s="509" t="s">
        <v>60</v>
      </c>
      <c r="C416" s="101"/>
      <c r="D416" s="101"/>
      <c r="E416" s="510">
        <f>SUM(E413:E415)</f>
        <v>6520000000</v>
      </c>
      <c r="F416" s="101"/>
    </row>
    <row r="417" spans="1:17" s="102" customFormat="1" x14ac:dyDescent="0.2">
      <c r="A417" s="101"/>
      <c r="B417" s="42"/>
      <c r="C417" s="42"/>
      <c r="D417" s="516"/>
      <c r="E417" s="516"/>
      <c r="F417" s="101"/>
    </row>
    <row r="418" spans="1:17" s="102" customFormat="1" x14ac:dyDescent="0.2">
      <c r="A418" s="101"/>
      <c r="B418" s="42"/>
      <c r="C418" s="42"/>
      <c r="D418" s="516"/>
      <c r="E418" s="516"/>
      <c r="F418" s="101"/>
    </row>
    <row r="419" spans="1:17" s="102" customFormat="1" ht="15" x14ac:dyDescent="0.25">
      <c r="A419" s="101"/>
      <c r="B419" s="509" t="s">
        <v>920</v>
      </c>
      <c r="C419" s="101"/>
      <c r="D419" s="516"/>
      <c r="E419" s="516"/>
      <c r="F419" s="101"/>
    </row>
    <row r="420" spans="1:17" s="102" customFormat="1" x14ac:dyDescent="0.2">
      <c r="A420" s="101"/>
      <c r="B420" s="103" t="str">
        <f>B427</f>
        <v>a. Rueda de negocio nacional y regional presencial</v>
      </c>
      <c r="C420" s="478">
        <f>C437</f>
        <v>52200000</v>
      </c>
      <c r="D420" s="101"/>
      <c r="E420" s="101"/>
      <c r="F420" s="101"/>
    </row>
    <row r="421" spans="1:17" s="102" customFormat="1" x14ac:dyDescent="0.2">
      <c r="A421" s="101"/>
      <c r="B421" s="103" t="str">
        <f>B441</f>
        <v>b Rueda de negocio  virtual</v>
      </c>
      <c r="C421" s="478">
        <f>C445</f>
        <v>20000000</v>
      </c>
      <c r="D421" s="101"/>
      <c r="E421" s="101"/>
      <c r="F421" s="101"/>
    </row>
    <row r="422" spans="1:17" s="102" customFormat="1" x14ac:dyDescent="0.2">
      <c r="A422" s="101"/>
      <c r="B422" s="103" t="str">
        <f>B448</f>
        <v xml:space="preserve">c. Participación en ferias comerciales </v>
      </c>
      <c r="C422" s="512">
        <f>C452</f>
        <v>18000000</v>
      </c>
      <c r="D422" s="101"/>
      <c r="E422" s="101"/>
      <c r="F422" s="101"/>
    </row>
    <row r="423" spans="1:17" s="102" customFormat="1" x14ac:dyDescent="0.2">
      <c r="A423" s="101"/>
      <c r="B423" s="103" t="str">
        <f>B455</f>
        <v>d. Participación en ferias comerciales internacionales</v>
      </c>
      <c r="C423" s="512">
        <f>C460</f>
        <v>45000000</v>
      </c>
      <c r="D423" s="101"/>
      <c r="E423" s="101"/>
      <c r="F423" s="101"/>
    </row>
    <row r="424" spans="1:17" s="102" customFormat="1" x14ac:dyDescent="0.2">
      <c r="A424" s="101"/>
      <c r="B424" s="103" t="s">
        <v>921</v>
      </c>
      <c r="C424" s="512">
        <v>5000000</v>
      </c>
      <c r="D424" s="516"/>
      <c r="E424" s="516"/>
      <c r="F424" s="42"/>
      <c r="G424" s="42"/>
    </row>
    <row r="425" spans="1:17" s="102" customFormat="1" x14ac:dyDescent="0.2">
      <c r="A425" s="101"/>
      <c r="B425" s="516"/>
      <c r="C425" s="516"/>
      <c r="D425" s="516"/>
      <c r="E425" s="516"/>
      <c r="F425" s="42"/>
      <c r="G425" s="42"/>
    </row>
    <row r="426" spans="1:17" s="102" customFormat="1" x14ac:dyDescent="0.2">
      <c r="A426" s="101"/>
      <c r="B426" s="515"/>
      <c r="C426" s="515"/>
      <c r="D426" s="516"/>
      <c r="E426" s="516"/>
      <c r="F426" s="42"/>
      <c r="G426" s="42"/>
    </row>
    <row r="427" spans="1:17" ht="15" x14ac:dyDescent="0.25">
      <c r="B427" s="509" t="s">
        <v>922</v>
      </c>
      <c r="J427" s="102"/>
      <c r="K427" s="102"/>
      <c r="L427" s="102"/>
      <c r="M427" s="102"/>
      <c r="N427" s="102"/>
      <c r="O427" s="102"/>
      <c r="P427" s="102"/>
      <c r="Q427" s="102"/>
    </row>
    <row r="428" spans="1:17" x14ac:dyDescent="0.2">
      <c r="B428" s="103" t="s">
        <v>923</v>
      </c>
      <c r="C428" s="478">
        <f>400000*30</f>
        <v>12000000</v>
      </c>
      <c r="J428" s="102"/>
      <c r="K428" s="102"/>
      <c r="L428" s="102"/>
      <c r="M428" s="102"/>
      <c r="N428" s="102"/>
      <c r="O428" s="102"/>
      <c r="P428" s="102"/>
      <c r="Q428" s="102"/>
    </row>
    <row r="429" spans="1:17" x14ac:dyDescent="0.2">
      <c r="B429" s="103" t="s">
        <v>924</v>
      </c>
      <c r="C429" s="478">
        <v>5000000</v>
      </c>
      <c r="J429" s="102"/>
      <c r="K429" s="102"/>
      <c r="L429" s="102"/>
      <c r="M429" s="102"/>
      <c r="N429" s="102"/>
      <c r="O429" s="102"/>
      <c r="P429" s="102"/>
      <c r="Q429" s="102"/>
    </row>
    <row r="430" spans="1:17" x14ac:dyDescent="0.2">
      <c r="B430" s="103" t="s">
        <v>925</v>
      </c>
      <c r="C430" s="478">
        <f>30*30000</f>
        <v>900000</v>
      </c>
      <c r="J430" s="102"/>
      <c r="K430" s="102"/>
      <c r="L430" s="102"/>
      <c r="M430" s="102"/>
      <c r="N430" s="102"/>
      <c r="O430" s="102"/>
      <c r="P430" s="102"/>
      <c r="Q430" s="102"/>
    </row>
    <row r="431" spans="1:17" x14ac:dyDescent="0.2">
      <c r="B431" s="103" t="s">
        <v>823</v>
      </c>
      <c r="C431" s="478">
        <v>100000</v>
      </c>
      <c r="J431" s="102"/>
      <c r="K431" s="102"/>
      <c r="L431" s="102"/>
      <c r="M431" s="102"/>
      <c r="N431" s="102"/>
      <c r="O431" s="102"/>
      <c r="P431" s="102"/>
      <c r="Q431" s="102"/>
    </row>
    <row r="432" spans="1:17" x14ac:dyDescent="0.2">
      <c r="B432" s="103" t="s">
        <v>926</v>
      </c>
      <c r="C432" s="478">
        <f>300000*30</f>
        <v>9000000</v>
      </c>
      <c r="J432" s="102"/>
      <c r="K432" s="102"/>
      <c r="L432" s="102"/>
      <c r="M432" s="102"/>
      <c r="N432" s="102"/>
      <c r="O432" s="102"/>
      <c r="P432" s="102"/>
      <c r="Q432" s="102"/>
    </row>
    <row r="433" spans="2:17" x14ac:dyDescent="0.2">
      <c r="B433" s="103" t="s">
        <v>927</v>
      </c>
      <c r="C433" s="478">
        <f>2000*100</f>
        <v>200000</v>
      </c>
      <c r="J433" s="102"/>
      <c r="K433" s="102"/>
      <c r="L433" s="102"/>
      <c r="M433" s="102"/>
      <c r="N433" s="102"/>
      <c r="O433" s="102"/>
      <c r="P433" s="102"/>
      <c r="Q433" s="102"/>
    </row>
    <row r="434" spans="2:17" x14ac:dyDescent="0.2">
      <c r="B434" s="103" t="s">
        <v>61</v>
      </c>
      <c r="C434" s="478">
        <v>10000000</v>
      </c>
      <c r="J434" s="102"/>
      <c r="K434" s="102"/>
      <c r="L434" s="102"/>
      <c r="M434" s="102"/>
      <c r="N434" s="102"/>
      <c r="O434" s="102"/>
      <c r="P434" s="102"/>
      <c r="Q434" s="102"/>
    </row>
    <row r="435" spans="2:17" x14ac:dyDescent="0.2">
      <c r="B435" s="103" t="s">
        <v>888</v>
      </c>
      <c r="C435" s="478">
        <v>10000000</v>
      </c>
      <c r="J435" s="102"/>
      <c r="K435" s="102"/>
      <c r="L435" s="102"/>
      <c r="M435" s="102"/>
      <c r="N435" s="102"/>
      <c r="O435" s="102"/>
      <c r="P435" s="102"/>
      <c r="Q435" s="102"/>
    </row>
    <row r="436" spans="2:17" x14ac:dyDescent="0.2">
      <c r="B436" s="103" t="s">
        <v>928</v>
      </c>
      <c r="C436" s="478">
        <v>5000000</v>
      </c>
      <c r="J436" s="102"/>
      <c r="K436" s="102"/>
      <c r="L436" s="102"/>
      <c r="M436" s="102"/>
      <c r="N436" s="102"/>
      <c r="O436" s="102"/>
      <c r="P436" s="102"/>
      <c r="Q436" s="102"/>
    </row>
    <row r="437" spans="2:17" ht="15" x14ac:dyDescent="0.25">
      <c r="B437" s="509" t="s">
        <v>929</v>
      </c>
      <c r="C437" s="519">
        <f>SUM(C428:C436)</f>
        <v>52200000</v>
      </c>
      <c r="J437" s="102"/>
      <c r="K437" s="102"/>
      <c r="L437" s="102"/>
      <c r="M437" s="102"/>
      <c r="N437" s="102"/>
      <c r="O437" s="102"/>
      <c r="P437" s="102"/>
      <c r="Q437" s="102"/>
    </row>
    <row r="438" spans="2:17" x14ac:dyDescent="0.2">
      <c r="B438" s="101" t="s">
        <v>930</v>
      </c>
      <c r="J438" s="102"/>
      <c r="K438" s="102"/>
      <c r="L438" s="102"/>
      <c r="M438" s="102"/>
      <c r="N438" s="102"/>
      <c r="O438" s="102"/>
      <c r="P438" s="102"/>
      <c r="Q438" s="102"/>
    </row>
    <row r="439" spans="2:17" x14ac:dyDescent="0.2">
      <c r="B439" s="101" t="s">
        <v>65</v>
      </c>
      <c r="J439" s="102"/>
      <c r="K439" s="102"/>
      <c r="L439" s="102"/>
      <c r="M439" s="102"/>
      <c r="N439" s="102"/>
      <c r="O439" s="102"/>
      <c r="P439" s="102"/>
      <c r="Q439" s="102"/>
    </row>
    <row r="440" spans="2:17" x14ac:dyDescent="0.2">
      <c r="J440" s="102"/>
      <c r="K440" s="102"/>
      <c r="L440" s="102"/>
      <c r="M440" s="102"/>
      <c r="N440" s="102"/>
      <c r="O440" s="102"/>
      <c r="P440" s="102"/>
      <c r="Q440" s="102"/>
    </row>
    <row r="441" spans="2:17" ht="15" x14ac:dyDescent="0.25">
      <c r="B441" s="509" t="s">
        <v>931</v>
      </c>
      <c r="C441" s="432"/>
      <c r="J441" s="102"/>
      <c r="K441" s="102"/>
      <c r="L441" s="102"/>
      <c r="M441" s="102"/>
      <c r="N441" s="102"/>
      <c r="O441" s="102"/>
      <c r="P441" s="102"/>
      <c r="Q441" s="102"/>
    </row>
    <row r="442" spans="2:17" x14ac:dyDescent="0.2">
      <c r="B442" s="103" t="s">
        <v>61</v>
      </c>
      <c r="C442" s="478">
        <v>5000000</v>
      </c>
      <c r="J442" s="102"/>
      <c r="K442" s="102"/>
      <c r="L442" s="102"/>
      <c r="M442" s="102"/>
      <c r="N442" s="102"/>
      <c r="O442" s="102"/>
      <c r="P442" s="102"/>
      <c r="Q442" s="102"/>
    </row>
    <row r="443" spans="2:17" x14ac:dyDescent="0.2">
      <c r="B443" s="103" t="s">
        <v>888</v>
      </c>
      <c r="C443" s="478">
        <v>10000000</v>
      </c>
      <c r="J443" s="102"/>
      <c r="K443" s="102"/>
      <c r="L443" s="102"/>
      <c r="M443" s="102"/>
      <c r="N443" s="102"/>
      <c r="O443" s="102"/>
      <c r="P443" s="102"/>
      <c r="Q443" s="102"/>
    </row>
    <row r="444" spans="2:17" x14ac:dyDescent="0.2">
      <c r="B444" s="103" t="s">
        <v>932</v>
      </c>
      <c r="C444" s="478">
        <v>5000000</v>
      </c>
      <c r="J444" s="102"/>
      <c r="K444" s="102"/>
      <c r="L444" s="102"/>
      <c r="M444" s="102"/>
      <c r="N444" s="102"/>
      <c r="O444" s="102"/>
      <c r="P444" s="102"/>
      <c r="Q444" s="102"/>
    </row>
    <row r="445" spans="2:17" ht="15" x14ac:dyDescent="0.25">
      <c r="B445" s="509" t="s">
        <v>929</v>
      </c>
      <c r="C445" s="519">
        <f>SUM(C442:C444)</f>
        <v>20000000</v>
      </c>
      <c r="J445" s="102"/>
      <c r="K445" s="102"/>
      <c r="L445" s="102"/>
      <c r="M445" s="102"/>
      <c r="N445" s="102"/>
      <c r="O445" s="102"/>
      <c r="P445" s="102"/>
      <c r="Q445" s="102"/>
    </row>
    <row r="446" spans="2:17" x14ac:dyDescent="0.2">
      <c r="B446" s="101" t="s">
        <v>94</v>
      </c>
      <c r="J446" s="102"/>
      <c r="K446" s="102"/>
      <c r="L446" s="102"/>
      <c r="M446" s="102"/>
      <c r="N446" s="102"/>
      <c r="O446" s="102"/>
      <c r="P446" s="102"/>
      <c r="Q446" s="102"/>
    </row>
    <row r="447" spans="2:17" x14ac:dyDescent="0.2">
      <c r="J447" s="102"/>
      <c r="K447" s="102"/>
      <c r="L447" s="102"/>
      <c r="M447" s="102"/>
      <c r="N447" s="102"/>
      <c r="O447" s="102"/>
      <c r="P447" s="102"/>
      <c r="Q447" s="102"/>
    </row>
    <row r="448" spans="2:17" ht="15" x14ac:dyDescent="0.25">
      <c r="B448" s="509" t="s">
        <v>933</v>
      </c>
      <c r="C448" s="432"/>
      <c r="J448" s="102"/>
      <c r="K448" s="102"/>
      <c r="L448" s="102"/>
      <c r="M448" s="102"/>
      <c r="N448" s="102"/>
      <c r="O448" s="102"/>
      <c r="P448" s="102"/>
      <c r="Q448" s="102"/>
    </row>
    <row r="449" spans="2:17" x14ac:dyDescent="0.2">
      <c r="B449" s="103" t="s">
        <v>934</v>
      </c>
      <c r="C449" s="478">
        <f>1400000*5</f>
        <v>7000000</v>
      </c>
      <c r="J449" s="102"/>
      <c r="K449" s="102"/>
      <c r="L449" s="102"/>
      <c r="M449" s="102"/>
      <c r="N449" s="102"/>
      <c r="O449" s="102"/>
      <c r="P449" s="102"/>
      <c r="Q449" s="102"/>
    </row>
    <row r="450" spans="2:17" x14ac:dyDescent="0.2">
      <c r="B450" s="103" t="s">
        <v>926</v>
      </c>
      <c r="C450" s="478">
        <f>200000*5</f>
        <v>1000000</v>
      </c>
      <c r="J450" s="102"/>
      <c r="K450" s="102"/>
      <c r="L450" s="102"/>
      <c r="M450" s="102"/>
      <c r="N450" s="102"/>
      <c r="O450" s="102"/>
      <c r="P450" s="102"/>
      <c r="Q450" s="102"/>
    </row>
    <row r="451" spans="2:17" x14ac:dyDescent="0.2">
      <c r="B451" s="103" t="s">
        <v>935</v>
      </c>
      <c r="C451" s="478">
        <f>2000000*5</f>
        <v>10000000</v>
      </c>
      <c r="J451" s="102"/>
      <c r="K451" s="102"/>
      <c r="L451" s="102"/>
      <c r="M451" s="102"/>
      <c r="N451" s="102"/>
      <c r="O451" s="102"/>
      <c r="P451" s="102"/>
      <c r="Q451" s="102"/>
    </row>
    <row r="452" spans="2:17" ht="15" x14ac:dyDescent="0.25">
      <c r="B452" s="520" t="s">
        <v>936</v>
      </c>
      <c r="C452" s="519">
        <f>SUM(C449:C451)</f>
        <v>18000000</v>
      </c>
      <c r="J452" s="102"/>
      <c r="K452" s="102"/>
      <c r="L452" s="102"/>
      <c r="M452" s="102"/>
      <c r="N452" s="102"/>
      <c r="O452" s="102"/>
      <c r="P452" s="102"/>
      <c r="Q452" s="102"/>
    </row>
    <row r="453" spans="2:17" x14ac:dyDescent="0.2">
      <c r="B453" s="101" t="s">
        <v>937</v>
      </c>
      <c r="J453" s="102"/>
      <c r="K453" s="102"/>
      <c r="L453" s="102"/>
      <c r="M453" s="102"/>
      <c r="N453" s="102"/>
      <c r="O453" s="102"/>
      <c r="P453" s="102"/>
      <c r="Q453" s="102"/>
    </row>
    <row r="454" spans="2:17" x14ac:dyDescent="0.2">
      <c r="J454" s="102"/>
      <c r="K454" s="102"/>
      <c r="L454" s="102"/>
      <c r="M454" s="102"/>
      <c r="N454" s="102"/>
      <c r="O454" s="102"/>
      <c r="P454" s="102"/>
      <c r="Q454" s="102"/>
    </row>
    <row r="455" spans="2:17" ht="15" x14ac:dyDescent="0.25">
      <c r="B455" s="509" t="s">
        <v>938</v>
      </c>
      <c r="C455" s="432"/>
      <c r="J455" s="102"/>
      <c r="K455" s="102"/>
      <c r="L455" s="102"/>
      <c r="M455" s="102"/>
      <c r="N455" s="102"/>
      <c r="O455" s="102"/>
      <c r="P455" s="102"/>
      <c r="Q455" s="102"/>
    </row>
    <row r="456" spans="2:17" x14ac:dyDescent="0.2">
      <c r="B456" s="103" t="s">
        <v>939</v>
      </c>
      <c r="C456" s="478">
        <f>2500000*5</f>
        <v>12500000</v>
      </c>
      <c r="J456" s="102"/>
      <c r="K456" s="102"/>
      <c r="L456" s="102"/>
      <c r="M456" s="102"/>
      <c r="N456" s="102"/>
      <c r="O456" s="102"/>
      <c r="P456" s="102"/>
      <c r="Q456" s="102"/>
    </row>
    <row r="457" spans="2:17" x14ac:dyDescent="0.2">
      <c r="B457" s="103" t="s">
        <v>926</v>
      </c>
      <c r="C457" s="478">
        <f>1000*5*C297</f>
        <v>18916566.666666668</v>
      </c>
      <c r="J457" s="102"/>
      <c r="K457" s="102"/>
      <c r="L457" s="102"/>
      <c r="M457" s="102"/>
      <c r="N457" s="102"/>
      <c r="O457" s="102"/>
      <c r="P457" s="102"/>
      <c r="Q457" s="102"/>
    </row>
    <row r="458" spans="2:17" x14ac:dyDescent="0.2">
      <c r="B458" s="103" t="s">
        <v>940</v>
      </c>
      <c r="C458" s="478">
        <f>3500*C297</f>
        <v>13241596.666666668</v>
      </c>
      <c r="J458" s="102"/>
      <c r="K458" s="102"/>
      <c r="L458" s="102"/>
      <c r="M458" s="102"/>
      <c r="N458" s="102"/>
      <c r="O458" s="102"/>
      <c r="P458" s="102"/>
      <c r="Q458" s="102"/>
    </row>
    <row r="459" spans="2:17" ht="15" x14ac:dyDescent="0.25">
      <c r="B459" s="520" t="s">
        <v>936</v>
      </c>
      <c r="C459" s="519">
        <f>SUM(C456:C458)</f>
        <v>44658163.333333336</v>
      </c>
      <c r="J459" s="102"/>
      <c r="K459" s="102"/>
      <c r="L459" s="102"/>
      <c r="M459" s="102"/>
      <c r="N459" s="102"/>
      <c r="O459" s="102"/>
      <c r="P459" s="102"/>
      <c r="Q459" s="102"/>
    </row>
    <row r="460" spans="2:17" ht="15" x14ac:dyDescent="0.25">
      <c r="B460" s="509" t="s">
        <v>941</v>
      </c>
      <c r="C460" s="519">
        <v>45000000</v>
      </c>
      <c r="J460" s="102"/>
      <c r="K460" s="102"/>
      <c r="L460" s="102"/>
      <c r="M460" s="102"/>
      <c r="N460" s="102"/>
      <c r="O460" s="102"/>
      <c r="P460" s="102"/>
      <c r="Q460" s="102"/>
    </row>
    <row r="461" spans="2:17" x14ac:dyDescent="0.2">
      <c r="B461" s="101" t="s">
        <v>942</v>
      </c>
      <c r="J461" s="102"/>
      <c r="K461" s="102"/>
      <c r="L461" s="102"/>
      <c r="M461" s="102"/>
      <c r="N461" s="102"/>
      <c r="O461" s="102"/>
      <c r="P461" s="102"/>
      <c r="Q461" s="102"/>
    </row>
    <row r="462" spans="2:17" x14ac:dyDescent="0.2">
      <c r="J462" s="102"/>
      <c r="K462" s="102"/>
      <c r="L462" s="102"/>
      <c r="M462" s="102"/>
      <c r="N462" s="102"/>
      <c r="O462" s="102"/>
      <c r="P462" s="102"/>
      <c r="Q462" s="102"/>
    </row>
    <row r="463" spans="2:17" x14ac:dyDescent="0.2">
      <c r="J463" s="102"/>
      <c r="K463" s="102"/>
      <c r="L463" s="102"/>
      <c r="M463" s="102"/>
      <c r="N463" s="102"/>
      <c r="O463" s="102"/>
      <c r="P463" s="102"/>
      <c r="Q463" s="102"/>
    </row>
    <row r="464" spans="2:17" x14ac:dyDescent="0.2">
      <c r="J464" s="102"/>
      <c r="K464" s="102"/>
      <c r="L464" s="102"/>
      <c r="M464" s="102"/>
      <c r="N464" s="102"/>
      <c r="O464" s="102"/>
      <c r="P464" s="102"/>
      <c r="Q464" s="102"/>
    </row>
    <row r="465" spans="2:17" ht="15" x14ac:dyDescent="0.25">
      <c r="B465" s="381" t="s">
        <v>943</v>
      </c>
      <c r="F465" s="432"/>
      <c r="J465" s="102"/>
      <c r="K465" s="102"/>
      <c r="L465" s="102"/>
      <c r="M465" s="102"/>
      <c r="N465" s="102"/>
      <c r="O465" s="102"/>
      <c r="P465" s="102"/>
      <c r="Q465" s="102"/>
    </row>
    <row r="466" spans="2:17" ht="57" x14ac:dyDescent="0.2">
      <c r="B466" s="47" t="s">
        <v>944</v>
      </c>
      <c r="C466" s="303" t="s">
        <v>945</v>
      </c>
      <c r="D466" s="512">
        <f>200000*30</f>
        <v>6000000</v>
      </c>
      <c r="J466" s="102"/>
      <c r="K466" s="102"/>
      <c r="L466" s="102"/>
      <c r="M466" s="102"/>
      <c r="N466" s="102"/>
      <c r="O466" s="102"/>
      <c r="P466" s="102"/>
      <c r="Q466" s="102"/>
    </row>
    <row r="467" spans="2:17" ht="42.75" x14ac:dyDescent="0.2">
      <c r="B467" s="47" t="s">
        <v>946</v>
      </c>
      <c r="C467" s="303" t="s">
        <v>947</v>
      </c>
      <c r="D467" s="512">
        <f>D466*30%</f>
        <v>1800000</v>
      </c>
      <c r="J467" s="102"/>
      <c r="K467" s="102"/>
      <c r="L467" s="102"/>
      <c r="M467" s="102"/>
      <c r="N467" s="102"/>
      <c r="O467" s="102"/>
      <c r="P467" s="102"/>
      <c r="Q467" s="102"/>
    </row>
    <row r="468" spans="2:17" x14ac:dyDescent="0.2">
      <c r="B468" s="47" t="s">
        <v>948</v>
      </c>
      <c r="C468" s="103" t="s">
        <v>949</v>
      </c>
      <c r="D468" s="512">
        <v>1500000</v>
      </c>
      <c r="J468" s="102"/>
      <c r="K468" s="102"/>
      <c r="L468" s="102"/>
      <c r="M468" s="102"/>
      <c r="N468" s="102"/>
      <c r="O468" s="102"/>
      <c r="P468" s="102"/>
      <c r="Q468" s="102"/>
    </row>
    <row r="469" spans="2:17" ht="28.5" x14ac:dyDescent="0.2">
      <c r="B469" s="47" t="s">
        <v>950</v>
      </c>
      <c r="C469" s="303" t="s">
        <v>951</v>
      </c>
      <c r="D469" s="512">
        <f>D468*30%</f>
        <v>450000</v>
      </c>
      <c r="J469" s="102"/>
      <c r="K469" s="102"/>
      <c r="L469" s="102"/>
      <c r="M469" s="102"/>
      <c r="N469" s="102"/>
      <c r="O469" s="102"/>
      <c r="P469" s="102"/>
      <c r="Q469" s="102"/>
    </row>
    <row r="470" spans="2:17" x14ac:dyDescent="0.2">
      <c r="B470" s="47" t="s">
        <v>952</v>
      </c>
      <c r="C470" s="303" t="s">
        <v>949</v>
      </c>
      <c r="D470" s="512">
        <v>3000000</v>
      </c>
      <c r="J470" s="102"/>
      <c r="K470" s="102"/>
      <c r="L470" s="102"/>
      <c r="M470" s="102"/>
      <c r="N470" s="102"/>
      <c r="O470" s="102"/>
      <c r="P470" s="102"/>
      <c r="Q470" s="102"/>
    </row>
    <row r="471" spans="2:17" ht="28.5" x14ac:dyDescent="0.2">
      <c r="B471" s="47" t="s">
        <v>953</v>
      </c>
      <c r="C471" s="303" t="s">
        <v>954</v>
      </c>
      <c r="D471" s="512">
        <f>D470*30%</f>
        <v>900000</v>
      </c>
      <c r="J471" s="102"/>
      <c r="K471" s="102"/>
      <c r="L471" s="102"/>
      <c r="M471" s="102"/>
      <c r="N471" s="102"/>
      <c r="O471" s="102"/>
      <c r="P471" s="102"/>
      <c r="Q471" s="102"/>
    </row>
    <row r="472" spans="2:17" x14ac:dyDescent="0.2">
      <c r="B472" s="47" t="s">
        <v>955</v>
      </c>
      <c r="C472" s="103" t="s">
        <v>949</v>
      </c>
      <c r="D472" s="512">
        <v>30000000</v>
      </c>
      <c r="J472" s="102"/>
      <c r="K472" s="102"/>
      <c r="L472" s="102"/>
      <c r="M472" s="102"/>
      <c r="N472" s="102"/>
      <c r="O472" s="102"/>
      <c r="P472" s="102"/>
      <c r="Q472" s="102"/>
    </row>
    <row r="473" spans="2:17" x14ac:dyDescent="0.2">
      <c r="B473" s="47" t="s">
        <v>956</v>
      </c>
      <c r="C473" s="103" t="s">
        <v>957</v>
      </c>
      <c r="D473" s="512">
        <v>45000000</v>
      </c>
      <c r="P473" s="102"/>
      <c r="Q473" s="102"/>
    </row>
    <row r="474" spans="2:17" x14ac:dyDescent="0.2">
      <c r="B474" s="47" t="s">
        <v>958</v>
      </c>
      <c r="C474" s="103" t="s">
        <v>949</v>
      </c>
      <c r="D474" s="512">
        <v>100000000</v>
      </c>
      <c r="P474" s="102"/>
      <c r="Q474" s="102"/>
    </row>
    <row r="475" spans="2:17" x14ac:dyDescent="0.2">
      <c r="B475" s="844" t="s">
        <v>959</v>
      </c>
      <c r="C475" s="828"/>
      <c r="D475" s="828"/>
      <c r="P475" s="102"/>
      <c r="Q475" s="102"/>
    </row>
    <row r="476" spans="2:17" x14ac:dyDescent="0.2">
      <c r="P476" s="102"/>
      <c r="Q476" s="102"/>
    </row>
    <row r="477" spans="2:17" ht="15" x14ac:dyDescent="0.25">
      <c r="B477" s="381" t="s">
        <v>960</v>
      </c>
      <c r="F477" s="432"/>
      <c r="P477" s="102"/>
      <c r="Q477" s="102"/>
    </row>
    <row r="478" spans="2:17" x14ac:dyDescent="0.2">
      <c r="P478" s="102"/>
      <c r="Q478" s="102"/>
    </row>
    <row r="479" spans="2:17" ht="15" x14ac:dyDescent="0.25">
      <c r="B479" s="521" t="s">
        <v>961</v>
      </c>
      <c r="C479" s="521"/>
      <c r="D479" s="425"/>
      <c r="F479" s="432"/>
      <c r="P479" s="102"/>
      <c r="Q479" s="102"/>
    </row>
    <row r="480" spans="2:17" x14ac:dyDescent="0.2">
      <c r="B480" s="103" t="s">
        <v>962</v>
      </c>
      <c r="C480" s="53">
        <v>26000000</v>
      </c>
      <c r="D480" s="425"/>
      <c r="F480" s="432"/>
      <c r="P480" s="102"/>
      <c r="Q480" s="102"/>
    </row>
    <row r="481" spans="2:18" x14ac:dyDescent="0.2">
      <c r="B481" s="103" t="s">
        <v>963</v>
      </c>
      <c r="C481" s="53">
        <v>17000000</v>
      </c>
      <c r="D481" s="425"/>
      <c r="F481" s="432"/>
      <c r="J481" s="102"/>
      <c r="K481" s="102"/>
      <c r="L481" s="102"/>
      <c r="M481" s="102"/>
      <c r="N481" s="102"/>
      <c r="O481" s="102"/>
      <c r="P481" s="102"/>
      <c r="Q481" s="102"/>
    </row>
    <row r="482" spans="2:18" ht="15" x14ac:dyDescent="0.25">
      <c r="B482" s="521" t="s">
        <v>964</v>
      </c>
      <c r="C482" s="522">
        <f>SUM(C480:C481)</f>
        <v>43000000</v>
      </c>
      <c r="D482" s="425"/>
      <c r="F482" s="432"/>
      <c r="J482" s="102"/>
      <c r="K482" s="102"/>
      <c r="L482" s="102"/>
      <c r="M482" s="102"/>
      <c r="N482" s="102"/>
      <c r="O482" s="102"/>
      <c r="P482" s="102"/>
      <c r="Q482" s="102"/>
    </row>
    <row r="483" spans="2:18" x14ac:dyDescent="0.2">
      <c r="B483" s="101" t="s">
        <v>965</v>
      </c>
      <c r="F483" s="432"/>
    </row>
    <row r="484" spans="2:18" x14ac:dyDescent="0.2">
      <c r="F484" s="432"/>
    </row>
    <row r="485" spans="2:18" s="25" customFormat="1" ht="15" x14ac:dyDescent="0.25">
      <c r="B485" s="523" t="s">
        <v>966</v>
      </c>
      <c r="C485" s="524" t="s">
        <v>967</v>
      </c>
      <c r="D485" s="524" t="s">
        <v>54</v>
      </c>
      <c r="E485" s="524" t="s">
        <v>968</v>
      </c>
      <c r="F485" s="525"/>
    </row>
    <row r="486" spans="2:18" ht="24.75" customHeight="1" x14ac:dyDescent="0.2">
      <c r="B486" s="367" t="s">
        <v>969</v>
      </c>
      <c r="C486" s="104" t="s">
        <v>95</v>
      </c>
      <c r="D486" s="54">
        <v>225000</v>
      </c>
      <c r="E486" s="107" t="s">
        <v>970</v>
      </c>
      <c r="F486" s="432"/>
    </row>
    <row r="487" spans="2:18" ht="25.5" customHeight="1" x14ac:dyDescent="0.2">
      <c r="B487" s="526" t="s">
        <v>971</v>
      </c>
      <c r="C487" s="526" t="s">
        <v>972</v>
      </c>
      <c r="D487" s="477">
        <v>182000</v>
      </c>
      <c r="E487" s="107" t="s">
        <v>973</v>
      </c>
      <c r="F487" s="432"/>
    </row>
    <row r="488" spans="2:18" s="25" customFormat="1" ht="27" customHeight="1" x14ac:dyDescent="0.2">
      <c r="B488" s="526" t="s">
        <v>974</v>
      </c>
      <c r="C488" s="526" t="s">
        <v>975</v>
      </c>
      <c r="D488" s="477">
        <v>130000</v>
      </c>
      <c r="E488" s="107" t="s">
        <v>973</v>
      </c>
      <c r="F488" s="525"/>
    </row>
    <row r="489" spans="2:18" s="25" customFormat="1" ht="27" customHeight="1" x14ac:dyDescent="0.2">
      <c r="B489" s="526"/>
      <c r="C489" s="527"/>
      <c r="D489" s="528"/>
      <c r="E489" s="226"/>
      <c r="F489" s="525"/>
    </row>
    <row r="490" spans="2:18" ht="18" customHeight="1" x14ac:dyDescent="0.25">
      <c r="B490" s="381" t="s">
        <v>976</v>
      </c>
      <c r="C490" s="529"/>
      <c r="D490" s="529"/>
      <c r="E490" s="529"/>
      <c r="F490" s="529"/>
      <c r="G490" s="529"/>
      <c r="H490" s="529"/>
      <c r="I490" s="529"/>
      <c r="J490" s="529"/>
      <c r="K490" s="529"/>
      <c r="L490" s="529"/>
      <c r="M490" s="529"/>
      <c r="N490" s="529"/>
      <c r="O490" s="529"/>
      <c r="P490" s="529"/>
      <c r="Q490" s="529"/>
      <c r="R490" s="105"/>
    </row>
    <row r="491" spans="2:18" ht="15" x14ac:dyDescent="0.25">
      <c r="B491"/>
      <c r="C491" s="529"/>
      <c r="D491" s="529"/>
      <c r="E491" s="529"/>
      <c r="F491" s="529"/>
      <c r="G491" s="529"/>
      <c r="H491" s="529"/>
      <c r="I491" s="529"/>
      <c r="J491" s="529"/>
      <c r="K491" s="529"/>
      <c r="L491" s="529"/>
      <c r="M491" s="529"/>
      <c r="N491" s="529"/>
      <c r="O491" s="529"/>
      <c r="P491" s="529"/>
      <c r="Q491" s="529"/>
      <c r="R491" s="105"/>
    </row>
    <row r="492" spans="2:18" x14ac:dyDescent="0.2">
      <c r="B492" s="42"/>
      <c r="C492" s="533"/>
      <c r="E492" s="529"/>
      <c r="F492" s="529"/>
      <c r="G492" s="529"/>
      <c r="H492" s="529"/>
      <c r="I492" s="529"/>
      <c r="J492" s="529"/>
      <c r="K492" s="529"/>
      <c r="L492" s="529"/>
      <c r="M492" s="529"/>
      <c r="N492" s="529"/>
      <c r="O492" s="529"/>
      <c r="P492" s="529"/>
      <c r="Q492" s="529"/>
      <c r="R492" s="105"/>
    </row>
    <row r="493" spans="2:18" ht="15" x14ac:dyDescent="0.25">
      <c r="B493" s="530" t="s">
        <v>977</v>
      </c>
      <c r="C493"/>
      <c r="D493"/>
      <c r="E493"/>
      <c r="F493"/>
      <c r="G493"/>
      <c r="H493"/>
      <c r="I493"/>
      <c r="J493"/>
      <c r="K493"/>
      <c r="L493"/>
      <c r="M493"/>
      <c r="N493"/>
      <c r="O493"/>
      <c r="P493"/>
      <c r="Q493"/>
      <c r="R493"/>
    </row>
    <row r="494" spans="2:18" ht="15" x14ac:dyDescent="0.25">
      <c r="B494" s="530" t="s">
        <v>1243</v>
      </c>
      <c r="C494" s="381" t="s">
        <v>54</v>
      </c>
      <c r="D494"/>
      <c r="E494"/>
      <c r="F494"/>
      <c r="G494"/>
      <c r="H494"/>
      <c r="I494"/>
      <c r="J494"/>
      <c r="K494"/>
      <c r="L494"/>
      <c r="M494"/>
      <c r="N494"/>
      <c r="O494"/>
      <c r="P494"/>
      <c r="Q494"/>
      <c r="R494"/>
    </row>
    <row r="495" spans="2:18" ht="15" x14ac:dyDescent="0.25">
      <c r="B495" s="104" t="s">
        <v>978</v>
      </c>
      <c r="C495" s="534">
        <f>300*1000*$C$297</f>
        <v>1134994000</v>
      </c>
      <c r="D495"/>
      <c r="E495"/>
      <c r="F495"/>
      <c r="G495"/>
      <c r="H495"/>
      <c r="I495"/>
      <c r="J495"/>
      <c r="K495"/>
      <c r="L495"/>
      <c r="M495"/>
      <c r="N495"/>
      <c r="O495"/>
      <c r="P495"/>
      <c r="Q495"/>
      <c r="R495"/>
    </row>
    <row r="496" spans="2:18" ht="29.25" x14ac:dyDescent="0.25">
      <c r="B496" s="367" t="s">
        <v>979</v>
      </c>
      <c r="C496" s="534">
        <f>300*3000*$C$297</f>
        <v>3404982000</v>
      </c>
      <c r="D496"/>
      <c r="E496"/>
      <c r="F496"/>
      <c r="G496"/>
      <c r="H496"/>
      <c r="I496"/>
      <c r="J496"/>
      <c r="K496"/>
      <c r="L496"/>
      <c r="M496"/>
      <c r="N496"/>
      <c r="O496"/>
      <c r="P496"/>
      <c r="Q496"/>
      <c r="R496"/>
    </row>
    <row r="497" spans="2:18" ht="29.25" x14ac:dyDescent="0.25">
      <c r="B497" s="367" t="s">
        <v>980</v>
      </c>
      <c r="C497" s="534">
        <f>300*9000*$C$297</f>
        <v>10214946000</v>
      </c>
      <c r="D497"/>
      <c r="E497"/>
      <c r="F497"/>
      <c r="G497"/>
      <c r="H497"/>
      <c r="I497"/>
      <c r="J497"/>
      <c r="K497"/>
      <c r="L497"/>
      <c r="M497"/>
      <c r="N497"/>
      <c r="O497"/>
      <c r="P497"/>
      <c r="Q497"/>
      <c r="R497"/>
    </row>
    <row r="498" spans="2:18" ht="29.25" x14ac:dyDescent="0.25">
      <c r="B498" s="367" t="s">
        <v>981</v>
      </c>
      <c r="C498" s="534">
        <f>300*27000*$C$297</f>
        <v>30644838000</v>
      </c>
      <c r="D498"/>
      <c r="E498"/>
      <c r="F498"/>
      <c r="G498"/>
      <c r="H498"/>
      <c r="I498"/>
      <c r="J498"/>
      <c r="K498"/>
      <c r="L498"/>
      <c r="M498"/>
      <c r="N498"/>
      <c r="O498"/>
      <c r="P498"/>
      <c r="Q498"/>
      <c r="R498"/>
    </row>
    <row r="499" spans="2:18" ht="15" x14ac:dyDescent="0.25">
      <c r="B499" s="216" t="s">
        <v>982</v>
      </c>
      <c r="C499" s="80"/>
      <c r="D499"/>
      <c r="E499"/>
      <c r="F499"/>
      <c r="G499"/>
      <c r="H499"/>
      <c r="I499"/>
      <c r="J499"/>
      <c r="K499"/>
      <c r="L499"/>
      <c r="M499"/>
      <c r="N499"/>
      <c r="O499"/>
      <c r="P499"/>
      <c r="Q499"/>
      <c r="R499"/>
    </row>
    <row r="500" spans="2:18" ht="15" x14ac:dyDescent="0.25">
      <c r="B500"/>
      <c r="C500"/>
      <c r="D500"/>
      <c r="E500"/>
      <c r="F500"/>
      <c r="G500"/>
      <c r="H500"/>
      <c r="I500"/>
      <c r="J500"/>
      <c r="K500"/>
      <c r="L500"/>
      <c r="M500"/>
      <c r="N500"/>
      <c r="O500"/>
      <c r="P500" s="25"/>
      <c r="Q500" s="25"/>
      <c r="R500" s="25"/>
    </row>
    <row r="501" spans="2:18" ht="15" x14ac:dyDescent="0.25">
      <c r="B501" s="536"/>
      <c r="C501" s="57"/>
      <c r="D501"/>
      <c r="E501"/>
      <c r="F501"/>
      <c r="G501"/>
      <c r="H501"/>
      <c r="I501"/>
      <c r="J501"/>
      <c r="K501"/>
      <c r="L501"/>
      <c r="M501"/>
      <c r="N501"/>
      <c r="O501"/>
    </row>
    <row r="502" spans="2:18" ht="15" x14ac:dyDescent="0.25">
      <c r="B502" s="462" t="s">
        <v>983</v>
      </c>
      <c r="C502" s="103"/>
      <c r="D502"/>
      <c r="E502"/>
      <c r="F502"/>
      <c r="G502"/>
      <c r="H502"/>
      <c r="I502"/>
      <c r="J502"/>
      <c r="K502"/>
      <c r="L502"/>
      <c r="M502"/>
      <c r="N502"/>
      <c r="O502"/>
    </row>
    <row r="503" spans="2:18" x14ac:dyDescent="0.2">
      <c r="B503" s="104" t="s">
        <v>984</v>
      </c>
      <c r="C503" s="535">
        <v>7500000</v>
      </c>
    </row>
    <row r="504" spans="2:18" x14ac:dyDescent="0.2">
      <c r="B504" s="104" t="s">
        <v>985</v>
      </c>
      <c r="C504" s="535">
        <v>9700000</v>
      </c>
    </row>
    <row r="505" spans="2:18" x14ac:dyDescent="0.2">
      <c r="B505" s="104" t="s">
        <v>986</v>
      </c>
      <c r="C505" s="535">
        <v>11500000</v>
      </c>
    </row>
    <row r="506" spans="2:18" x14ac:dyDescent="0.2">
      <c r="B506" s="216" t="s">
        <v>987</v>
      </c>
      <c r="C506" s="537"/>
    </row>
    <row r="507" spans="2:18" x14ac:dyDescent="0.2">
      <c r="B507" s="536"/>
      <c r="D507" s="538"/>
      <c r="E507" s="538"/>
      <c r="F507" s="538"/>
      <c r="G507" s="538"/>
      <c r="H507" s="538"/>
      <c r="I507" s="538"/>
      <c r="J507" s="538"/>
      <c r="K507" s="538"/>
      <c r="L507" s="538"/>
      <c r="M507" s="538"/>
      <c r="N507" s="538"/>
      <c r="O507" s="538"/>
      <c r="P507" s="538"/>
      <c r="Q507" s="538"/>
      <c r="R507" s="538"/>
    </row>
    <row r="508" spans="2:18" ht="15" x14ac:dyDescent="0.25">
      <c r="B508" s="530" t="s">
        <v>988</v>
      </c>
      <c r="C508" s="381" t="s">
        <v>54</v>
      </c>
      <c r="D508" s="538"/>
      <c r="E508" s="538"/>
      <c r="F508" s="538"/>
      <c r="G508" s="538"/>
      <c r="H508" s="538"/>
      <c r="I508" s="538"/>
      <c r="J508" s="538"/>
      <c r="K508" s="538"/>
      <c r="L508" s="538"/>
      <c r="M508" s="538"/>
      <c r="N508" s="538"/>
      <c r="O508" s="538"/>
      <c r="P508" s="538"/>
      <c r="Q508" s="538"/>
      <c r="R508" s="538"/>
    </row>
    <row r="509" spans="2:18" ht="57" x14ac:dyDescent="0.2">
      <c r="B509" s="367" t="s">
        <v>989</v>
      </c>
      <c r="C509" s="108">
        <f>8308794225*1.7</f>
        <v>14124950182.5</v>
      </c>
      <c r="D509" s="538"/>
      <c r="E509" s="538"/>
      <c r="F509" s="538"/>
      <c r="G509" s="538"/>
      <c r="H509" s="538"/>
      <c r="I509" s="538"/>
      <c r="J509" s="538"/>
      <c r="K509" s="538"/>
      <c r="L509" s="538"/>
      <c r="M509" s="538"/>
      <c r="N509" s="538"/>
      <c r="O509" s="538"/>
      <c r="P509" s="538"/>
      <c r="Q509" s="538"/>
      <c r="R509" s="538"/>
    </row>
    <row r="510" spans="2:18" x14ac:dyDescent="0.2">
      <c r="B510" s="104" t="s">
        <v>990</v>
      </c>
      <c r="C510" s="108">
        <f>1452133575*1.7</f>
        <v>2468627077.5</v>
      </c>
      <c r="D510" s="538"/>
      <c r="E510" s="538"/>
      <c r="F510" s="538"/>
      <c r="G510" s="538"/>
      <c r="H510" s="538"/>
      <c r="I510" s="538"/>
      <c r="J510" s="538"/>
      <c r="K510" s="538"/>
      <c r="L510" s="538"/>
      <c r="M510" s="538"/>
      <c r="N510" s="538"/>
      <c r="O510" s="538"/>
      <c r="P510" s="538"/>
      <c r="Q510" s="538"/>
      <c r="R510" s="538"/>
    </row>
    <row r="511" spans="2:18" x14ac:dyDescent="0.2">
      <c r="B511" s="539"/>
      <c r="C511" s="108">
        <f>+C510+C509</f>
        <v>16593577260</v>
      </c>
      <c r="D511" s="538"/>
      <c r="E511" s="538"/>
      <c r="F511" s="538"/>
      <c r="G511" s="538"/>
      <c r="H511" s="538"/>
      <c r="I511" s="538"/>
      <c r="J511" s="538"/>
      <c r="K511" s="538"/>
      <c r="L511" s="538"/>
      <c r="M511" s="538"/>
      <c r="N511" s="538"/>
      <c r="O511" s="538"/>
      <c r="P511" s="538"/>
      <c r="Q511" s="538"/>
      <c r="R511" s="538"/>
    </row>
    <row r="512" spans="2:18" ht="42.6" customHeight="1" x14ac:dyDescent="0.25">
      <c r="B512" s="532" t="s">
        <v>991</v>
      </c>
      <c r="D512"/>
      <c r="E512"/>
      <c r="F512"/>
      <c r="G512"/>
      <c r="H512"/>
      <c r="I512"/>
      <c r="J512" s="538"/>
      <c r="K512" s="538"/>
      <c r="L512" s="538"/>
      <c r="M512" s="538"/>
      <c r="N512" s="538"/>
      <c r="O512" s="538"/>
      <c r="P512" s="538"/>
      <c r="Q512" s="538"/>
      <c r="R512" s="538"/>
    </row>
    <row r="513" spans="2:7" x14ac:dyDescent="0.2">
      <c r="C513" s="115"/>
    </row>
    <row r="514" spans="2:7" x14ac:dyDescent="0.2">
      <c r="B514" s="540"/>
      <c r="C514" s="540"/>
      <c r="D514" s="541"/>
    </row>
    <row r="515" spans="2:7" ht="15" x14ac:dyDescent="0.25">
      <c r="B515" s="381" t="s">
        <v>992</v>
      </c>
    </row>
    <row r="516" spans="2:7" s="102" customFormat="1" ht="15" x14ac:dyDescent="0.25">
      <c r="C516" s="542" t="s">
        <v>993</v>
      </c>
      <c r="D516" s="101"/>
    </row>
    <row r="517" spans="2:7" s="102" customFormat="1" ht="15" x14ac:dyDescent="0.25">
      <c r="B517" s="381" t="s">
        <v>994</v>
      </c>
      <c r="C517" s="513">
        <v>3</v>
      </c>
      <c r="D517" s="513">
        <v>4</v>
      </c>
      <c r="E517" s="513">
        <v>5</v>
      </c>
      <c r="F517" s="513">
        <v>6</v>
      </c>
      <c r="G517" s="513">
        <v>7</v>
      </c>
    </row>
    <row r="518" spans="2:7" s="102" customFormat="1" ht="15" x14ac:dyDescent="0.25">
      <c r="B518" s="381" t="s">
        <v>875</v>
      </c>
      <c r="C518" s="381" t="s">
        <v>54</v>
      </c>
      <c r="D518" s="381" t="s">
        <v>54</v>
      </c>
      <c r="E518" s="381" t="s">
        <v>54</v>
      </c>
      <c r="F518" s="381" t="s">
        <v>54</v>
      </c>
      <c r="G518" s="381" t="s">
        <v>54</v>
      </c>
    </row>
    <row r="519" spans="2:7" s="102" customFormat="1" x14ac:dyDescent="0.2">
      <c r="B519" s="478" t="s">
        <v>995</v>
      </c>
      <c r="C519" s="478">
        <f>193401 + (193401 *10%)</f>
        <v>212741.1</v>
      </c>
      <c r="D519" s="478">
        <f>C519 + (193401 *10%)</f>
        <v>232081.2</v>
      </c>
      <c r="E519" s="478">
        <f>D519 + (193401 *10%)</f>
        <v>251421.30000000002</v>
      </c>
      <c r="F519" s="478">
        <f>E519 + (193401 *10%)</f>
        <v>270761.40000000002</v>
      </c>
      <c r="G519" s="478">
        <f>F519+(F519*10%)</f>
        <v>297837.54000000004</v>
      </c>
    </row>
    <row r="520" spans="2:7" s="102" customFormat="1" x14ac:dyDescent="0.2">
      <c r="B520" s="478" t="s">
        <v>996</v>
      </c>
      <c r="C520" s="543">
        <v>5.8</v>
      </c>
      <c r="D520" s="543">
        <f xml:space="preserve"> C520+(C520*5%)</f>
        <v>6.09</v>
      </c>
      <c r="E520" s="543">
        <f xml:space="preserve"> D520+(D520*5%)</f>
        <v>6.3944999999999999</v>
      </c>
      <c r="F520" s="543">
        <f xml:space="preserve"> E520+(E520*5%)</f>
        <v>6.7142249999999999</v>
      </c>
      <c r="G520" s="543">
        <f xml:space="preserve"> F520+(F520*5%)</f>
        <v>7.04993625</v>
      </c>
    </row>
    <row r="521" spans="2:7" s="102" customFormat="1" x14ac:dyDescent="0.2">
      <c r="B521" s="478" t="s">
        <v>997</v>
      </c>
      <c r="C521" s="478">
        <f>C519*C520</f>
        <v>1233898.3799999999</v>
      </c>
      <c r="D521" s="478">
        <f>D519*D520</f>
        <v>1413374.5080000001</v>
      </c>
      <c r="E521" s="478">
        <f>E519*E520</f>
        <v>1607713.50285</v>
      </c>
      <c r="F521" s="478">
        <f>F519*F520</f>
        <v>1817952.9609150002</v>
      </c>
      <c r="G521" s="478">
        <f>G519*G520</f>
        <v>2099735.6698568254</v>
      </c>
    </row>
    <row r="522" spans="2:7" s="102" customFormat="1" ht="15" x14ac:dyDescent="0.25">
      <c r="B522" s="544">
        <f>20%</f>
        <v>0.2</v>
      </c>
      <c r="C522" s="545">
        <f>C521*$B$522</f>
        <v>246779.67599999998</v>
      </c>
      <c r="D522" s="545">
        <f t="shared" ref="D522:G522" si="4">D521*$B$522</f>
        <v>282674.90160000004</v>
      </c>
      <c r="E522" s="545">
        <f t="shared" si="4"/>
        <v>321542.70057000004</v>
      </c>
      <c r="F522" s="545">
        <f t="shared" si="4"/>
        <v>363590.59218300006</v>
      </c>
      <c r="G522" s="545">
        <f t="shared" si="4"/>
        <v>419947.13397136511</v>
      </c>
    </row>
    <row r="523" spans="2:7" s="102" customFormat="1" ht="19.5" customHeight="1" x14ac:dyDescent="0.2">
      <c r="B523" s="478" t="s">
        <v>998</v>
      </c>
      <c r="C523" s="478">
        <v>1000000</v>
      </c>
      <c r="D523" s="478">
        <v>1000000</v>
      </c>
      <c r="E523" s="478">
        <v>1000000</v>
      </c>
      <c r="F523" s="478">
        <v>1000000</v>
      </c>
      <c r="G523" s="478">
        <v>1000000</v>
      </c>
    </row>
    <row r="524" spans="2:7" s="102" customFormat="1" ht="19.5" customHeight="1" x14ac:dyDescent="0.2">
      <c r="B524" s="478" t="s">
        <v>999</v>
      </c>
      <c r="C524" s="546">
        <f>C522</f>
        <v>246779.67599999998</v>
      </c>
      <c r="D524" s="546">
        <f>D522</f>
        <v>282674.90160000004</v>
      </c>
      <c r="E524" s="546">
        <f>E522</f>
        <v>321542.70057000004</v>
      </c>
      <c r="F524" s="546">
        <f>F522</f>
        <v>363590.59218300006</v>
      </c>
      <c r="G524" s="546">
        <f>G522</f>
        <v>419947.13397136511</v>
      </c>
    </row>
    <row r="525" spans="2:7" s="102" customFormat="1" ht="19.5" customHeight="1" x14ac:dyDescent="0.2">
      <c r="B525" s="478" t="s">
        <v>1000</v>
      </c>
      <c r="C525" s="395">
        <f>(3.75%)</f>
        <v>3.7499999999999999E-2</v>
      </c>
      <c r="D525" s="395">
        <f>(3.75%)</f>
        <v>3.7499999999999999E-2</v>
      </c>
      <c r="E525" s="395">
        <f>(3.75%)</f>
        <v>3.7499999999999999E-2</v>
      </c>
      <c r="F525" s="395">
        <f>(3.75%)</f>
        <v>3.7499999999999999E-2</v>
      </c>
      <c r="G525" s="395">
        <f>(3.75%)</f>
        <v>3.7499999999999999E-2</v>
      </c>
    </row>
    <row r="526" spans="2:7" s="102" customFormat="1" ht="19.5" customHeight="1" x14ac:dyDescent="0.2">
      <c r="B526" s="478" t="s">
        <v>1001</v>
      </c>
      <c r="C526" s="205">
        <v>4.0000000000000002E-4</v>
      </c>
      <c r="D526" s="205">
        <v>4.0000000000000002E-4</v>
      </c>
      <c r="E526" s="205">
        <v>4.0000000000000002E-4</v>
      </c>
      <c r="F526" s="205">
        <v>4.0000000000000002E-4</v>
      </c>
      <c r="G526" s="205">
        <v>4.0000000000000002E-4</v>
      </c>
    </row>
    <row r="527" spans="2:7" s="102" customFormat="1" ht="19.5" customHeight="1" x14ac:dyDescent="0.25">
      <c r="B527" s="48"/>
      <c r="C527" s="384">
        <f>C523*(C525+C526)*50%</f>
        <v>18949.999999999996</v>
      </c>
      <c r="D527" s="384">
        <f>D523*(D525+D526)*50%</f>
        <v>18949.999999999996</v>
      </c>
      <c r="E527" s="384">
        <f>E523*(E525+E526)*50%</f>
        <v>18949.999999999996</v>
      </c>
      <c r="F527" s="384">
        <f>F523*(F525+F526)*50%</f>
        <v>18949.999999999996</v>
      </c>
      <c r="G527" s="384">
        <f>G523*(G525+G526)*50%</f>
        <v>18949.999999999996</v>
      </c>
    </row>
    <row r="528" spans="2:7" s="102" customFormat="1" ht="30.95" customHeight="1" x14ac:dyDescent="0.25">
      <c r="B528" s="547" t="s">
        <v>1002</v>
      </c>
      <c r="C528" s="542">
        <f>+C527*C522</f>
        <v>4676474860.1999989</v>
      </c>
      <c r="D528" s="542">
        <f>+D527*D522</f>
        <v>5356689385.3199997</v>
      </c>
      <c r="E528" s="542">
        <f>+E527*E522</f>
        <v>6093234175.8014994</v>
      </c>
      <c r="F528" s="542">
        <f>+F527*F522</f>
        <v>6890041721.8678493</v>
      </c>
      <c r="G528" s="542">
        <f>+G527*G522</f>
        <v>7957998188.7573671</v>
      </c>
    </row>
    <row r="529" spans="1:18" s="102" customFormat="1" x14ac:dyDescent="0.2">
      <c r="C529" s="432"/>
      <c r="D529" s="432"/>
    </row>
    <row r="530" spans="1:18" s="102" customFormat="1" x14ac:dyDescent="0.2">
      <c r="C530" s="432"/>
      <c r="D530" s="432"/>
    </row>
    <row r="531" spans="1:18" s="102" customFormat="1" ht="15" x14ac:dyDescent="0.25">
      <c r="B531" s="381" t="s">
        <v>1003</v>
      </c>
      <c r="C531" s="432"/>
      <c r="D531" s="432"/>
    </row>
    <row r="532" spans="1:18" x14ac:dyDescent="0.2">
      <c r="B532" s="548" t="s">
        <v>1004</v>
      </c>
      <c r="C532" s="50">
        <v>38004</v>
      </c>
      <c r="D532" s="25"/>
      <c r="E532" s="25"/>
      <c r="F532" s="525"/>
      <c r="G532" s="25"/>
      <c r="H532" s="25"/>
      <c r="I532" s="418"/>
      <c r="J532" s="418"/>
      <c r="K532" s="25"/>
      <c r="L532" s="25"/>
      <c r="M532" s="25"/>
      <c r="N532" s="25"/>
      <c r="O532" s="25"/>
      <c r="P532" s="25"/>
      <c r="Q532" s="25"/>
      <c r="R532" s="25"/>
    </row>
    <row r="533" spans="1:18" ht="30" x14ac:dyDescent="0.2">
      <c r="B533" s="549" t="s">
        <v>1005</v>
      </c>
      <c r="C533" s="550" t="s">
        <v>1006</v>
      </c>
      <c r="D533" s="550" t="s">
        <v>1007</v>
      </c>
      <c r="E533" s="550" t="s">
        <v>1008</v>
      </c>
      <c r="F533" s="550" t="s">
        <v>1009</v>
      </c>
      <c r="G533" s="550" t="s">
        <v>1010</v>
      </c>
      <c r="H533" s="550" t="s">
        <v>1011</v>
      </c>
      <c r="I533" s="418"/>
      <c r="J533" s="418"/>
      <c r="K533" s="25"/>
      <c r="L533" s="25"/>
      <c r="M533" s="25"/>
      <c r="N533" s="25"/>
      <c r="O533" s="25"/>
      <c r="P533" s="25"/>
      <c r="Q533" s="25"/>
      <c r="R533" s="25"/>
    </row>
    <row r="534" spans="1:18" ht="15" x14ac:dyDescent="0.2">
      <c r="B534" s="551" t="s">
        <v>1012</v>
      </c>
      <c r="C534" s="552">
        <v>23563</v>
      </c>
      <c r="D534" s="553">
        <f>C532*C534</f>
        <v>895488252</v>
      </c>
      <c r="E534" s="554">
        <v>0.1</v>
      </c>
      <c r="F534" s="50">
        <f>D534*E534</f>
        <v>89548825.200000003</v>
      </c>
      <c r="G534" s="554">
        <v>0.1</v>
      </c>
      <c r="H534" s="555">
        <f>F534*G534</f>
        <v>8954882.5200000014</v>
      </c>
      <c r="I534" s="418"/>
      <c r="J534" s="418"/>
      <c r="K534" s="25"/>
      <c r="L534" s="25"/>
      <c r="M534" s="25"/>
      <c r="N534" s="25"/>
      <c r="O534" s="25"/>
      <c r="P534" s="25"/>
      <c r="Q534" s="25"/>
      <c r="R534" s="25"/>
    </row>
    <row r="535" spans="1:18" ht="15" x14ac:dyDescent="0.2">
      <c r="B535" s="556" t="s">
        <v>1013</v>
      </c>
      <c r="C535" s="552">
        <v>204995</v>
      </c>
      <c r="D535" s="553">
        <f>C532*C535</f>
        <v>7790629980</v>
      </c>
      <c r="E535" s="554">
        <v>0.05</v>
      </c>
      <c r="F535" s="50">
        <f>D535*E535</f>
        <v>389531499</v>
      </c>
      <c r="G535" s="554">
        <v>0.05</v>
      </c>
      <c r="H535" s="555">
        <f>F535*G535</f>
        <v>19476574.949999999</v>
      </c>
      <c r="I535" s="418"/>
      <c r="J535" s="418"/>
      <c r="K535" s="25"/>
      <c r="L535" s="25"/>
      <c r="M535" s="25"/>
      <c r="N535" s="25"/>
      <c r="O535" s="25"/>
      <c r="P535" s="25"/>
      <c r="Q535" s="25"/>
      <c r="R535" s="25"/>
    </row>
    <row r="536" spans="1:18" x14ac:dyDescent="0.2">
      <c r="B536" s="551" t="s">
        <v>1014</v>
      </c>
      <c r="C536" s="552">
        <v>1736565</v>
      </c>
      <c r="D536" s="553">
        <f>C532*C536</f>
        <v>65996416260</v>
      </c>
      <c r="E536" s="554"/>
      <c r="F536" s="50">
        <f>D536*E536</f>
        <v>0</v>
      </c>
      <c r="G536" s="554"/>
      <c r="H536" s="557">
        <f>F536*G536</f>
        <v>0</v>
      </c>
      <c r="I536" s="418"/>
      <c r="J536" s="418"/>
      <c r="K536" s="25"/>
      <c r="L536" s="25"/>
      <c r="M536" s="25"/>
      <c r="N536" s="25"/>
      <c r="O536" s="25"/>
      <c r="P536" s="25"/>
      <c r="Q536" s="25"/>
      <c r="R536" s="25"/>
    </row>
    <row r="537" spans="1:18" x14ac:dyDescent="0.2">
      <c r="B537" s="418"/>
      <c r="C537" s="558"/>
      <c r="D537" s="559"/>
      <c r="E537" s="560"/>
      <c r="F537" s="525"/>
      <c r="G537" s="560"/>
      <c r="H537" s="561"/>
      <c r="I537" s="418"/>
      <c r="J537" s="418"/>
      <c r="K537" s="25"/>
      <c r="L537" s="25"/>
      <c r="M537" s="25"/>
      <c r="N537" s="25"/>
      <c r="O537" s="25"/>
      <c r="P537" s="25"/>
      <c r="Q537" s="25"/>
      <c r="R537" s="25"/>
    </row>
    <row r="538" spans="1:18" ht="15" x14ac:dyDescent="0.25">
      <c r="B538" s="466" t="s">
        <v>1330</v>
      </c>
      <c r="C538" s="649"/>
      <c r="D538" s="538"/>
      <c r="E538" s="538"/>
      <c r="F538" s="538"/>
      <c r="G538" s="538"/>
      <c r="H538" s="538"/>
      <c r="I538" s="538"/>
      <c r="J538" s="538"/>
    </row>
    <row r="539" spans="1:18" ht="15" x14ac:dyDescent="0.25">
      <c r="B539" s="466" t="s">
        <v>300</v>
      </c>
      <c r="C539" s="466" t="s">
        <v>1139</v>
      </c>
      <c r="D539" s="538"/>
      <c r="E539" s="466" t="s">
        <v>1140</v>
      </c>
      <c r="F539" s="466" t="s">
        <v>1141</v>
      </c>
      <c r="G539" s="466" t="s">
        <v>1142</v>
      </c>
      <c r="H539" s="538"/>
      <c r="I539" s="538"/>
      <c r="J539" s="538"/>
    </row>
    <row r="540" spans="1:18" ht="15" x14ac:dyDescent="0.25">
      <c r="A540" s="103"/>
      <c r="B540" s="466" t="s">
        <v>1143</v>
      </c>
      <c r="C540" s="466">
        <v>3</v>
      </c>
      <c r="D540" s="466" t="s">
        <v>1144</v>
      </c>
      <c r="E540" s="641">
        <v>300</v>
      </c>
      <c r="F540" s="650">
        <f>D23+C123</f>
        <v>4316384</v>
      </c>
      <c r="G540" s="641">
        <v>8</v>
      </c>
      <c r="H540" s="538"/>
      <c r="I540" s="538"/>
      <c r="J540" s="538"/>
    </row>
    <row r="541" spans="1:18" x14ac:dyDescent="0.2">
      <c r="A541" s="646">
        <v>1</v>
      </c>
      <c r="B541" s="651">
        <v>170000</v>
      </c>
      <c r="C541" s="651">
        <f>B541/2</f>
        <v>85000</v>
      </c>
      <c r="D541" s="54">
        <f>C541/3</f>
        <v>28333.333333333332</v>
      </c>
      <c r="E541" s="652">
        <f t="shared" ref="E541:E560" si="5">D541/E$540</f>
        <v>94.444444444444443</v>
      </c>
      <c r="F541" s="652">
        <f t="shared" ref="F541:G560" si="6">E541*F$540</f>
        <v>407658488.8888889</v>
      </c>
      <c r="G541" s="652">
        <f t="shared" si="6"/>
        <v>3261267911.1111112</v>
      </c>
      <c r="H541" s="538"/>
      <c r="I541" s="538"/>
      <c r="J541" s="538"/>
    </row>
    <row r="542" spans="1:18" x14ac:dyDescent="0.2">
      <c r="A542" s="646">
        <v>2</v>
      </c>
      <c r="B542" s="54">
        <f xml:space="preserve"> B541-(B541*0.06)</f>
        <v>159800</v>
      </c>
      <c r="C542" s="651">
        <f t="shared" ref="C542:C560" si="7">B542/2</f>
        <v>79900</v>
      </c>
      <c r="D542" s="54">
        <f t="shared" ref="D542:D560" si="8">C542/3</f>
        <v>26633.333333333332</v>
      </c>
      <c r="E542" s="652">
        <f t="shared" si="5"/>
        <v>88.777777777777771</v>
      </c>
      <c r="F542" s="652">
        <f t="shared" si="6"/>
        <v>383198979.55555552</v>
      </c>
      <c r="G542" s="652">
        <f t="shared" si="6"/>
        <v>3065591836.4444442</v>
      </c>
      <c r="H542" s="538"/>
      <c r="I542" s="538"/>
      <c r="J542" s="538"/>
    </row>
    <row r="543" spans="1:18" x14ac:dyDescent="0.2">
      <c r="A543" s="646">
        <v>3</v>
      </c>
      <c r="B543" s="54">
        <f t="shared" ref="B543:B560" si="9" xml:space="preserve"> B542-(B542*0.06)</f>
        <v>150212</v>
      </c>
      <c r="C543" s="651">
        <f t="shared" si="7"/>
        <v>75106</v>
      </c>
      <c r="D543" s="54">
        <f t="shared" si="8"/>
        <v>25035.333333333332</v>
      </c>
      <c r="E543" s="652">
        <f t="shared" si="5"/>
        <v>83.451111111111103</v>
      </c>
      <c r="F543" s="652">
        <f t="shared" si="6"/>
        <v>360207040.78222221</v>
      </c>
      <c r="G543" s="652">
        <f t="shared" si="6"/>
        <v>2881656326.2577777</v>
      </c>
      <c r="H543" s="538"/>
      <c r="I543" s="538"/>
      <c r="J543" s="538"/>
    </row>
    <row r="544" spans="1:18" x14ac:dyDescent="0.2">
      <c r="A544" s="646">
        <v>4</v>
      </c>
      <c r="B544" s="54">
        <f t="shared" si="9"/>
        <v>141199.28</v>
      </c>
      <c r="C544" s="651">
        <f t="shared" si="7"/>
        <v>70599.64</v>
      </c>
      <c r="D544" s="54">
        <f t="shared" si="8"/>
        <v>23533.213333333333</v>
      </c>
      <c r="E544" s="652">
        <f t="shared" si="5"/>
        <v>78.444044444444444</v>
      </c>
      <c r="F544" s="652">
        <f t="shared" si="6"/>
        <v>338594618.33528888</v>
      </c>
      <c r="G544" s="652">
        <f t="shared" si="6"/>
        <v>2708756946.6823111</v>
      </c>
      <c r="H544" s="538"/>
      <c r="I544" s="538"/>
      <c r="J544" s="538"/>
    </row>
    <row r="545" spans="1:10" x14ac:dyDescent="0.2">
      <c r="A545" s="646">
        <v>5</v>
      </c>
      <c r="B545" s="54">
        <f t="shared" si="9"/>
        <v>132727.32319999998</v>
      </c>
      <c r="C545" s="651">
        <f t="shared" si="7"/>
        <v>66363.661599999992</v>
      </c>
      <c r="D545" s="54">
        <f t="shared" si="8"/>
        <v>22121.22053333333</v>
      </c>
      <c r="E545" s="652">
        <f t="shared" si="5"/>
        <v>73.737401777777762</v>
      </c>
      <c r="F545" s="652">
        <f t="shared" si="6"/>
        <v>318278941.2351715</v>
      </c>
      <c r="G545" s="652">
        <f t="shared" si="6"/>
        <v>2546231529.881372</v>
      </c>
      <c r="H545" s="538"/>
      <c r="I545" s="538"/>
      <c r="J545" s="538"/>
    </row>
    <row r="546" spans="1:10" x14ac:dyDescent="0.2">
      <c r="A546" s="646">
        <v>6</v>
      </c>
      <c r="B546" s="54">
        <f t="shared" si="9"/>
        <v>124763.68380799999</v>
      </c>
      <c r="C546" s="651">
        <f t="shared" si="7"/>
        <v>62381.841903999994</v>
      </c>
      <c r="D546" s="54">
        <f t="shared" si="8"/>
        <v>20793.94730133333</v>
      </c>
      <c r="E546" s="652">
        <f t="shared" si="5"/>
        <v>69.313157671111099</v>
      </c>
      <c r="F546" s="652">
        <f t="shared" si="6"/>
        <v>299182204.76106119</v>
      </c>
      <c r="G546" s="652">
        <f t="shared" si="6"/>
        <v>2393457638.0884895</v>
      </c>
      <c r="H546" s="538"/>
      <c r="I546" s="538"/>
      <c r="J546" s="538"/>
    </row>
    <row r="547" spans="1:10" x14ac:dyDescent="0.2">
      <c r="A547" s="646">
        <v>7</v>
      </c>
      <c r="B547" s="54">
        <f t="shared" si="9"/>
        <v>117277.86277951999</v>
      </c>
      <c r="C547" s="651">
        <f t="shared" si="7"/>
        <v>58638.931389759993</v>
      </c>
      <c r="D547" s="54">
        <f t="shared" si="8"/>
        <v>19546.310463253332</v>
      </c>
      <c r="E547" s="652">
        <f t="shared" si="5"/>
        <v>65.154368210844439</v>
      </c>
      <c r="F547" s="652">
        <f t="shared" si="6"/>
        <v>281231272.47539759</v>
      </c>
      <c r="G547" s="652">
        <f t="shared" si="6"/>
        <v>2249850179.8031807</v>
      </c>
      <c r="H547" s="538"/>
      <c r="I547" s="538"/>
      <c r="J547" s="538"/>
    </row>
    <row r="548" spans="1:10" x14ac:dyDescent="0.2">
      <c r="A548" s="646">
        <v>8</v>
      </c>
      <c r="B548" s="54">
        <f t="shared" si="9"/>
        <v>110241.19101274879</v>
      </c>
      <c r="C548" s="651">
        <f t="shared" si="7"/>
        <v>55120.595506374397</v>
      </c>
      <c r="D548" s="54">
        <f t="shared" si="8"/>
        <v>18373.531835458132</v>
      </c>
      <c r="E548" s="652">
        <f t="shared" si="5"/>
        <v>61.245106118193775</v>
      </c>
      <c r="F548" s="652">
        <f t="shared" si="6"/>
        <v>264357396.12687373</v>
      </c>
      <c r="G548" s="652">
        <f t="shared" si="6"/>
        <v>2114859169.0149899</v>
      </c>
      <c r="H548" s="538"/>
      <c r="I548" s="538"/>
      <c r="J548" s="538"/>
    </row>
    <row r="549" spans="1:10" x14ac:dyDescent="0.2">
      <c r="A549" s="646">
        <v>9</v>
      </c>
      <c r="B549" s="54">
        <f t="shared" si="9"/>
        <v>103626.71955198387</v>
      </c>
      <c r="C549" s="651">
        <f t="shared" si="7"/>
        <v>51813.359775991936</v>
      </c>
      <c r="D549" s="54">
        <f t="shared" si="8"/>
        <v>17271.119925330644</v>
      </c>
      <c r="E549" s="652">
        <f t="shared" si="5"/>
        <v>57.570399751102144</v>
      </c>
      <c r="F549" s="652">
        <f t="shared" si="6"/>
        <v>248495952.35926127</v>
      </c>
      <c r="G549" s="652">
        <f t="shared" si="6"/>
        <v>1987967618.8740902</v>
      </c>
      <c r="H549" s="538"/>
      <c r="I549" s="538"/>
      <c r="J549" s="538"/>
    </row>
    <row r="550" spans="1:10" x14ac:dyDescent="0.2">
      <c r="A550" s="646">
        <v>10</v>
      </c>
      <c r="B550" s="54">
        <f t="shared" si="9"/>
        <v>97409.116378864841</v>
      </c>
      <c r="C550" s="651">
        <f t="shared" si="7"/>
        <v>48704.55818943242</v>
      </c>
      <c r="D550" s="54">
        <f t="shared" si="8"/>
        <v>16234.852729810807</v>
      </c>
      <c r="E550" s="652">
        <f t="shared" si="5"/>
        <v>54.116175766036022</v>
      </c>
      <c r="F550" s="652">
        <f t="shared" si="6"/>
        <v>233586195.21770564</v>
      </c>
      <c r="G550" s="652">
        <f t="shared" si="6"/>
        <v>1868689561.7416451</v>
      </c>
      <c r="H550" s="538"/>
      <c r="I550" s="538"/>
      <c r="J550" s="538"/>
    </row>
    <row r="551" spans="1:10" x14ac:dyDescent="0.2">
      <c r="A551" s="646">
        <v>11</v>
      </c>
      <c r="B551" s="54">
        <f t="shared" si="9"/>
        <v>91564.569396132953</v>
      </c>
      <c r="C551" s="651">
        <f t="shared" si="7"/>
        <v>45782.284698066476</v>
      </c>
      <c r="D551" s="54">
        <f t="shared" si="8"/>
        <v>15260.761566022158</v>
      </c>
      <c r="E551" s="652">
        <f t="shared" si="5"/>
        <v>50.869205220073859</v>
      </c>
      <c r="F551" s="652">
        <f t="shared" si="6"/>
        <v>219571023.50464329</v>
      </c>
      <c r="G551" s="652">
        <f t="shared" si="6"/>
        <v>1756568188.0371463</v>
      </c>
      <c r="H551" s="538"/>
      <c r="I551" s="538"/>
      <c r="J551" s="538"/>
    </row>
    <row r="552" spans="1:10" x14ac:dyDescent="0.2">
      <c r="A552" s="646">
        <v>12</v>
      </c>
      <c r="B552" s="54">
        <f t="shared" si="9"/>
        <v>86070.695232364975</v>
      </c>
      <c r="C552" s="651">
        <f t="shared" si="7"/>
        <v>43035.347616182487</v>
      </c>
      <c r="D552" s="54">
        <f t="shared" si="8"/>
        <v>14345.115872060829</v>
      </c>
      <c r="E552" s="652">
        <f t="shared" si="5"/>
        <v>47.817052906869428</v>
      </c>
      <c r="F552" s="652">
        <f t="shared" si="6"/>
        <v>206396762.0943647</v>
      </c>
      <c r="G552" s="652">
        <f t="shared" si="6"/>
        <v>1651174096.7549176</v>
      </c>
      <c r="H552" s="538"/>
      <c r="I552" s="538"/>
      <c r="J552" s="538"/>
    </row>
    <row r="553" spans="1:10" x14ac:dyDescent="0.2">
      <c r="A553" s="646">
        <v>13</v>
      </c>
      <c r="B553" s="54">
        <f t="shared" si="9"/>
        <v>80906.453518423077</v>
      </c>
      <c r="C553" s="651">
        <f t="shared" si="7"/>
        <v>40453.226759211539</v>
      </c>
      <c r="D553" s="54">
        <f t="shared" si="8"/>
        <v>13484.40891973718</v>
      </c>
      <c r="E553" s="652">
        <f t="shared" si="5"/>
        <v>44.948029732457265</v>
      </c>
      <c r="F553" s="652">
        <f t="shared" si="6"/>
        <v>194012956.36870283</v>
      </c>
      <c r="G553" s="652">
        <f t="shared" si="6"/>
        <v>1552103650.9496226</v>
      </c>
      <c r="H553" s="538"/>
      <c r="I553" s="538"/>
      <c r="J553" s="538"/>
    </row>
    <row r="554" spans="1:10" x14ac:dyDescent="0.2">
      <c r="A554" s="646">
        <v>14</v>
      </c>
      <c r="B554" s="54">
        <f t="shared" si="9"/>
        <v>76052.066307317698</v>
      </c>
      <c r="C554" s="651">
        <f t="shared" si="7"/>
        <v>38026.033153658849</v>
      </c>
      <c r="D554" s="54">
        <f t="shared" si="8"/>
        <v>12675.344384552949</v>
      </c>
      <c r="E554" s="652">
        <f t="shared" si="5"/>
        <v>42.251147948509832</v>
      </c>
      <c r="F554" s="652">
        <f t="shared" si="6"/>
        <v>182372178.98658067</v>
      </c>
      <c r="G554" s="652">
        <f t="shared" si="6"/>
        <v>1458977431.8926454</v>
      </c>
      <c r="H554" s="538"/>
      <c r="I554" s="538"/>
      <c r="J554" s="538"/>
    </row>
    <row r="555" spans="1:10" x14ac:dyDescent="0.2">
      <c r="A555" s="646">
        <v>15</v>
      </c>
      <c r="B555" s="54">
        <f t="shared" si="9"/>
        <v>71488.942328878635</v>
      </c>
      <c r="C555" s="651">
        <f t="shared" si="7"/>
        <v>35744.471164439317</v>
      </c>
      <c r="D555" s="54">
        <f t="shared" si="8"/>
        <v>11914.823721479772</v>
      </c>
      <c r="E555" s="652">
        <f t="shared" si="5"/>
        <v>39.716079071599239</v>
      </c>
      <c r="F555" s="652">
        <f t="shared" si="6"/>
        <v>171429848.2473858</v>
      </c>
      <c r="G555" s="652">
        <f t="shared" si="6"/>
        <v>1371438785.9790864</v>
      </c>
      <c r="H555" s="538"/>
      <c r="I555" s="538"/>
      <c r="J555" s="538"/>
    </row>
    <row r="556" spans="1:10" x14ac:dyDescent="0.2">
      <c r="A556" s="646">
        <v>16</v>
      </c>
      <c r="B556" s="54">
        <f t="shared" si="9"/>
        <v>67199.60578914592</v>
      </c>
      <c r="C556" s="651">
        <f t="shared" si="7"/>
        <v>33599.80289457296</v>
      </c>
      <c r="D556" s="54">
        <f t="shared" si="8"/>
        <v>11199.934298190987</v>
      </c>
      <c r="E556" s="652">
        <f t="shared" si="5"/>
        <v>37.333114327303292</v>
      </c>
      <c r="F556" s="652">
        <f t="shared" si="6"/>
        <v>161144057.3525427</v>
      </c>
      <c r="G556" s="652">
        <f t="shared" si="6"/>
        <v>1289152458.8203416</v>
      </c>
      <c r="H556" s="538"/>
      <c r="I556" s="538"/>
      <c r="J556" s="538"/>
    </row>
    <row r="557" spans="1:10" x14ac:dyDescent="0.2">
      <c r="A557" s="646">
        <v>17</v>
      </c>
      <c r="B557" s="54">
        <f t="shared" si="9"/>
        <v>63167.629441797166</v>
      </c>
      <c r="C557" s="651">
        <f t="shared" si="7"/>
        <v>31583.814720898583</v>
      </c>
      <c r="D557" s="54">
        <f t="shared" si="8"/>
        <v>10527.938240299527</v>
      </c>
      <c r="E557" s="652">
        <f t="shared" si="5"/>
        <v>35.093127467665092</v>
      </c>
      <c r="F557" s="652">
        <f t="shared" si="6"/>
        <v>151475413.91139013</v>
      </c>
      <c r="G557" s="652">
        <f t="shared" si="6"/>
        <v>1211803311.291121</v>
      </c>
      <c r="H557" s="538"/>
      <c r="I557" s="538"/>
      <c r="J557" s="538"/>
    </row>
    <row r="558" spans="1:10" x14ac:dyDescent="0.2">
      <c r="A558" s="646">
        <v>18</v>
      </c>
      <c r="B558" s="54">
        <f t="shared" si="9"/>
        <v>59377.571675289335</v>
      </c>
      <c r="C558" s="651">
        <f t="shared" si="7"/>
        <v>29688.785837644667</v>
      </c>
      <c r="D558" s="54">
        <f t="shared" si="8"/>
        <v>9896.2619458815552</v>
      </c>
      <c r="E558" s="652">
        <f t="shared" si="5"/>
        <v>32.987539819605182</v>
      </c>
      <c r="F558" s="652">
        <f t="shared" si="6"/>
        <v>142386889.07670671</v>
      </c>
      <c r="G558" s="652">
        <f t="shared" si="6"/>
        <v>1139095112.6136537</v>
      </c>
      <c r="H558" s="538"/>
      <c r="I558" s="538"/>
      <c r="J558" s="538"/>
    </row>
    <row r="559" spans="1:10" x14ac:dyDescent="0.2">
      <c r="A559" s="646">
        <v>19</v>
      </c>
      <c r="B559" s="54">
        <f t="shared" si="9"/>
        <v>55814.917374771976</v>
      </c>
      <c r="C559" s="651">
        <f t="shared" si="7"/>
        <v>27907.458687385988</v>
      </c>
      <c r="D559" s="54">
        <f t="shared" si="8"/>
        <v>9302.4862291286627</v>
      </c>
      <c r="E559" s="652">
        <f t="shared" si="5"/>
        <v>31.008287430428876</v>
      </c>
      <c r="F559" s="652">
        <f t="shared" si="6"/>
        <v>133843675.73210432</v>
      </c>
      <c r="G559" s="652">
        <f t="shared" si="6"/>
        <v>1070749405.8568345</v>
      </c>
      <c r="H559" s="538"/>
      <c r="I559" s="538"/>
      <c r="J559" s="538"/>
    </row>
    <row r="560" spans="1:10" hidden="1" x14ac:dyDescent="0.2">
      <c r="A560" s="646">
        <v>20</v>
      </c>
      <c r="B560" s="54">
        <f t="shared" si="9"/>
        <v>52466.022332285655</v>
      </c>
      <c r="C560" s="651">
        <f t="shared" si="7"/>
        <v>26233.011166142827</v>
      </c>
      <c r="D560" s="54">
        <f t="shared" si="8"/>
        <v>8744.3370553809418</v>
      </c>
      <c r="E560" s="652">
        <f t="shared" si="5"/>
        <v>29.147790184603139</v>
      </c>
      <c r="F560" s="652">
        <f t="shared" si="6"/>
        <v>125813055.18817803</v>
      </c>
      <c r="G560" s="652">
        <f t="shared" si="6"/>
        <v>1006504441.5054243</v>
      </c>
      <c r="H560" s="538"/>
      <c r="I560" s="538"/>
      <c r="J560" s="538"/>
    </row>
    <row r="561" spans="1:24" x14ac:dyDescent="0.2">
      <c r="A561" s="649"/>
      <c r="B561" s="649"/>
      <c r="C561" s="649"/>
      <c r="D561" s="538"/>
      <c r="E561" s="538"/>
      <c r="F561" s="538"/>
      <c r="G561" s="538"/>
      <c r="H561" s="538"/>
      <c r="I561" s="538"/>
      <c r="J561" s="538"/>
    </row>
    <row r="562" spans="1:24" x14ac:dyDescent="0.2">
      <c r="A562" s="649"/>
      <c r="B562" s="649"/>
      <c r="C562" s="649"/>
      <c r="D562" s="538"/>
      <c r="E562" s="538"/>
      <c r="F562" s="538"/>
      <c r="G562" s="538"/>
      <c r="H562" s="538"/>
      <c r="I562" s="538"/>
      <c r="J562" s="538"/>
    </row>
    <row r="563" spans="1:24" ht="15" x14ac:dyDescent="0.25">
      <c r="B563" s="403" t="s">
        <v>1331</v>
      </c>
      <c r="C563" s="558"/>
      <c r="D563" s="559"/>
      <c r="E563" s="560"/>
      <c r="F563" s="525"/>
      <c r="G563" s="560"/>
      <c r="H563" s="561"/>
      <c r="I563" s="418"/>
      <c r="J563" s="418"/>
      <c r="K563" s="25"/>
      <c r="L563" s="25"/>
      <c r="M563" s="25"/>
      <c r="N563" s="25"/>
      <c r="O563" s="25"/>
      <c r="P563" s="25"/>
      <c r="Q563" s="25"/>
      <c r="R563" s="25"/>
    </row>
    <row r="564" spans="1:24" ht="23.1" customHeight="1" x14ac:dyDescent="0.25">
      <c r="B564" s="513" t="s">
        <v>598</v>
      </c>
      <c r="C564" s="513">
        <v>2</v>
      </c>
      <c r="D564" s="513">
        <v>3</v>
      </c>
      <c r="E564" s="513">
        <v>4</v>
      </c>
      <c r="F564" s="513">
        <v>5</v>
      </c>
      <c r="G564" s="513">
        <v>6</v>
      </c>
      <c r="H564" s="513">
        <v>7</v>
      </c>
      <c r="I564" s="513">
        <v>8</v>
      </c>
      <c r="J564" s="513">
        <v>9</v>
      </c>
      <c r="K564" s="513">
        <v>10</v>
      </c>
      <c r="L564" s="513">
        <v>11</v>
      </c>
      <c r="M564" s="513">
        <v>12</v>
      </c>
      <c r="N564" s="513">
        <v>13</v>
      </c>
      <c r="O564" s="513">
        <v>14</v>
      </c>
      <c r="P564" s="513">
        <v>15</v>
      </c>
      <c r="Q564" s="513">
        <v>16</v>
      </c>
      <c r="R564" s="513">
        <v>17</v>
      </c>
      <c r="S564" s="513">
        <v>18</v>
      </c>
      <c r="T564" s="513">
        <v>19</v>
      </c>
      <c r="U564" s="513">
        <v>20</v>
      </c>
      <c r="V564" s="513" t="s">
        <v>32</v>
      </c>
      <c r="W564" s="513" t="s">
        <v>1015</v>
      </c>
    </row>
    <row r="565" spans="1:24" customFormat="1" ht="15" x14ac:dyDescent="0.25">
      <c r="A565" s="101"/>
      <c r="B565" s="562" t="s">
        <v>1016</v>
      </c>
      <c r="C565" s="563">
        <v>30000</v>
      </c>
      <c r="D565" s="564">
        <f>C565+(C565*15%)</f>
        <v>34500</v>
      </c>
      <c r="E565" s="564">
        <f>D565+(D565*15%)</f>
        <v>39675</v>
      </c>
      <c r="F565" s="564">
        <f>E565+(E565*15%)</f>
        <v>45626.25</v>
      </c>
      <c r="G565" s="564">
        <f>F565+(F565*15%)</f>
        <v>52470.1875</v>
      </c>
      <c r="H565" s="564">
        <f t="shared" ref="H565:K565" si="10">G565+(G565*20%)</f>
        <v>62964.224999999999</v>
      </c>
      <c r="I565" s="564">
        <f t="shared" si="10"/>
        <v>75557.070000000007</v>
      </c>
      <c r="J565" s="564">
        <f t="shared" si="10"/>
        <v>90668.484000000011</v>
      </c>
      <c r="K565" s="564">
        <f t="shared" si="10"/>
        <v>108802.18080000002</v>
      </c>
      <c r="L565" s="563">
        <f>J565</f>
        <v>90668.484000000011</v>
      </c>
      <c r="M565" s="563">
        <f>L565-L565*(20%)</f>
        <v>72534.787200000006</v>
      </c>
      <c r="N565" s="563">
        <f t="shared" ref="N565:U565" si="11">M565-M565*(20%)</f>
        <v>58027.829760000008</v>
      </c>
      <c r="O565" s="563">
        <f t="shared" si="11"/>
        <v>46422.263808000003</v>
      </c>
      <c r="P565" s="563">
        <f t="shared" si="11"/>
        <v>37137.811046400006</v>
      </c>
      <c r="Q565" s="563">
        <f t="shared" si="11"/>
        <v>29710.248837120005</v>
      </c>
      <c r="R565" s="563">
        <f t="shared" si="11"/>
        <v>23768.199069696006</v>
      </c>
      <c r="S565" s="563">
        <f t="shared" si="11"/>
        <v>19014.559255756805</v>
      </c>
      <c r="T565" s="563">
        <f t="shared" si="11"/>
        <v>15211.647404605445</v>
      </c>
      <c r="U565" s="563">
        <f t="shared" si="11"/>
        <v>12169.317923684355</v>
      </c>
      <c r="V565" s="563">
        <f>SUM(C565:U565)</f>
        <v>944928.54560526263</v>
      </c>
    </row>
    <row r="566" spans="1:24" customFormat="1" ht="15" x14ac:dyDescent="0.25">
      <c r="A566" s="101"/>
      <c r="B566" s="565" t="s">
        <v>1017</v>
      </c>
      <c r="C566" s="566">
        <v>30000</v>
      </c>
      <c r="D566" s="567">
        <v>34500</v>
      </c>
      <c r="E566" s="567">
        <v>40000</v>
      </c>
      <c r="F566" s="567">
        <v>46000</v>
      </c>
      <c r="G566" s="567">
        <v>53000</v>
      </c>
      <c r="H566" s="567">
        <v>63000</v>
      </c>
      <c r="I566" s="567">
        <v>76000</v>
      </c>
      <c r="J566" s="567">
        <v>91000</v>
      </c>
      <c r="K566" s="567">
        <v>109000</v>
      </c>
      <c r="L566" s="566">
        <v>91000</v>
      </c>
      <c r="M566" s="566">
        <v>73000</v>
      </c>
      <c r="N566" s="566">
        <v>58500</v>
      </c>
      <c r="O566" s="566">
        <v>47000</v>
      </c>
      <c r="P566" s="566">
        <v>37500</v>
      </c>
      <c r="Q566" s="566">
        <v>29000</v>
      </c>
      <c r="R566" s="566">
        <v>24000</v>
      </c>
      <c r="S566" s="566">
        <v>19500</v>
      </c>
      <c r="T566" s="566">
        <v>15500</v>
      </c>
      <c r="U566" s="566">
        <v>12500</v>
      </c>
      <c r="V566" s="566">
        <f>SUM(C566:U566)</f>
        <v>950000</v>
      </c>
    </row>
    <row r="567" spans="1:24" customFormat="1" ht="15" x14ac:dyDescent="0.25">
      <c r="A567" s="101"/>
      <c r="B567" s="568" t="s">
        <v>1018</v>
      </c>
      <c r="C567" s="569">
        <f>C565/$V$565</f>
        <v>3.1748432343933326E-2</v>
      </c>
      <c r="D567" s="569">
        <f t="shared" ref="D567:U567" si="12">D565/$V$565</f>
        <v>3.6510697195523328E-2</v>
      </c>
      <c r="E567" s="569">
        <f t="shared" si="12"/>
        <v>4.1987301774851826E-2</v>
      </c>
      <c r="F567" s="569">
        <f t="shared" si="12"/>
        <v>4.8285397041079606E-2</v>
      </c>
      <c r="G567" s="569">
        <f t="shared" si="12"/>
        <v>5.5528206597241545E-2</v>
      </c>
      <c r="H567" s="569">
        <f t="shared" si="12"/>
        <v>6.6633847916689845E-2</v>
      </c>
      <c r="I567" s="569">
        <f t="shared" si="12"/>
        <v>7.9960617500027822E-2</v>
      </c>
      <c r="J567" s="569">
        <f t="shared" si="12"/>
        <v>9.5952741000033398E-2</v>
      </c>
      <c r="K567" s="569">
        <f t="shared" si="12"/>
        <v>0.11514328920004008</v>
      </c>
      <c r="L567" s="569">
        <f t="shared" si="12"/>
        <v>9.5952741000033398E-2</v>
      </c>
      <c r="M567" s="569">
        <f t="shared" si="12"/>
        <v>7.6762192800026718E-2</v>
      </c>
      <c r="N567" s="569">
        <f t="shared" si="12"/>
        <v>6.1409754240021375E-2</v>
      </c>
      <c r="O567" s="569">
        <f t="shared" si="12"/>
        <v>4.9127803392017097E-2</v>
      </c>
      <c r="P567" s="569">
        <f t="shared" si="12"/>
        <v>3.9302242713613683E-2</v>
      </c>
      <c r="Q567" s="569">
        <f t="shared" si="12"/>
        <v>3.1441794170890942E-2</v>
      </c>
      <c r="R567" s="569">
        <f t="shared" si="12"/>
        <v>2.5153435336712757E-2</v>
      </c>
      <c r="S567" s="569">
        <f t="shared" si="12"/>
        <v>2.0122748269370206E-2</v>
      </c>
      <c r="T567" s="569">
        <f t="shared" si="12"/>
        <v>1.6098198615496166E-2</v>
      </c>
      <c r="U567" s="569">
        <f t="shared" si="12"/>
        <v>1.2878558892396932E-2</v>
      </c>
      <c r="V567" s="569">
        <f>V565/$V$565</f>
        <v>1</v>
      </c>
    </row>
    <row r="568" spans="1:24" customFormat="1" ht="15" x14ac:dyDescent="0.25">
      <c r="A568" s="101"/>
      <c r="B568" s="568"/>
      <c r="C568" s="570">
        <f>C566/$V$566</f>
        <v>3.1578947368421054E-2</v>
      </c>
      <c r="D568" s="570">
        <f t="shared" ref="D568:U568" si="13">D566/$V$566</f>
        <v>3.6315789473684211E-2</v>
      </c>
      <c r="E568" s="570">
        <f t="shared" si="13"/>
        <v>4.2105263157894736E-2</v>
      </c>
      <c r="F568" s="570">
        <f t="shared" si="13"/>
        <v>4.8421052631578948E-2</v>
      </c>
      <c r="G568" s="570">
        <f t="shared" si="13"/>
        <v>5.5789473684210528E-2</v>
      </c>
      <c r="H568" s="570">
        <f t="shared" si="13"/>
        <v>6.6315789473684217E-2</v>
      </c>
      <c r="I568" s="570">
        <f t="shared" si="13"/>
        <v>0.08</v>
      </c>
      <c r="J568" s="570">
        <f t="shared" si="13"/>
        <v>9.5789473684210522E-2</v>
      </c>
      <c r="K568" s="570">
        <f t="shared" si="13"/>
        <v>0.11473684210526315</v>
      </c>
      <c r="L568" s="570">
        <f t="shared" si="13"/>
        <v>9.5789473684210522E-2</v>
      </c>
      <c r="M568" s="570">
        <f t="shared" si="13"/>
        <v>7.6842105263157892E-2</v>
      </c>
      <c r="N568" s="570">
        <f t="shared" si="13"/>
        <v>6.1578947368421053E-2</v>
      </c>
      <c r="O568" s="570">
        <f t="shared" si="13"/>
        <v>4.9473684210526316E-2</v>
      </c>
      <c r="P568" s="570">
        <f t="shared" si="13"/>
        <v>3.9473684210526314E-2</v>
      </c>
      <c r="Q568" s="570">
        <f t="shared" si="13"/>
        <v>3.0526315789473683E-2</v>
      </c>
      <c r="R568" s="570">
        <f t="shared" si="13"/>
        <v>2.5263157894736842E-2</v>
      </c>
      <c r="S568" s="570">
        <f t="shared" si="13"/>
        <v>2.0526315789473684E-2</v>
      </c>
      <c r="T568" s="570">
        <f t="shared" si="13"/>
        <v>1.6315789473684211E-2</v>
      </c>
      <c r="U568" s="570">
        <f t="shared" si="13"/>
        <v>1.3157894736842105E-2</v>
      </c>
      <c r="V568" s="569"/>
    </row>
    <row r="569" spans="1:24" s="102" customFormat="1" ht="19.5" customHeight="1" x14ac:dyDescent="0.2">
      <c r="A569" s="101"/>
      <c r="B569" s="48" t="s">
        <v>1019</v>
      </c>
      <c r="C569" s="531">
        <v>5</v>
      </c>
      <c r="D569" s="48"/>
      <c r="E569" s="48"/>
      <c r="F569" s="48"/>
      <c r="G569" s="48"/>
      <c r="H569" s="48"/>
      <c r="I569" s="48"/>
      <c r="J569" s="48"/>
      <c r="K569" s="48"/>
      <c r="L569" s="48"/>
      <c r="M569" s="48"/>
      <c r="N569" s="48"/>
      <c r="O569" s="48"/>
      <c r="P569" s="48"/>
      <c r="Q569" s="48"/>
      <c r="R569" s="48"/>
      <c r="S569" s="48"/>
      <c r="T569" s="48"/>
      <c r="U569" s="48"/>
      <c r="V569" s="48"/>
    </row>
    <row r="570" spans="1:24" customFormat="1" ht="15" x14ac:dyDescent="0.25">
      <c r="A570" s="101"/>
      <c r="B570" s="103" t="s">
        <v>1020</v>
      </c>
      <c r="C570" s="571">
        <f>C566*$C$569</f>
        <v>150000</v>
      </c>
      <c r="D570" s="571">
        <f t="shared" ref="D570:U570" si="14">D566*$C$569</f>
        <v>172500</v>
      </c>
      <c r="E570" s="571">
        <f t="shared" si="14"/>
        <v>200000</v>
      </c>
      <c r="F570" s="571">
        <f t="shared" si="14"/>
        <v>230000</v>
      </c>
      <c r="G570" s="571">
        <f t="shared" si="14"/>
        <v>265000</v>
      </c>
      <c r="H570" s="571">
        <f t="shared" si="14"/>
        <v>315000</v>
      </c>
      <c r="I570" s="571">
        <f t="shared" si="14"/>
        <v>380000</v>
      </c>
      <c r="J570" s="571">
        <f t="shared" si="14"/>
        <v>455000</v>
      </c>
      <c r="K570" s="571">
        <f t="shared" si="14"/>
        <v>545000</v>
      </c>
      <c r="L570" s="571">
        <f t="shared" si="14"/>
        <v>455000</v>
      </c>
      <c r="M570" s="571">
        <f t="shared" si="14"/>
        <v>365000</v>
      </c>
      <c r="N570" s="571">
        <f t="shared" si="14"/>
        <v>292500</v>
      </c>
      <c r="O570" s="571">
        <f t="shared" si="14"/>
        <v>235000</v>
      </c>
      <c r="P570" s="571">
        <f t="shared" si="14"/>
        <v>187500</v>
      </c>
      <c r="Q570" s="571">
        <f t="shared" si="14"/>
        <v>145000</v>
      </c>
      <c r="R570" s="571">
        <f t="shared" si="14"/>
        <v>120000</v>
      </c>
      <c r="S570" s="571">
        <f t="shared" si="14"/>
        <v>97500</v>
      </c>
      <c r="T570" s="571">
        <f t="shared" si="14"/>
        <v>77500</v>
      </c>
      <c r="U570" s="571">
        <f t="shared" si="14"/>
        <v>62500</v>
      </c>
      <c r="V570" s="571">
        <f>V566*$C$569</f>
        <v>4750000</v>
      </c>
    </row>
    <row r="571" spans="1:24" customFormat="1" ht="15" x14ac:dyDescent="0.25">
      <c r="A571" s="101"/>
      <c r="B571" s="551" t="s">
        <v>1021</v>
      </c>
      <c r="C571" s="571">
        <v>150000</v>
      </c>
      <c r="D571" s="552"/>
      <c r="E571" s="552"/>
      <c r="F571" s="571"/>
      <c r="G571" s="571"/>
      <c r="H571" s="571"/>
      <c r="I571" s="571"/>
      <c r="J571" s="571"/>
      <c r="K571" s="571"/>
      <c r="L571" s="571"/>
      <c r="M571" s="571"/>
      <c r="N571" s="571"/>
      <c r="O571" s="571"/>
      <c r="P571" s="571"/>
      <c r="Q571" s="571"/>
      <c r="R571" s="571"/>
      <c r="S571" s="571"/>
      <c r="T571" s="571"/>
      <c r="U571" s="571"/>
      <c r="V571" s="571"/>
    </row>
    <row r="572" spans="1:24" customFormat="1" ht="15" x14ac:dyDescent="0.25">
      <c r="A572" s="101"/>
      <c r="B572" s="551" t="s">
        <v>1022</v>
      </c>
      <c r="C572" s="571">
        <f>C570*$C$571</f>
        <v>22500000000</v>
      </c>
      <c r="D572" s="552">
        <f t="shared" ref="D572:V573" si="15">D570*$C$571</f>
        <v>25875000000</v>
      </c>
      <c r="E572" s="552">
        <f t="shared" si="15"/>
        <v>30000000000</v>
      </c>
      <c r="F572" s="571">
        <f t="shared" si="15"/>
        <v>34500000000</v>
      </c>
      <c r="G572" s="571">
        <f t="shared" si="15"/>
        <v>39750000000</v>
      </c>
      <c r="H572" s="571">
        <f t="shared" si="15"/>
        <v>47250000000</v>
      </c>
      <c r="I572" s="571">
        <f t="shared" si="15"/>
        <v>57000000000</v>
      </c>
      <c r="J572" s="571">
        <f t="shared" si="15"/>
        <v>68250000000</v>
      </c>
      <c r="K572" s="571">
        <f t="shared" si="15"/>
        <v>81750000000</v>
      </c>
      <c r="L572" s="571">
        <f t="shared" si="15"/>
        <v>68250000000</v>
      </c>
      <c r="M572" s="571">
        <f t="shared" si="15"/>
        <v>54750000000</v>
      </c>
      <c r="N572" s="571">
        <f t="shared" si="15"/>
        <v>43875000000</v>
      </c>
      <c r="O572" s="571">
        <f t="shared" si="15"/>
        <v>35250000000</v>
      </c>
      <c r="P572" s="571">
        <f t="shared" si="15"/>
        <v>28125000000</v>
      </c>
      <c r="Q572" s="571">
        <f t="shared" si="15"/>
        <v>21750000000</v>
      </c>
      <c r="R572" s="571">
        <f t="shared" si="15"/>
        <v>18000000000</v>
      </c>
      <c r="S572" s="571">
        <f t="shared" si="15"/>
        <v>14625000000</v>
      </c>
      <c r="T572" s="571">
        <f t="shared" si="15"/>
        <v>11625000000</v>
      </c>
      <c r="U572" s="571">
        <f t="shared" si="15"/>
        <v>9375000000</v>
      </c>
      <c r="V572" s="571">
        <f t="shared" si="15"/>
        <v>712500000000</v>
      </c>
      <c r="W572" s="101"/>
    </row>
    <row r="573" spans="1:24" customFormat="1" ht="15" x14ac:dyDescent="0.25">
      <c r="A573" s="101"/>
      <c r="B573" s="551" t="s">
        <v>1023</v>
      </c>
      <c r="C573" s="572">
        <v>0.2</v>
      </c>
      <c r="D573" s="573">
        <v>0.2</v>
      </c>
      <c r="E573" s="573">
        <v>0.2</v>
      </c>
      <c r="F573" s="572">
        <v>0.2</v>
      </c>
      <c r="G573" s="572">
        <v>0.2</v>
      </c>
      <c r="H573" s="572">
        <v>0.2</v>
      </c>
      <c r="I573" s="572">
        <v>0.2</v>
      </c>
      <c r="J573" s="572">
        <v>0.2</v>
      </c>
      <c r="K573" s="572">
        <v>0.2</v>
      </c>
      <c r="L573" s="572">
        <v>0.2</v>
      </c>
      <c r="M573" s="572"/>
      <c r="N573" s="572"/>
      <c r="O573" s="572"/>
      <c r="P573" s="572"/>
      <c r="Q573" s="572"/>
      <c r="R573" s="572"/>
      <c r="S573" s="572"/>
      <c r="T573" s="572"/>
      <c r="U573" s="572"/>
      <c r="V573" s="571">
        <f t="shared" si="15"/>
        <v>0</v>
      </c>
    </row>
    <row r="574" spans="1:24" customFormat="1" ht="15" x14ac:dyDescent="0.25">
      <c r="A574" s="101"/>
      <c r="B574" s="551" t="s">
        <v>1024</v>
      </c>
      <c r="C574" s="572"/>
      <c r="D574" s="573"/>
      <c r="E574" s="573"/>
      <c r="F574" s="572"/>
      <c r="G574" s="572"/>
      <c r="H574" s="572"/>
      <c r="I574" s="572"/>
      <c r="J574" s="572"/>
      <c r="K574" s="572"/>
      <c r="L574" s="572"/>
      <c r="M574" s="574">
        <v>7.4999999999999997E-2</v>
      </c>
      <c r="N574" s="574">
        <v>7.4999999999999997E-2</v>
      </c>
      <c r="O574" s="574">
        <v>7.4999999999999997E-2</v>
      </c>
      <c r="P574" s="574">
        <v>7.4999999999999997E-2</v>
      </c>
      <c r="Q574" s="574">
        <v>7.4999999999999997E-2</v>
      </c>
      <c r="R574" s="574">
        <v>7.4999999999999997E-2</v>
      </c>
      <c r="S574" s="574">
        <v>7.4999999999999997E-2</v>
      </c>
      <c r="T574" s="574">
        <v>7.4999999999999997E-2</v>
      </c>
      <c r="U574" s="574">
        <v>7.4999999999999997E-2</v>
      </c>
      <c r="V574" s="571"/>
    </row>
    <row r="575" spans="1:24" ht="27.6" customHeight="1" x14ac:dyDescent="0.25">
      <c r="B575" s="381" t="s">
        <v>1249</v>
      </c>
      <c r="C575" s="575">
        <f>C572*C573</f>
        <v>4500000000</v>
      </c>
      <c r="D575" s="405">
        <f t="shared" ref="D575:L575" si="16">D572*D573</f>
        <v>5175000000</v>
      </c>
      <c r="E575" s="405">
        <f t="shared" si="16"/>
        <v>6000000000</v>
      </c>
      <c r="F575" s="405">
        <f t="shared" si="16"/>
        <v>6900000000</v>
      </c>
      <c r="G575" s="405">
        <f t="shared" si="16"/>
        <v>7950000000</v>
      </c>
      <c r="H575" s="405">
        <f t="shared" si="16"/>
        <v>9450000000</v>
      </c>
      <c r="I575" s="405">
        <f t="shared" si="16"/>
        <v>11400000000</v>
      </c>
      <c r="J575" s="405">
        <f t="shared" si="16"/>
        <v>13650000000</v>
      </c>
      <c r="K575" s="405">
        <f t="shared" si="16"/>
        <v>16350000000</v>
      </c>
      <c r="L575" s="405">
        <f t="shared" si="16"/>
        <v>13650000000</v>
      </c>
      <c r="V575" s="405">
        <f>SUM(C575:U575)</f>
        <v>95025000000</v>
      </c>
      <c r="W575" s="571">
        <f>SUM(C572:L572)</f>
        <v>475125000000</v>
      </c>
      <c r="X575" s="115"/>
    </row>
    <row r="576" spans="1:24" ht="23.1" customHeight="1" x14ac:dyDescent="0.25">
      <c r="B576" s="320" t="s">
        <v>1250</v>
      </c>
      <c r="C576" s="102"/>
      <c r="D576" s="102"/>
      <c r="E576" s="102"/>
      <c r="F576" s="102"/>
      <c r="G576" s="102"/>
      <c r="H576" s="102"/>
      <c r="I576" s="102"/>
      <c r="J576" s="102"/>
      <c r="K576" s="102"/>
      <c r="L576" s="102"/>
      <c r="M576" s="380">
        <f t="shared" ref="M576:U576" si="17">M572*M574</f>
        <v>4106250000</v>
      </c>
      <c r="N576" s="380">
        <f t="shared" si="17"/>
        <v>3290625000</v>
      </c>
      <c r="O576" s="380">
        <f t="shared" si="17"/>
        <v>2643750000</v>
      </c>
      <c r="P576" s="380">
        <f t="shared" si="17"/>
        <v>2109375000</v>
      </c>
      <c r="Q576" s="380">
        <f t="shared" si="17"/>
        <v>1631250000</v>
      </c>
      <c r="R576" s="380">
        <f t="shared" si="17"/>
        <v>1350000000</v>
      </c>
      <c r="S576" s="380">
        <f t="shared" si="17"/>
        <v>1096875000</v>
      </c>
      <c r="T576" s="380">
        <f t="shared" si="17"/>
        <v>871875000</v>
      </c>
      <c r="U576" s="380">
        <f t="shared" si="17"/>
        <v>703125000</v>
      </c>
      <c r="V576" s="380">
        <f>SUM(C576:U576)</f>
        <v>17803125000</v>
      </c>
      <c r="W576" s="571">
        <f>SUM(M572:U572)</f>
        <v>237375000000</v>
      </c>
    </row>
    <row r="577" spans="1:23" s="102" customFormat="1" ht="19.5" customHeight="1" x14ac:dyDescent="0.2">
      <c r="F577" s="101"/>
      <c r="G577" s="101"/>
      <c r="H577" s="101"/>
      <c r="I577" s="101"/>
      <c r="J577" s="101"/>
      <c r="K577" s="101"/>
      <c r="L577" s="101"/>
    </row>
    <row r="578" spans="1:23" s="102" customFormat="1" ht="19.5" customHeight="1" x14ac:dyDescent="0.25">
      <c r="B578" s="381" t="s">
        <v>1332</v>
      </c>
    </row>
    <row r="579" spans="1:23" ht="14.45" customHeight="1" x14ac:dyDescent="0.25">
      <c r="B579" s="403" t="s">
        <v>598</v>
      </c>
      <c r="C579" s="402">
        <v>2</v>
      </c>
      <c r="D579" s="402">
        <v>3</v>
      </c>
      <c r="E579" s="402">
        <v>4</v>
      </c>
      <c r="F579" s="402">
        <v>5</v>
      </c>
      <c r="G579" s="402">
        <v>6</v>
      </c>
      <c r="H579" s="402">
        <v>7</v>
      </c>
      <c r="I579" s="402">
        <v>8</v>
      </c>
      <c r="J579" s="402">
        <v>9</v>
      </c>
      <c r="K579" s="402">
        <v>10</v>
      </c>
      <c r="L579" s="402">
        <v>11</v>
      </c>
      <c r="M579" s="402">
        <v>12</v>
      </c>
      <c r="N579" s="402">
        <v>13</v>
      </c>
      <c r="O579" s="402">
        <v>14</v>
      </c>
      <c r="P579" s="402">
        <v>15</v>
      </c>
      <c r="Q579" s="402">
        <v>16</v>
      </c>
      <c r="R579" s="402">
        <v>17</v>
      </c>
      <c r="S579" s="402">
        <v>18</v>
      </c>
      <c r="T579" s="402">
        <v>19</v>
      </c>
      <c r="U579" s="402">
        <v>20</v>
      </c>
      <c r="V579" s="402" t="s">
        <v>32</v>
      </c>
    </row>
    <row r="580" spans="1:23" customFormat="1" ht="15" x14ac:dyDescent="0.25">
      <c r="A580" s="101"/>
      <c r="B580" s="551" t="s">
        <v>1025</v>
      </c>
      <c r="C580" s="571">
        <f t="shared" ref="C580:V580" si="18">C566</f>
        <v>30000</v>
      </c>
      <c r="D580" s="571">
        <f t="shared" si="18"/>
        <v>34500</v>
      </c>
      <c r="E580" s="571">
        <f t="shared" si="18"/>
        <v>40000</v>
      </c>
      <c r="F580" s="571">
        <f t="shared" si="18"/>
        <v>46000</v>
      </c>
      <c r="G580" s="571">
        <f t="shared" si="18"/>
        <v>53000</v>
      </c>
      <c r="H580" s="571">
        <f t="shared" si="18"/>
        <v>63000</v>
      </c>
      <c r="I580" s="571">
        <f t="shared" si="18"/>
        <v>76000</v>
      </c>
      <c r="J580" s="571">
        <f t="shared" si="18"/>
        <v>91000</v>
      </c>
      <c r="K580" s="571">
        <f t="shared" si="18"/>
        <v>109000</v>
      </c>
      <c r="L580" s="571">
        <f t="shared" si="18"/>
        <v>91000</v>
      </c>
      <c r="M580" s="571">
        <f t="shared" si="18"/>
        <v>73000</v>
      </c>
      <c r="N580" s="571">
        <f t="shared" si="18"/>
        <v>58500</v>
      </c>
      <c r="O580" s="571">
        <f t="shared" si="18"/>
        <v>47000</v>
      </c>
      <c r="P580" s="571">
        <f t="shared" si="18"/>
        <v>37500</v>
      </c>
      <c r="Q580" s="571">
        <f t="shared" si="18"/>
        <v>29000</v>
      </c>
      <c r="R580" s="571">
        <f t="shared" si="18"/>
        <v>24000</v>
      </c>
      <c r="S580" s="571">
        <f t="shared" si="18"/>
        <v>19500</v>
      </c>
      <c r="T580" s="571">
        <f t="shared" si="18"/>
        <v>15500</v>
      </c>
      <c r="U580" s="571">
        <f t="shared" si="18"/>
        <v>12500</v>
      </c>
      <c r="V580" s="571">
        <f t="shared" si="18"/>
        <v>950000</v>
      </c>
    </row>
    <row r="581" spans="1:23" customFormat="1" ht="15" x14ac:dyDescent="0.25">
      <c r="A581" s="101"/>
      <c r="B581" s="551" t="s">
        <v>1026</v>
      </c>
      <c r="C581" s="572">
        <v>0.1</v>
      </c>
      <c r="D581" s="576">
        <v>0.1</v>
      </c>
      <c r="E581" s="572">
        <v>0.1</v>
      </c>
      <c r="F581" s="576">
        <v>0.2</v>
      </c>
      <c r="G581" s="576">
        <v>0.2</v>
      </c>
      <c r="H581" s="572">
        <v>0.3</v>
      </c>
      <c r="I581" s="572">
        <v>0.3</v>
      </c>
      <c r="J581" s="572">
        <v>0.3</v>
      </c>
      <c r="K581" s="572">
        <v>0.3</v>
      </c>
      <c r="L581" s="572">
        <v>0.3</v>
      </c>
      <c r="M581" s="572">
        <v>0.3</v>
      </c>
      <c r="N581" s="572">
        <v>0.3</v>
      </c>
      <c r="O581" s="572">
        <v>0.3</v>
      </c>
      <c r="P581" s="572">
        <v>0.3</v>
      </c>
      <c r="Q581" s="572">
        <v>0.3</v>
      </c>
      <c r="R581" s="572">
        <v>0.4</v>
      </c>
      <c r="S581" s="572">
        <v>0.4</v>
      </c>
      <c r="T581" s="572">
        <v>0.4</v>
      </c>
      <c r="U581" s="572">
        <v>0.4</v>
      </c>
      <c r="V581" s="571"/>
    </row>
    <row r="582" spans="1:23" ht="14.45" customHeight="1" x14ac:dyDescent="0.25">
      <c r="B582" s="403" t="s">
        <v>1027</v>
      </c>
      <c r="C582" s="577">
        <f>C580*C581</f>
        <v>3000</v>
      </c>
      <c r="D582" s="577">
        <f t="shared" ref="D582:U582" si="19">D580*D581</f>
        <v>3450</v>
      </c>
      <c r="E582" s="577">
        <f t="shared" si="19"/>
        <v>4000</v>
      </c>
      <c r="F582" s="577">
        <f t="shared" si="19"/>
        <v>9200</v>
      </c>
      <c r="G582" s="577">
        <f t="shared" si="19"/>
        <v>10600</v>
      </c>
      <c r="H582" s="577">
        <f t="shared" si="19"/>
        <v>18900</v>
      </c>
      <c r="I582" s="577">
        <f t="shared" si="19"/>
        <v>22800</v>
      </c>
      <c r="J582" s="577">
        <f t="shared" si="19"/>
        <v>27300</v>
      </c>
      <c r="K582" s="577">
        <f t="shared" si="19"/>
        <v>32700</v>
      </c>
      <c r="L582" s="577">
        <f t="shared" si="19"/>
        <v>27300</v>
      </c>
      <c r="M582" s="577">
        <f t="shared" si="19"/>
        <v>21900</v>
      </c>
      <c r="N582" s="577">
        <f t="shared" si="19"/>
        <v>17550</v>
      </c>
      <c r="O582" s="577">
        <f t="shared" si="19"/>
        <v>14100</v>
      </c>
      <c r="P582" s="577">
        <f t="shared" si="19"/>
        <v>11250</v>
      </c>
      <c r="Q582" s="577">
        <f t="shared" si="19"/>
        <v>8700</v>
      </c>
      <c r="R582" s="577">
        <f t="shared" si="19"/>
        <v>9600</v>
      </c>
      <c r="S582" s="577">
        <f t="shared" si="19"/>
        <v>7800</v>
      </c>
      <c r="T582" s="577">
        <f t="shared" si="19"/>
        <v>6200</v>
      </c>
      <c r="U582" s="577">
        <f t="shared" si="19"/>
        <v>5000</v>
      </c>
      <c r="V582" s="577">
        <f t="shared" ref="V582" si="20">SUM(C582:U582)</f>
        <v>261350</v>
      </c>
    </row>
    <row r="583" spans="1:23" ht="23.1" customHeight="1" x14ac:dyDescent="0.25">
      <c r="B583" s="382" t="s">
        <v>1028</v>
      </c>
      <c r="C583" s="578">
        <f>C580-C582</f>
        <v>27000</v>
      </c>
      <c r="D583" s="578">
        <f t="shared" ref="D583:V586" si="21">D580-D582</f>
        <v>31050</v>
      </c>
      <c r="E583" s="578">
        <f t="shared" si="21"/>
        <v>36000</v>
      </c>
      <c r="F583" s="578">
        <f t="shared" si="21"/>
        <v>36800</v>
      </c>
      <c r="G583" s="578">
        <f t="shared" si="21"/>
        <v>42400</v>
      </c>
      <c r="H583" s="578">
        <f t="shared" si="21"/>
        <v>44100</v>
      </c>
      <c r="I583" s="578">
        <f t="shared" si="21"/>
        <v>53200</v>
      </c>
      <c r="J583" s="578">
        <f t="shared" si="21"/>
        <v>63700</v>
      </c>
      <c r="K583" s="578">
        <f t="shared" si="21"/>
        <v>76300</v>
      </c>
      <c r="L583" s="578">
        <f t="shared" si="21"/>
        <v>63700</v>
      </c>
      <c r="M583" s="578">
        <f t="shared" si="21"/>
        <v>51100</v>
      </c>
      <c r="N583" s="578">
        <f t="shared" si="21"/>
        <v>40950</v>
      </c>
      <c r="O583" s="578">
        <f t="shared" si="21"/>
        <v>32900</v>
      </c>
      <c r="P583" s="578">
        <f t="shared" si="21"/>
        <v>26250</v>
      </c>
      <c r="Q583" s="578">
        <f t="shared" si="21"/>
        <v>20300</v>
      </c>
      <c r="R583" s="578">
        <f t="shared" si="21"/>
        <v>14400</v>
      </c>
      <c r="S583" s="578">
        <f t="shared" si="21"/>
        <v>11700</v>
      </c>
      <c r="T583" s="578">
        <f t="shared" si="21"/>
        <v>9300</v>
      </c>
      <c r="U583" s="578">
        <f t="shared" si="21"/>
        <v>7500</v>
      </c>
      <c r="V583" s="578">
        <f t="shared" si="21"/>
        <v>688650</v>
      </c>
    </row>
    <row r="584" spans="1:23" customFormat="1" ht="15" x14ac:dyDescent="0.25">
      <c r="A584" s="101"/>
      <c r="B584" s="551" t="s">
        <v>1029</v>
      </c>
      <c r="C584" s="571">
        <v>400</v>
      </c>
      <c r="D584" s="579"/>
      <c r="E584" s="552"/>
      <c r="F584" s="571"/>
      <c r="G584" s="571"/>
      <c r="H584" s="571"/>
      <c r="I584" s="571"/>
      <c r="J584" s="571"/>
      <c r="K584" s="571"/>
      <c r="L584" s="571"/>
      <c r="M584" s="571"/>
      <c r="N584" s="571"/>
      <c r="O584" s="571"/>
      <c r="P584" s="571"/>
      <c r="Q584" s="571"/>
      <c r="R584" s="571"/>
      <c r="S584" s="571"/>
      <c r="T584" s="571"/>
      <c r="U584" s="571"/>
      <c r="V584" s="580"/>
    </row>
    <row r="585" spans="1:23" ht="14.45" customHeight="1" x14ac:dyDescent="0.25">
      <c r="B585" s="403" t="s">
        <v>1030</v>
      </c>
      <c r="C585" s="577">
        <f>C582/$C$584</f>
        <v>7.5</v>
      </c>
      <c r="D585" s="577">
        <f t="shared" ref="D585:U586" si="22">D582/$C$584</f>
        <v>8.625</v>
      </c>
      <c r="E585" s="577">
        <f t="shared" si="22"/>
        <v>10</v>
      </c>
      <c r="F585" s="577">
        <f t="shared" si="22"/>
        <v>23</v>
      </c>
      <c r="G585" s="577">
        <f t="shared" si="22"/>
        <v>26.5</v>
      </c>
      <c r="H585" s="577">
        <f t="shared" si="22"/>
        <v>47.25</v>
      </c>
      <c r="I585" s="577">
        <f t="shared" si="22"/>
        <v>57</v>
      </c>
      <c r="J585" s="577">
        <f t="shared" si="22"/>
        <v>68.25</v>
      </c>
      <c r="K585" s="577">
        <f t="shared" si="22"/>
        <v>81.75</v>
      </c>
      <c r="L585" s="577">
        <f t="shared" si="22"/>
        <v>68.25</v>
      </c>
      <c r="M585" s="577">
        <f t="shared" si="22"/>
        <v>54.75</v>
      </c>
      <c r="N585" s="577">
        <f t="shared" si="22"/>
        <v>43.875</v>
      </c>
      <c r="O585" s="577">
        <f t="shared" si="22"/>
        <v>35.25</v>
      </c>
      <c r="P585" s="577">
        <f t="shared" si="22"/>
        <v>28.125</v>
      </c>
      <c r="Q585" s="577">
        <f t="shared" si="22"/>
        <v>21.75</v>
      </c>
      <c r="R585" s="577">
        <f t="shared" si="22"/>
        <v>24</v>
      </c>
      <c r="S585" s="577">
        <f>S582/$C$584</f>
        <v>19.5</v>
      </c>
      <c r="T585" s="577">
        <f t="shared" si="22"/>
        <v>15.5</v>
      </c>
      <c r="U585" s="577">
        <f t="shared" si="22"/>
        <v>12.5</v>
      </c>
      <c r="V585" s="577">
        <f t="shared" si="21"/>
        <v>261350</v>
      </c>
    </row>
    <row r="586" spans="1:23" ht="23.1" customHeight="1" x14ac:dyDescent="0.25">
      <c r="B586" s="382" t="s">
        <v>1031</v>
      </c>
      <c r="C586" s="578">
        <f>C583/$C$584</f>
        <v>67.5</v>
      </c>
      <c r="D586" s="578">
        <f t="shared" si="22"/>
        <v>77.625</v>
      </c>
      <c r="E586" s="578">
        <f t="shared" si="22"/>
        <v>90</v>
      </c>
      <c r="F586" s="578">
        <f t="shared" si="22"/>
        <v>92</v>
      </c>
      <c r="G586" s="578">
        <f t="shared" si="22"/>
        <v>106</v>
      </c>
      <c r="H586" s="578">
        <f t="shared" si="22"/>
        <v>110.25</v>
      </c>
      <c r="I586" s="578">
        <f t="shared" si="22"/>
        <v>133</v>
      </c>
      <c r="J586" s="578">
        <f t="shared" si="22"/>
        <v>159.25</v>
      </c>
      <c r="K586" s="578">
        <f t="shared" si="22"/>
        <v>190.75</v>
      </c>
      <c r="L586" s="578">
        <f t="shared" si="22"/>
        <v>159.25</v>
      </c>
      <c r="M586" s="578">
        <f t="shared" si="22"/>
        <v>127.75</v>
      </c>
      <c r="N586" s="578">
        <f t="shared" si="22"/>
        <v>102.375</v>
      </c>
      <c r="O586" s="578">
        <f t="shared" si="22"/>
        <v>82.25</v>
      </c>
      <c r="P586" s="578">
        <f t="shared" si="22"/>
        <v>65.625</v>
      </c>
      <c r="Q586" s="578">
        <f t="shared" si="22"/>
        <v>50.75</v>
      </c>
      <c r="R586" s="578">
        <f t="shared" si="22"/>
        <v>36</v>
      </c>
      <c r="S586" s="578">
        <f t="shared" si="22"/>
        <v>29.25</v>
      </c>
      <c r="T586" s="578">
        <f t="shared" si="22"/>
        <v>23.25</v>
      </c>
      <c r="U586" s="578">
        <f t="shared" si="22"/>
        <v>18.75</v>
      </c>
      <c r="V586" s="578">
        <f t="shared" si="21"/>
        <v>427300</v>
      </c>
    </row>
    <row r="587" spans="1:23" customFormat="1" ht="15" x14ac:dyDescent="0.25">
      <c r="A587" s="101"/>
      <c r="B587" s="581" t="s">
        <v>1032</v>
      </c>
      <c r="C587" s="571">
        <f>C605</f>
        <v>2570750000</v>
      </c>
      <c r="D587" s="582"/>
      <c r="E587" s="582"/>
      <c r="F587" s="582"/>
      <c r="G587" s="582"/>
      <c r="H587" s="582"/>
      <c r="I587" s="582"/>
      <c r="J587" s="582"/>
      <c r="K587" s="582"/>
      <c r="L587" s="582"/>
      <c r="M587" s="582"/>
      <c r="N587" s="582"/>
      <c r="O587" s="582"/>
      <c r="P587" s="582"/>
      <c r="Q587" s="582"/>
      <c r="R587" s="582"/>
      <c r="S587" s="582"/>
      <c r="T587" s="582"/>
      <c r="U587" s="582"/>
      <c r="V587" s="101"/>
    </row>
    <row r="588" spans="1:23" customFormat="1" ht="15" x14ac:dyDescent="0.25">
      <c r="A588" s="101"/>
      <c r="B588" s="551" t="s">
        <v>1033</v>
      </c>
      <c r="C588" s="572">
        <v>0.3</v>
      </c>
      <c r="D588" s="572">
        <v>0.3</v>
      </c>
      <c r="E588" s="572">
        <v>0.3</v>
      </c>
      <c r="F588" s="572">
        <v>0.3</v>
      </c>
      <c r="G588" s="572">
        <v>0.3</v>
      </c>
      <c r="H588" s="572">
        <v>0.3</v>
      </c>
      <c r="I588" s="572">
        <v>0.3</v>
      </c>
      <c r="J588" s="572">
        <v>0.3</v>
      </c>
      <c r="K588" s="572">
        <v>0.3</v>
      </c>
      <c r="L588" s="572">
        <v>0.3</v>
      </c>
      <c r="M588" s="572"/>
      <c r="N588" s="572"/>
      <c r="O588" s="572"/>
      <c r="P588" s="572"/>
      <c r="Q588" s="572"/>
      <c r="R588" s="572"/>
      <c r="S588" s="572"/>
      <c r="T588" s="572"/>
      <c r="U588" s="572"/>
      <c r="V588" s="101"/>
    </row>
    <row r="589" spans="1:23" customFormat="1" ht="15" x14ac:dyDescent="0.25">
      <c r="A589" s="101"/>
      <c r="B589" s="551" t="s">
        <v>1034</v>
      </c>
      <c r="C589" s="572">
        <v>0.2</v>
      </c>
      <c r="D589" s="572">
        <v>0.2</v>
      </c>
      <c r="E589" s="572">
        <v>0.2</v>
      </c>
      <c r="F589" s="572">
        <v>0.2</v>
      </c>
      <c r="G589" s="572">
        <v>0.2</v>
      </c>
      <c r="H589" s="572">
        <v>0.2</v>
      </c>
      <c r="I589" s="572">
        <v>0.2</v>
      </c>
      <c r="J589" s="572">
        <v>0.2</v>
      </c>
      <c r="K589" s="572">
        <v>0.2</v>
      </c>
      <c r="L589" s="572">
        <v>0.2</v>
      </c>
      <c r="M589" s="572"/>
      <c r="N589" s="572"/>
      <c r="O589" s="572"/>
      <c r="P589" s="572"/>
      <c r="Q589" s="572"/>
      <c r="R589" s="572"/>
      <c r="S589" s="572"/>
      <c r="T589" s="572"/>
      <c r="U589" s="572"/>
      <c r="V589" s="101"/>
    </row>
    <row r="590" spans="1:23" customFormat="1" ht="15" x14ac:dyDescent="0.25">
      <c r="A590" s="101"/>
      <c r="B590" s="551" t="s">
        <v>1035</v>
      </c>
      <c r="C590" s="571">
        <f>C585*$C$587</f>
        <v>19280625000</v>
      </c>
      <c r="D590" s="571">
        <f>D585*$C$587</f>
        <v>22172718750</v>
      </c>
      <c r="E590" s="571">
        <f t="shared" ref="E590:L590" si="23">E585*$C$587</f>
        <v>25707500000</v>
      </c>
      <c r="F590" s="571">
        <f t="shared" si="23"/>
        <v>59127250000</v>
      </c>
      <c r="G590" s="571">
        <f t="shared" si="23"/>
        <v>68124875000</v>
      </c>
      <c r="H590" s="571">
        <f t="shared" si="23"/>
        <v>121467937500</v>
      </c>
      <c r="I590" s="571">
        <f t="shared" si="23"/>
        <v>146532750000</v>
      </c>
      <c r="J590" s="571">
        <f t="shared" si="23"/>
        <v>175453687500</v>
      </c>
      <c r="K590" s="571">
        <f t="shared" si="23"/>
        <v>210158812500</v>
      </c>
      <c r="L590" s="571">
        <f t="shared" si="23"/>
        <v>175453687500</v>
      </c>
      <c r="M590" s="583"/>
      <c r="N590" s="583"/>
      <c r="O590" s="583"/>
      <c r="P590" s="583"/>
      <c r="Q590" s="583"/>
      <c r="R590" s="583"/>
      <c r="S590" s="583"/>
      <c r="T590" s="583"/>
      <c r="U590" s="583"/>
      <c r="V590" s="575">
        <f>SUM(C590:U590)</f>
        <v>1023479843750</v>
      </c>
    </row>
    <row r="591" spans="1:23" ht="15" x14ac:dyDescent="0.25">
      <c r="B591" s="381" t="s">
        <v>588</v>
      </c>
      <c r="C591" s="575">
        <f>C585*$C$587*C588</f>
        <v>5784187500</v>
      </c>
      <c r="D591" s="575">
        <f t="shared" ref="D591:L592" si="24">D585*$C$587*D588</f>
        <v>6651815625</v>
      </c>
      <c r="E591" s="575">
        <f t="shared" si="24"/>
        <v>7712250000</v>
      </c>
      <c r="F591" s="575">
        <f t="shared" si="24"/>
        <v>17738175000</v>
      </c>
      <c r="G591" s="575">
        <f t="shared" si="24"/>
        <v>20437462500</v>
      </c>
      <c r="H591" s="575">
        <f t="shared" si="24"/>
        <v>36440381250</v>
      </c>
      <c r="I591" s="575">
        <f t="shared" si="24"/>
        <v>43959825000</v>
      </c>
      <c r="J591" s="575">
        <f t="shared" si="24"/>
        <v>52636106250</v>
      </c>
      <c r="K591" s="575">
        <f t="shared" si="24"/>
        <v>63047643750</v>
      </c>
      <c r="L591" s="575">
        <f t="shared" si="24"/>
        <v>52636106250</v>
      </c>
      <c r="M591" s="575"/>
      <c r="N591" s="575"/>
      <c r="O591" s="575"/>
      <c r="P591" s="575"/>
      <c r="Q591" s="575"/>
      <c r="R591" s="575"/>
      <c r="S591" s="575"/>
      <c r="T591" s="575"/>
      <c r="U591" s="575"/>
      <c r="V591" s="575">
        <f>SUM(C591:L591)</f>
        <v>307043953125</v>
      </c>
      <c r="W591" s="115">
        <f>(V591/0.4)*60%</f>
        <v>460565929687.5</v>
      </c>
    </row>
    <row r="592" spans="1:23" ht="23.1" customHeight="1" x14ac:dyDescent="0.25">
      <c r="B592" s="382" t="s">
        <v>589</v>
      </c>
      <c r="C592" s="578">
        <f>C586*$C$587*C589</f>
        <v>34705125000</v>
      </c>
      <c r="D592" s="578">
        <f t="shared" si="24"/>
        <v>39910893750</v>
      </c>
      <c r="E592" s="578">
        <f t="shared" si="24"/>
        <v>46273500000</v>
      </c>
      <c r="F592" s="578">
        <f t="shared" si="24"/>
        <v>47301800000</v>
      </c>
      <c r="G592" s="578">
        <f t="shared" si="24"/>
        <v>54499900000</v>
      </c>
      <c r="H592" s="578">
        <f t="shared" si="24"/>
        <v>56685037500</v>
      </c>
      <c r="I592" s="578">
        <f t="shared" si="24"/>
        <v>68381950000</v>
      </c>
      <c r="J592" s="578">
        <f t="shared" si="24"/>
        <v>81878387500</v>
      </c>
      <c r="K592" s="578">
        <f t="shared" si="24"/>
        <v>98074112500</v>
      </c>
      <c r="L592" s="578">
        <f t="shared" si="24"/>
        <v>81878387500</v>
      </c>
      <c r="M592" s="578"/>
      <c r="N592" s="578"/>
      <c r="O592" s="578"/>
      <c r="P592" s="578"/>
      <c r="Q592" s="578"/>
      <c r="R592" s="578"/>
      <c r="S592" s="578"/>
      <c r="T592" s="578"/>
      <c r="U592" s="578"/>
      <c r="V592" s="578">
        <f>SUM(C592:L592)</f>
        <v>609589093750</v>
      </c>
      <c r="W592" s="115"/>
    </row>
    <row r="593" spans="2:22" ht="23.1" customHeight="1" x14ac:dyDescent="0.25">
      <c r="B593" s="320" t="s">
        <v>590</v>
      </c>
      <c r="C593" s="395">
        <v>7.4999999999999997E-2</v>
      </c>
      <c r="D593" s="102"/>
      <c r="E593" s="102"/>
      <c r="F593" s="102"/>
      <c r="G593" s="102"/>
      <c r="H593" s="102"/>
      <c r="I593" s="102"/>
      <c r="J593" s="102"/>
      <c r="K593" s="102"/>
      <c r="L593" s="102"/>
      <c r="M593" s="380">
        <f>M585*$C$587*$C$593</f>
        <v>10556142187.5</v>
      </c>
      <c r="N593" s="380">
        <f t="shared" ref="N593:U593" si="25">N585*$C$587*$C$593</f>
        <v>8459374218.75</v>
      </c>
      <c r="O593" s="380">
        <f t="shared" si="25"/>
        <v>6796420312.5</v>
      </c>
      <c r="P593" s="380">
        <f t="shared" si="25"/>
        <v>5422675781.25</v>
      </c>
      <c r="Q593" s="380">
        <f t="shared" si="25"/>
        <v>4193535937.5</v>
      </c>
      <c r="R593" s="380">
        <f t="shared" si="25"/>
        <v>4627350000</v>
      </c>
      <c r="S593" s="380">
        <f t="shared" si="25"/>
        <v>3759721875</v>
      </c>
      <c r="T593" s="380">
        <f t="shared" si="25"/>
        <v>2988496875</v>
      </c>
      <c r="U593" s="380">
        <f t="shared" si="25"/>
        <v>2410078125</v>
      </c>
      <c r="V593" s="380">
        <f>SUM(M593:U593)</f>
        <v>49213795312.5</v>
      </c>
    </row>
    <row r="594" spans="2:22" ht="23.1" customHeight="1" x14ac:dyDescent="0.25">
      <c r="B594" s="383" t="s">
        <v>591</v>
      </c>
      <c r="C594" s="395">
        <v>7.4999999999999997E-2</v>
      </c>
      <c r="D594" s="102"/>
      <c r="E594" s="102"/>
      <c r="F594" s="102"/>
      <c r="G594" s="102"/>
      <c r="H594" s="102"/>
      <c r="I594" s="102"/>
      <c r="J594" s="102"/>
      <c r="K594" s="102"/>
      <c r="L594" s="102"/>
      <c r="M594" s="386">
        <f>M586*$C$587*$C$594</f>
        <v>24630998437.5</v>
      </c>
      <c r="N594" s="386">
        <f t="shared" ref="N594:U594" si="26">N586*$C$587*$C$594</f>
        <v>19738539843.75</v>
      </c>
      <c r="O594" s="386">
        <f t="shared" si="26"/>
        <v>15858314062.5</v>
      </c>
      <c r="P594" s="386">
        <f t="shared" si="26"/>
        <v>12652910156.25</v>
      </c>
      <c r="Q594" s="386">
        <f t="shared" si="26"/>
        <v>9784917187.5</v>
      </c>
      <c r="R594" s="386">
        <f t="shared" si="26"/>
        <v>6941025000</v>
      </c>
      <c r="S594" s="386">
        <f t="shared" si="26"/>
        <v>5639582812.5</v>
      </c>
      <c r="T594" s="386">
        <f t="shared" si="26"/>
        <v>4482745312.5</v>
      </c>
      <c r="U594" s="386">
        <f t="shared" si="26"/>
        <v>3615117187.5</v>
      </c>
      <c r="V594" s="386">
        <f>SUM(M594:U594)</f>
        <v>103344150000</v>
      </c>
    </row>
    <row r="595" spans="2:22" s="102" customFormat="1" x14ac:dyDescent="0.2">
      <c r="B595" s="584"/>
    </row>
    <row r="596" spans="2:22" ht="15" x14ac:dyDescent="0.25">
      <c r="B596" s="381" t="s">
        <v>1333</v>
      </c>
      <c r="C596" s="381" t="s">
        <v>54</v>
      </c>
      <c r="D596"/>
      <c r="E596"/>
      <c r="F596"/>
      <c r="G596"/>
      <c r="H596"/>
      <c r="I596"/>
      <c r="J596" s="538"/>
    </row>
    <row r="597" spans="2:22" ht="15" x14ac:dyDescent="0.25">
      <c r="B597" s="103" t="s">
        <v>1036</v>
      </c>
      <c r="C597" s="531">
        <v>420000000</v>
      </c>
      <c r="D597"/>
      <c r="E597"/>
      <c r="F597"/>
      <c r="G597"/>
      <c r="H597"/>
      <c r="I597"/>
      <c r="J597" s="538"/>
    </row>
    <row r="598" spans="2:22" ht="15" x14ac:dyDescent="0.25">
      <c r="B598" s="103" t="s">
        <v>1037</v>
      </c>
      <c r="C598" s="531">
        <v>455000000</v>
      </c>
      <c r="D598"/>
      <c r="E598"/>
      <c r="F598"/>
      <c r="G598"/>
      <c r="H598"/>
      <c r="I598"/>
      <c r="J598" s="538"/>
    </row>
    <row r="599" spans="2:22" ht="15" x14ac:dyDescent="0.25">
      <c r="B599" s="103" t="s">
        <v>1038</v>
      </c>
      <c r="C599" s="531">
        <v>100000000</v>
      </c>
      <c r="D599"/>
      <c r="E599"/>
      <c r="F599"/>
      <c r="G599"/>
      <c r="H599"/>
      <c r="I599"/>
      <c r="J599" s="538"/>
    </row>
    <row r="600" spans="2:22" ht="15" x14ac:dyDescent="0.25">
      <c r="B600" s="103" t="s">
        <v>1039</v>
      </c>
      <c r="C600" s="531">
        <v>189150000</v>
      </c>
      <c r="D600"/>
      <c r="E600"/>
      <c r="F600"/>
      <c r="G600"/>
      <c r="H600"/>
      <c r="I600"/>
      <c r="J600" s="538"/>
    </row>
    <row r="601" spans="2:22" ht="15" x14ac:dyDescent="0.25">
      <c r="B601" s="103" t="s">
        <v>1040</v>
      </c>
      <c r="C601" s="531">
        <v>204100000</v>
      </c>
      <c r="D601"/>
      <c r="E601"/>
      <c r="F601"/>
      <c r="G601"/>
      <c r="H601"/>
      <c r="I601"/>
      <c r="J601" s="538"/>
    </row>
    <row r="602" spans="2:22" ht="15" x14ac:dyDescent="0.25">
      <c r="B602" s="103" t="s">
        <v>1041</v>
      </c>
      <c r="C602" s="531">
        <v>1011400000</v>
      </c>
      <c r="D602"/>
      <c r="E602"/>
      <c r="F602"/>
      <c r="G602"/>
      <c r="H602"/>
      <c r="I602"/>
      <c r="J602" s="538"/>
    </row>
    <row r="603" spans="2:22" ht="15" x14ac:dyDescent="0.25">
      <c r="B603" s="103" t="s">
        <v>1042</v>
      </c>
      <c r="C603" s="531">
        <v>139100000</v>
      </c>
      <c r="D603"/>
      <c r="E603"/>
      <c r="F603"/>
      <c r="G603"/>
      <c r="H603"/>
      <c r="I603"/>
      <c r="J603" s="538"/>
    </row>
    <row r="604" spans="2:22" ht="15" x14ac:dyDescent="0.25">
      <c r="B604" s="103" t="s">
        <v>1043</v>
      </c>
      <c r="C604" s="531">
        <v>52000000</v>
      </c>
      <c r="D604"/>
      <c r="E604" s="538"/>
      <c r="F604" s="538"/>
      <c r="G604" s="538"/>
      <c r="H604" s="538"/>
      <c r="I604" s="538"/>
      <c r="J604" s="538"/>
    </row>
    <row r="605" spans="2:22" ht="15" x14ac:dyDescent="0.25">
      <c r="B605" s="530" t="s">
        <v>1044</v>
      </c>
      <c r="C605" s="585">
        <f>SUM(C597:C604)</f>
        <v>2570750000</v>
      </c>
      <c r="D605"/>
      <c r="E605" s="538"/>
      <c r="F605" s="538"/>
      <c r="G605" s="538"/>
      <c r="H605" s="538"/>
      <c r="I605" s="538"/>
      <c r="J605" s="538"/>
    </row>
    <row r="606" spans="2:22" ht="15" x14ac:dyDescent="0.25">
      <c r="B606" t="s">
        <v>1045</v>
      </c>
      <c r="C606"/>
      <c r="D606"/>
      <c r="E606" s="538"/>
      <c r="F606" s="538"/>
      <c r="G606" s="538"/>
      <c r="H606" s="538"/>
      <c r="I606" s="538"/>
      <c r="J606" s="538"/>
    </row>
    <row r="607" spans="2:22" s="102" customFormat="1" ht="12.95" customHeight="1" x14ac:dyDescent="0.2">
      <c r="B607" s="586"/>
    </row>
    <row r="608" spans="2:22" x14ac:dyDescent="0.2">
      <c r="C608" s="587"/>
      <c r="E608" s="560"/>
      <c r="F608" s="525"/>
      <c r="G608" s="560"/>
      <c r="H608" s="561"/>
      <c r="I608" s="418"/>
      <c r="J608" s="418"/>
      <c r="K608" s="25"/>
      <c r="L608" s="25"/>
      <c r="M608" s="25"/>
      <c r="N608" s="25"/>
      <c r="O608" s="25"/>
      <c r="P608" s="25"/>
      <c r="Q608" s="25"/>
      <c r="R608" s="25"/>
    </row>
    <row r="609" spans="1:23" ht="15" x14ac:dyDescent="0.25">
      <c r="B609" s="497" t="s">
        <v>1046</v>
      </c>
      <c r="C609" s="558"/>
      <c r="F609" s="525"/>
      <c r="G609" s="560"/>
      <c r="H609" s="561"/>
      <c r="I609" s="418"/>
      <c r="J609" s="418"/>
      <c r="K609" s="25"/>
      <c r="L609" s="25"/>
      <c r="M609" s="25"/>
      <c r="N609" s="25"/>
      <c r="O609" s="25"/>
      <c r="P609" s="25"/>
      <c r="Q609" s="25"/>
      <c r="R609" s="25"/>
    </row>
    <row r="610" spans="1:23" x14ac:dyDescent="0.2">
      <c r="B610" s="551" t="s">
        <v>1047</v>
      </c>
      <c r="C610" s="588">
        <v>1000000</v>
      </c>
      <c r="F610" s="525"/>
      <c r="G610" s="560"/>
      <c r="H610" s="561"/>
      <c r="I610" s="418"/>
      <c r="J610" s="418"/>
      <c r="K610" s="25"/>
      <c r="L610" s="25"/>
      <c r="M610" s="25"/>
      <c r="N610" s="25"/>
      <c r="O610" s="25"/>
      <c r="P610" s="25"/>
      <c r="Q610" s="25"/>
      <c r="R610" s="25"/>
    </row>
    <row r="611" spans="1:23" x14ac:dyDescent="0.2">
      <c r="B611" s="103" t="s">
        <v>1048</v>
      </c>
      <c r="C611" s="552">
        <v>500</v>
      </c>
      <c r="F611" s="525"/>
      <c r="G611" s="560"/>
      <c r="H611" s="561"/>
      <c r="I611" s="418"/>
      <c r="J611" s="418"/>
      <c r="K611" s="25"/>
      <c r="L611" s="25"/>
      <c r="M611" s="25"/>
      <c r="N611" s="25"/>
      <c r="O611" s="25"/>
      <c r="P611" s="25"/>
      <c r="Q611" s="25"/>
      <c r="R611" s="25"/>
    </row>
    <row r="612" spans="1:23" ht="15" x14ac:dyDescent="0.25">
      <c r="B612" s="551" t="s">
        <v>1049</v>
      </c>
      <c r="C612" s="585">
        <f>C610*C611</f>
        <v>500000000</v>
      </c>
      <c r="F612" s="525"/>
      <c r="G612" s="560"/>
      <c r="H612" s="561"/>
      <c r="I612" s="418"/>
      <c r="J612" s="418"/>
      <c r="K612" s="25"/>
      <c r="L612" s="25"/>
      <c r="M612" s="25"/>
      <c r="N612" s="25"/>
      <c r="O612" s="25"/>
      <c r="P612" s="25"/>
      <c r="Q612" s="25"/>
      <c r="R612" s="25"/>
    </row>
    <row r="613" spans="1:23" x14ac:dyDescent="0.2">
      <c r="B613" s="551" t="s">
        <v>1050</v>
      </c>
      <c r="C613" s="589">
        <v>10</v>
      </c>
      <c r="D613" s="418"/>
      <c r="E613" s="590"/>
      <c r="F613" s="525"/>
      <c r="G613" s="560"/>
      <c r="H613" s="561"/>
      <c r="I613" s="418"/>
      <c r="J613" s="418"/>
      <c r="K613" s="25"/>
      <c r="L613" s="25"/>
      <c r="M613" s="25"/>
      <c r="N613" s="25"/>
      <c r="O613" s="25"/>
      <c r="P613" s="25"/>
      <c r="Q613" s="25"/>
      <c r="R613" s="25"/>
    </row>
    <row r="614" spans="1:23" x14ac:dyDescent="0.2">
      <c r="C614" s="533"/>
      <c r="D614" s="560"/>
      <c r="E614" s="560"/>
      <c r="F614" s="525"/>
      <c r="G614" s="560"/>
      <c r="H614" s="561"/>
      <c r="I614" s="418"/>
      <c r="J614" s="418"/>
      <c r="K614" s="25"/>
      <c r="L614" s="25"/>
      <c r="M614" s="25"/>
      <c r="N614" s="25"/>
      <c r="O614" s="25"/>
      <c r="P614" s="25"/>
      <c r="Q614" s="25"/>
      <c r="R614" s="25"/>
    </row>
    <row r="615" spans="1:23" x14ac:dyDescent="0.2">
      <c r="B615" s="586"/>
      <c r="C615" s="558"/>
      <c r="D615" s="559"/>
      <c r="E615" s="560"/>
      <c r="F615" s="525"/>
      <c r="G615" s="560"/>
      <c r="H615" s="561"/>
      <c r="I615" s="418"/>
      <c r="J615" s="418"/>
      <c r="K615" s="25"/>
      <c r="L615" s="25"/>
      <c r="M615" s="25"/>
      <c r="N615" s="25"/>
      <c r="O615" s="25"/>
      <c r="P615" s="25"/>
      <c r="Q615" s="25"/>
      <c r="R615" s="25"/>
    </row>
    <row r="616" spans="1:23" ht="15" x14ac:dyDescent="0.25">
      <c r="B616" s="591" t="s">
        <v>1051</v>
      </c>
      <c r="C616" s="558"/>
      <c r="D616" s="585" t="s">
        <v>1052</v>
      </c>
      <c r="E616" s="585" t="s">
        <v>1053</v>
      </c>
      <c r="F616" s="585" t="s">
        <v>1054</v>
      </c>
      <c r="G616" s="585" t="s">
        <v>1055</v>
      </c>
      <c r="H616" s="561"/>
      <c r="I616" s="418"/>
      <c r="J616" s="418"/>
      <c r="K616" s="25"/>
      <c r="L616" s="25"/>
      <c r="M616" s="25"/>
      <c r="N616" s="25"/>
      <c r="O616" s="25"/>
      <c r="P616" s="25"/>
      <c r="Q616" s="25"/>
      <c r="R616" s="25"/>
    </row>
    <row r="617" spans="1:23" x14ac:dyDescent="0.2">
      <c r="B617" s="592" t="s">
        <v>1056</v>
      </c>
      <c r="C617" s="552">
        <v>3000000</v>
      </c>
      <c r="D617" s="573">
        <v>0.1</v>
      </c>
      <c r="E617" s="593">
        <v>0.4</v>
      </c>
      <c r="F617" s="593">
        <v>0.3</v>
      </c>
      <c r="G617" s="593">
        <v>0.2</v>
      </c>
      <c r="H617" s="561"/>
      <c r="I617" s="418"/>
      <c r="J617" s="418"/>
      <c r="K617" s="25"/>
      <c r="L617" s="25"/>
      <c r="M617" s="25"/>
      <c r="N617" s="25"/>
      <c r="O617" s="25"/>
      <c r="P617" s="25"/>
      <c r="Q617" s="25"/>
      <c r="R617" s="25"/>
    </row>
    <row r="618" spans="1:23" x14ac:dyDescent="0.2">
      <c r="B618" s="592" t="s">
        <v>1057</v>
      </c>
      <c r="C618" s="552">
        <v>19</v>
      </c>
      <c r="D618" s="559"/>
      <c r="E618" s="560"/>
      <c r="F618" s="525"/>
      <c r="G618" s="560"/>
      <c r="H618" s="561"/>
      <c r="I618" s="418"/>
      <c r="J618" s="418"/>
      <c r="K618" s="25"/>
      <c r="L618" s="25"/>
      <c r="M618" s="25"/>
      <c r="N618" s="25"/>
      <c r="O618" s="25"/>
      <c r="P618" s="25"/>
      <c r="Q618" s="25"/>
      <c r="R618" s="25"/>
    </row>
    <row r="619" spans="1:23" x14ac:dyDescent="0.2">
      <c r="B619" s="67" t="s">
        <v>1058</v>
      </c>
      <c r="C619" s="594"/>
      <c r="D619" s="559"/>
      <c r="E619" s="560"/>
      <c r="F619" s="525"/>
      <c r="G619" s="560"/>
      <c r="H619" s="561"/>
      <c r="I619" s="418"/>
      <c r="J619" s="418"/>
      <c r="K619" s="25"/>
      <c r="L619" s="25"/>
      <c r="M619" s="25"/>
      <c r="N619" s="25"/>
      <c r="O619" s="25"/>
      <c r="P619" s="25"/>
      <c r="Q619" s="25"/>
      <c r="R619" s="25"/>
    </row>
    <row r="620" spans="1:23" x14ac:dyDescent="0.2">
      <c r="B620" s="67"/>
      <c r="C620" s="594"/>
      <c r="D620" s="595"/>
      <c r="E620" s="560"/>
      <c r="F620" s="525"/>
      <c r="G620" s="560"/>
      <c r="H620" s="561"/>
      <c r="I620" s="418"/>
      <c r="J620" s="418"/>
      <c r="K620" s="25"/>
      <c r="L620" s="25"/>
      <c r="M620" s="25"/>
      <c r="N620" s="25"/>
      <c r="O620" s="25"/>
      <c r="P620" s="25"/>
      <c r="Q620" s="25"/>
      <c r="R620" s="25"/>
    </row>
    <row r="621" spans="1:23" ht="14.45" customHeight="1" x14ac:dyDescent="0.25">
      <c r="B621" s="403" t="s">
        <v>598</v>
      </c>
      <c r="C621" s="402">
        <v>2</v>
      </c>
      <c r="D621" s="402">
        <v>3</v>
      </c>
      <c r="E621" s="402">
        <v>4</v>
      </c>
      <c r="F621" s="402">
        <v>5</v>
      </c>
      <c r="G621" s="402">
        <v>6</v>
      </c>
      <c r="H621" s="402">
        <v>7</v>
      </c>
      <c r="I621" s="402">
        <v>8</v>
      </c>
      <c r="J621" s="402">
        <v>9</v>
      </c>
      <c r="K621" s="402">
        <v>10</v>
      </c>
      <c r="L621" s="402">
        <v>11</v>
      </c>
      <c r="M621" s="402">
        <v>12</v>
      </c>
      <c r="N621" s="402">
        <v>13</v>
      </c>
      <c r="O621" s="402">
        <v>14</v>
      </c>
      <c r="P621" s="402">
        <v>15</v>
      </c>
      <c r="Q621" s="402">
        <v>16</v>
      </c>
      <c r="R621" s="402">
        <v>17</v>
      </c>
      <c r="S621" s="402">
        <v>18</v>
      </c>
      <c r="T621" s="402">
        <v>19</v>
      </c>
      <c r="U621" s="402">
        <v>20</v>
      </c>
      <c r="V621" s="402" t="s">
        <v>32</v>
      </c>
    </row>
    <row r="622" spans="1:23" customFormat="1" ht="15" x14ac:dyDescent="0.25">
      <c r="A622" s="101"/>
      <c r="B622" s="497" t="s">
        <v>1059</v>
      </c>
      <c r="C622" s="571">
        <f>$C$617*C623</f>
        <v>95245.297031799986</v>
      </c>
      <c r="D622" s="571">
        <f t="shared" ref="D622:U622" si="27">$C$617*D623</f>
        <v>109532.09158656998</v>
      </c>
      <c r="E622" s="571">
        <f t="shared" si="27"/>
        <v>125961.90532455548</v>
      </c>
      <c r="F622" s="571">
        <f t="shared" si="27"/>
        <v>144856.19112323882</v>
      </c>
      <c r="G622" s="571">
        <f t="shared" si="27"/>
        <v>166584.61979172463</v>
      </c>
      <c r="H622" s="571">
        <f t="shared" si="27"/>
        <v>199901.54375006954</v>
      </c>
      <c r="I622" s="571">
        <f t="shared" si="27"/>
        <v>239881.85250008348</v>
      </c>
      <c r="J622" s="571">
        <f t="shared" si="27"/>
        <v>287858.22300010017</v>
      </c>
      <c r="K622" s="571">
        <f t="shared" si="27"/>
        <v>345429.86760012025</v>
      </c>
      <c r="L622" s="571">
        <f t="shared" si="27"/>
        <v>287858.22300010017</v>
      </c>
      <c r="M622" s="571">
        <f t="shared" si="27"/>
        <v>230286.57840008015</v>
      </c>
      <c r="N622" s="571">
        <f t="shared" si="27"/>
        <v>184229.26272006411</v>
      </c>
      <c r="O622" s="571">
        <f t="shared" si="27"/>
        <v>147383.41017605129</v>
      </c>
      <c r="P622" s="571">
        <f t="shared" si="27"/>
        <v>117906.72814084105</v>
      </c>
      <c r="Q622" s="571">
        <f t="shared" si="27"/>
        <v>94325.382512672833</v>
      </c>
      <c r="R622" s="571">
        <f t="shared" si="27"/>
        <v>75460.306010138273</v>
      </c>
      <c r="S622" s="571">
        <f t="shared" si="27"/>
        <v>60368.244808110619</v>
      </c>
      <c r="T622" s="571">
        <f t="shared" si="27"/>
        <v>48294.595846488497</v>
      </c>
      <c r="U622" s="571">
        <f t="shared" si="27"/>
        <v>38635.676677190801</v>
      </c>
      <c r="V622" s="571">
        <f>SUM(C622:U622)</f>
        <v>3000000.0000000005</v>
      </c>
    </row>
    <row r="623" spans="1:23" customFormat="1" ht="15" x14ac:dyDescent="0.25">
      <c r="A623" s="101"/>
      <c r="B623" s="551" t="s">
        <v>1060</v>
      </c>
      <c r="C623" s="572">
        <f t="shared" ref="C623:U623" si="28">C567</f>
        <v>3.1748432343933326E-2</v>
      </c>
      <c r="D623" s="572">
        <f t="shared" si="28"/>
        <v>3.6510697195523328E-2</v>
      </c>
      <c r="E623" s="572">
        <f t="shared" si="28"/>
        <v>4.1987301774851826E-2</v>
      </c>
      <c r="F623" s="572">
        <f t="shared" si="28"/>
        <v>4.8285397041079606E-2</v>
      </c>
      <c r="G623" s="572">
        <f t="shared" si="28"/>
        <v>5.5528206597241545E-2</v>
      </c>
      <c r="H623" s="572">
        <f t="shared" si="28"/>
        <v>6.6633847916689845E-2</v>
      </c>
      <c r="I623" s="572">
        <f t="shared" si="28"/>
        <v>7.9960617500027822E-2</v>
      </c>
      <c r="J623" s="572">
        <f t="shared" si="28"/>
        <v>9.5952741000033398E-2</v>
      </c>
      <c r="K623" s="572">
        <f t="shared" si="28"/>
        <v>0.11514328920004008</v>
      </c>
      <c r="L623" s="572">
        <f t="shared" si="28"/>
        <v>9.5952741000033398E-2</v>
      </c>
      <c r="M623" s="572">
        <f t="shared" si="28"/>
        <v>7.6762192800026718E-2</v>
      </c>
      <c r="N623" s="572">
        <f t="shared" si="28"/>
        <v>6.1409754240021375E-2</v>
      </c>
      <c r="O623" s="572">
        <f t="shared" si="28"/>
        <v>4.9127803392017097E-2</v>
      </c>
      <c r="P623" s="572">
        <f t="shared" si="28"/>
        <v>3.9302242713613683E-2</v>
      </c>
      <c r="Q623" s="572">
        <f t="shared" si="28"/>
        <v>3.1441794170890942E-2</v>
      </c>
      <c r="R623" s="572">
        <f t="shared" si="28"/>
        <v>2.5153435336712757E-2</v>
      </c>
      <c r="S623" s="572">
        <f t="shared" si="28"/>
        <v>2.0122748269370206E-2</v>
      </c>
      <c r="T623" s="572">
        <f t="shared" si="28"/>
        <v>1.6098198615496166E-2</v>
      </c>
      <c r="U623" s="572">
        <f t="shared" si="28"/>
        <v>1.2878558892396932E-2</v>
      </c>
      <c r="V623" s="572">
        <f>SUM(C623:U623)</f>
        <v>1.0000000000000002</v>
      </c>
    </row>
    <row r="624" spans="1:23" ht="14.45" customHeight="1" x14ac:dyDescent="0.25">
      <c r="B624" s="381" t="s">
        <v>1061</v>
      </c>
      <c r="C624" s="405">
        <f>C622*$D$617</f>
        <v>9524.5297031799983</v>
      </c>
      <c r="D624" s="405">
        <f t="shared" ref="D624:V624" si="29">D622*$D$617</f>
        <v>10953.209158656999</v>
      </c>
      <c r="E624" s="405">
        <f t="shared" si="29"/>
        <v>12596.190532455548</v>
      </c>
      <c r="F624" s="405">
        <f t="shared" si="29"/>
        <v>14485.619112323882</v>
      </c>
      <c r="G624" s="405">
        <f t="shared" si="29"/>
        <v>16658.461979172465</v>
      </c>
      <c r="H624" s="405">
        <f t="shared" si="29"/>
        <v>19990.154375006954</v>
      </c>
      <c r="I624" s="405">
        <f t="shared" si="29"/>
        <v>23988.185250008348</v>
      </c>
      <c r="J624" s="405">
        <f t="shared" si="29"/>
        <v>28785.822300010019</v>
      </c>
      <c r="K624" s="405">
        <f t="shared" si="29"/>
        <v>34542.986760012027</v>
      </c>
      <c r="L624" s="405">
        <f t="shared" si="29"/>
        <v>28785.822300010019</v>
      </c>
      <c r="M624" s="405">
        <f t="shared" si="29"/>
        <v>23028.657840008018</v>
      </c>
      <c r="N624" s="405">
        <f t="shared" si="29"/>
        <v>18422.926272006411</v>
      </c>
      <c r="O624" s="405">
        <f t="shared" si="29"/>
        <v>14738.341017605129</v>
      </c>
      <c r="P624" s="405">
        <f t="shared" si="29"/>
        <v>11790.672814084106</v>
      </c>
      <c r="Q624" s="405">
        <f t="shared" si="29"/>
        <v>9432.5382512672841</v>
      </c>
      <c r="R624" s="405">
        <f t="shared" si="29"/>
        <v>7546.0306010138274</v>
      </c>
      <c r="S624" s="405">
        <f t="shared" si="29"/>
        <v>6036.8244808110621</v>
      </c>
      <c r="T624" s="405">
        <f t="shared" si="29"/>
        <v>4829.4595846488501</v>
      </c>
      <c r="U624" s="405">
        <f t="shared" si="29"/>
        <v>3863.5676677190804</v>
      </c>
      <c r="V624" s="405">
        <f t="shared" si="29"/>
        <v>300000.00000000006</v>
      </c>
      <c r="W624" s="596">
        <f>V624/V622</f>
        <v>0.1</v>
      </c>
    </row>
    <row r="625" spans="2:23" ht="23.1" customHeight="1" x14ac:dyDescent="0.25">
      <c r="B625" s="382" t="s">
        <v>1062</v>
      </c>
      <c r="C625" s="578">
        <f>C622*$E$617</f>
        <v>38098.118812719993</v>
      </c>
      <c r="D625" s="578">
        <f t="shared" ref="D625:V625" si="30">D622*$E$617</f>
        <v>43812.836634627994</v>
      </c>
      <c r="E625" s="578">
        <f t="shared" si="30"/>
        <v>50384.762129822193</v>
      </c>
      <c r="F625" s="578">
        <f t="shared" si="30"/>
        <v>57942.476449295529</v>
      </c>
      <c r="G625" s="578">
        <f t="shared" si="30"/>
        <v>66633.847916689861</v>
      </c>
      <c r="H625" s="578">
        <f t="shared" si="30"/>
        <v>79960.617500027816</v>
      </c>
      <c r="I625" s="578">
        <f t="shared" si="30"/>
        <v>95952.741000033391</v>
      </c>
      <c r="J625" s="578">
        <f t="shared" si="30"/>
        <v>115143.28920004008</v>
      </c>
      <c r="K625" s="578">
        <f t="shared" si="30"/>
        <v>138171.94704004811</v>
      </c>
      <c r="L625" s="578">
        <f t="shared" si="30"/>
        <v>115143.28920004008</v>
      </c>
      <c r="M625" s="578">
        <f t="shared" si="30"/>
        <v>92114.631360032072</v>
      </c>
      <c r="N625" s="578">
        <f t="shared" si="30"/>
        <v>73691.705088025643</v>
      </c>
      <c r="O625" s="578">
        <f t="shared" si="30"/>
        <v>58953.364070420517</v>
      </c>
      <c r="P625" s="578">
        <f t="shared" si="30"/>
        <v>47162.691256336424</v>
      </c>
      <c r="Q625" s="578">
        <f t="shared" si="30"/>
        <v>37730.153005069136</v>
      </c>
      <c r="R625" s="578">
        <f t="shared" si="30"/>
        <v>30184.12240405531</v>
      </c>
      <c r="S625" s="578">
        <f t="shared" si="30"/>
        <v>24147.297923244249</v>
      </c>
      <c r="T625" s="578">
        <f t="shared" si="30"/>
        <v>19317.8383385954</v>
      </c>
      <c r="U625" s="578">
        <f t="shared" si="30"/>
        <v>15454.270670876322</v>
      </c>
      <c r="V625" s="578">
        <f t="shared" si="30"/>
        <v>1200000.0000000002</v>
      </c>
      <c r="W625" s="596">
        <f>V625/V622</f>
        <v>0.4</v>
      </c>
    </row>
    <row r="626" spans="2:23" ht="23.1" customHeight="1" x14ac:dyDescent="0.25">
      <c r="B626" s="404" t="s">
        <v>1063</v>
      </c>
      <c r="C626" s="597">
        <f>C622*$F$617</f>
        <v>28573.589109539997</v>
      </c>
      <c r="D626" s="597">
        <f t="shared" ref="D626:V626" si="31">D622*$F$617</f>
        <v>32859.627475970992</v>
      </c>
      <c r="E626" s="597">
        <f t="shared" si="31"/>
        <v>37788.571597366645</v>
      </c>
      <c r="F626" s="597">
        <f t="shared" si="31"/>
        <v>43456.857336971647</v>
      </c>
      <c r="G626" s="597">
        <f t="shared" si="31"/>
        <v>49975.385937517385</v>
      </c>
      <c r="H626" s="597">
        <f t="shared" si="31"/>
        <v>59970.463125020862</v>
      </c>
      <c r="I626" s="597">
        <f t="shared" si="31"/>
        <v>71964.555750025043</v>
      </c>
      <c r="J626" s="597">
        <f t="shared" si="31"/>
        <v>86357.466900030049</v>
      </c>
      <c r="K626" s="597">
        <f t="shared" si="31"/>
        <v>103628.96028003607</v>
      </c>
      <c r="L626" s="597">
        <f t="shared" si="31"/>
        <v>86357.466900030049</v>
      </c>
      <c r="M626" s="597">
        <f t="shared" si="31"/>
        <v>69085.973520024039</v>
      </c>
      <c r="N626" s="597">
        <f t="shared" si="31"/>
        <v>55268.778816019236</v>
      </c>
      <c r="O626" s="597">
        <f t="shared" si="31"/>
        <v>44215.023052815384</v>
      </c>
      <c r="P626" s="597">
        <f t="shared" si="31"/>
        <v>35372.018442252316</v>
      </c>
      <c r="Q626" s="597">
        <f t="shared" si="31"/>
        <v>28297.614753801849</v>
      </c>
      <c r="R626" s="597">
        <f t="shared" si="31"/>
        <v>22638.09180304148</v>
      </c>
      <c r="S626" s="597">
        <f t="shared" si="31"/>
        <v>18110.473442433184</v>
      </c>
      <c r="T626" s="597">
        <f t="shared" si="31"/>
        <v>14488.378753946548</v>
      </c>
      <c r="U626" s="597">
        <f t="shared" si="31"/>
        <v>11590.703003157239</v>
      </c>
      <c r="V626" s="597">
        <f t="shared" si="31"/>
        <v>900000.00000000012</v>
      </c>
      <c r="W626" s="596">
        <f>V626/V622</f>
        <v>0.3</v>
      </c>
    </row>
    <row r="627" spans="2:23" ht="23.1" customHeight="1" x14ac:dyDescent="0.25">
      <c r="B627" s="598" t="s">
        <v>1064</v>
      </c>
      <c r="C627" s="599">
        <f>C622*$G$617</f>
        <v>19049.059406359997</v>
      </c>
      <c r="D627" s="599">
        <f t="shared" ref="D627:V627" si="32">D622*$G$617</f>
        <v>21906.418317313997</v>
      </c>
      <c r="E627" s="599">
        <f t="shared" si="32"/>
        <v>25192.381064911096</v>
      </c>
      <c r="F627" s="599">
        <f t="shared" si="32"/>
        <v>28971.238224647765</v>
      </c>
      <c r="G627" s="599">
        <f t="shared" si="32"/>
        <v>33316.923958344931</v>
      </c>
      <c r="H627" s="599">
        <f t="shared" si="32"/>
        <v>39980.308750013908</v>
      </c>
      <c r="I627" s="599">
        <f t="shared" si="32"/>
        <v>47976.370500016696</v>
      </c>
      <c r="J627" s="599">
        <f t="shared" si="32"/>
        <v>57571.644600020038</v>
      </c>
      <c r="K627" s="599">
        <f t="shared" si="32"/>
        <v>69085.973520024054</v>
      </c>
      <c r="L627" s="599">
        <f t="shared" si="32"/>
        <v>57571.644600020038</v>
      </c>
      <c r="M627" s="599">
        <f t="shared" si="32"/>
        <v>46057.315680016036</v>
      </c>
      <c r="N627" s="599">
        <f t="shared" si="32"/>
        <v>36845.852544012821</v>
      </c>
      <c r="O627" s="599">
        <f t="shared" si="32"/>
        <v>29476.682035210259</v>
      </c>
      <c r="P627" s="599">
        <f t="shared" si="32"/>
        <v>23581.345628168212</v>
      </c>
      <c r="Q627" s="599">
        <f t="shared" si="32"/>
        <v>18865.076502534568</v>
      </c>
      <c r="R627" s="599">
        <f t="shared" si="32"/>
        <v>15092.061202027655</v>
      </c>
      <c r="S627" s="599">
        <f t="shared" si="32"/>
        <v>12073.648961622124</v>
      </c>
      <c r="T627" s="599">
        <f t="shared" si="32"/>
        <v>9658.9191692977001</v>
      </c>
      <c r="U627" s="599">
        <f t="shared" si="32"/>
        <v>7727.1353354381608</v>
      </c>
      <c r="V627" s="599">
        <f t="shared" si="32"/>
        <v>600000.00000000012</v>
      </c>
    </row>
    <row r="628" spans="2:23" customFormat="1" ht="15" x14ac:dyDescent="0.25"/>
    <row r="629" spans="2:23" customFormat="1" ht="45" x14ac:dyDescent="0.25">
      <c r="B629" s="600" t="s">
        <v>1065</v>
      </c>
      <c r="C629" s="601" t="s">
        <v>1066</v>
      </c>
      <c r="D629" s="601" t="s">
        <v>1067</v>
      </c>
      <c r="E629" s="601" t="s">
        <v>1068</v>
      </c>
      <c r="F629" s="601" t="s">
        <v>1069</v>
      </c>
      <c r="G629" s="601" t="s">
        <v>1070</v>
      </c>
      <c r="H629" s="601" t="s">
        <v>1071</v>
      </c>
      <c r="I629" s="601" t="s">
        <v>1072</v>
      </c>
      <c r="J629" s="601" t="s">
        <v>1073</v>
      </c>
      <c r="K629" s="601" t="s">
        <v>1074</v>
      </c>
      <c r="L629" s="601" t="s">
        <v>1075</v>
      </c>
      <c r="M629" s="601" t="s">
        <v>1076</v>
      </c>
      <c r="N629" s="601" t="s">
        <v>1077</v>
      </c>
    </row>
    <row r="630" spans="2:23" s="602" customFormat="1" ht="15" x14ac:dyDescent="0.25">
      <c r="B630" s="603" t="s">
        <v>1078</v>
      </c>
      <c r="C630" s="552">
        <v>1000</v>
      </c>
      <c r="D630" s="552">
        <v>3</v>
      </c>
      <c r="E630" s="552">
        <v>330</v>
      </c>
      <c r="F630" s="552">
        <v>35</v>
      </c>
      <c r="G630" s="604">
        <v>0.3</v>
      </c>
      <c r="H630" s="605">
        <v>7.5</v>
      </c>
      <c r="I630" s="606">
        <f>(+C630/G630)/H630</f>
        <v>444.44444444444446</v>
      </c>
      <c r="J630" s="606">
        <f>I630*H630</f>
        <v>3333.3333333333335</v>
      </c>
      <c r="K630" s="607">
        <f>C649</f>
        <v>973962.3</v>
      </c>
      <c r="L630" s="608">
        <f>K630/C630</f>
        <v>973.96230000000003</v>
      </c>
      <c r="M630" s="606">
        <f>L630*$C$297</f>
        <v>3684804.5557540003</v>
      </c>
      <c r="N630" s="604">
        <v>0.3</v>
      </c>
      <c r="O630"/>
    </row>
    <row r="631" spans="2:23" s="602" customFormat="1" ht="15" x14ac:dyDescent="0.25">
      <c r="B631" s="592" t="s">
        <v>1079</v>
      </c>
      <c r="C631" s="552">
        <v>3000</v>
      </c>
      <c r="D631" s="552">
        <v>5</v>
      </c>
      <c r="E631" s="552">
        <v>600</v>
      </c>
      <c r="F631" s="552">
        <v>100</v>
      </c>
      <c r="G631" s="604">
        <v>0.3</v>
      </c>
      <c r="H631" s="605">
        <v>7.5</v>
      </c>
      <c r="I631" s="606">
        <f>(+C631/G631)/H631</f>
        <v>1333.3333333333333</v>
      </c>
      <c r="J631" s="606">
        <f>I631*H631</f>
        <v>10000</v>
      </c>
      <c r="K631" s="607">
        <f>D649</f>
        <v>2229332.2466666666</v>
      </c>
      <c r="L631" s="608">
        <f t="shared" ref="L631:L633" si="33">K631/C631</f>
        <v>743.11074888888891</v>
      </c>
      <c r="M631" s="606">
        <f>L631*$C$297</f>
        <v>2811420.8044146518</v>
      </c>
      <c r="N631" s="604">
        <v>0.4</v>
      </c>
      <c r="O631"/>
    </row>
    <row r="632" spans="2:23" s="602" customFormat="1" ht="15" x14ac:dyDescent="0.25">
      <c r="B632" s="592" t="s">
        <v>1080</v>
      </c>
      <c r="C632" s="552">
        <v>9000</v>
      </c>
      <c r="D632" s="552">
        <v>3</v>
      </c>
      <c r="E632" s="552">
        <v>3000</v>
      </c>
      <c r="F632" s="552">
        <v>300</v>
      </c>
      <c r="G632" s="604">
        <v>0.3</v>
      </c>
      <c r="H632" s="605">
        <v>7.5</v>
      </c>
      <c r="I632" s="606">
        <f>(+C632/G632)/H632</f>
        <v>4000</v>
      </c>
      <c r="J632" s="606">
        <f>I632*H632</f>
        <v>30000</v>
      </c>
      <c r="K632" s="607">
        <f>E649</f>
        <v>5393129.5819364265</v>
      </c>
      <c r="L632" s="608">
        <f t="shared" si="33"/>
        <v>599.2366202151585</v>
      </c>
      <c r="M632" s="606">
        <f>L632*$C$297</f>
        <v>2267099.8950816123</v>
      </c>
      <c r="N632" s="604">
        <v>0.2</v>
      </c>
      <c r="O632"/>
    </row>
    <row r="633" spans="2:23" s="602" customFormat="1" ht="15" x14ac:dyDescent="0.25">
      <c r="B633" s="592" t="s">
        <v>1081</v>
      </c>
      <c r="C633" s="552">
        <v>27000</v>
      </c>
      <c r="D633" s="552">
        <v>6</v>
      </c>
      <c r="E633" s="552">
        <v>4500</v>
      </c>
      <c r="F633" s="552">
        <v>600</v>
      </c>
      <c r="G633" s="604">
        <v>0.3</v>
      </c>
      <c r="H633" s="605">
        <v>7.5</v>
      </c>
      <c r="I633" s="606">
        <f>(+C633/G633)/H633</f>
        <v>12000</v>
      </c>
      <c r="J633" s="606">
        <f>I633*H633</f>
        <v>90000</v>
      </c>
      <c r="K633" s="607">
        <f>F649</f>
        <v>9837397.2125342749</v>
      </c>
      <c r="L633" s="608">
        <f t="shared" si="33"/>
        <v>364.34804490867685</v>
      </c>
      <c r="M633" s="606">
        <f>L633*$C$297</f>
        <v>1378442.8162769293</v>
      </c>
      <c r="N633" s="604">
        <v>0</v>
      </c>
      <c r="O633"/>
      <c r="P633" s="609"/>
    </row>
    <row r="634" spans="2:23" s="602" customFormat="1" ht="15" x14ac:dyDescent="0.25">
      <c r="B634" s="610"/>
      <c r="C634" s="558"/>
      <c r="D634" s="558"/>
      <c r="E634" s="558"/>
      <c r="F634" s="558"/>
      <c r="G634" s="611"/>
      <c r="H634" s="612"/>
      <c r="I634" s="613"/>
      <c r="J634" s="614"/>
      <c r="K634" s="614"/>
      <c r="L634" s="614"/>
      <c r="M634"/>
      <c r="N634"/>
      <c r="O634"/>
      <c r="P634" s="609"/>
    </row>
    <row r="635" spans="2:23" ht="14.45" customHeight="1" x14ac:dyDescent="0.25">
      <c r="B635" s="403" t="s">
        <v>598</v>
      </c>
      <c r="C635" s="402">
        <v>2</v>
      </c>
      <c r="D635" s="402">
        <v>3</v>
      </c>
      <c r="E635" s="402">
        <v>4</v>
      </c>
      <c r="F635" s="402">
        <v>5</v>
      </c>
      <c r="G635" s="402">
        <v>6</v>
      </c>
      <c r="H635" s="402">
        <v>7</v>
      </c>
      <c r="I635" s="402">
        <v>8</v>
      </c>
      <c r="J635" s="402">
        <v>9</v>
      </c>
      <c r="K635" s="402">
        <v>10</v>
      </c>
      <c r="L635" s="402">
        <v>11</v>
      </c>
      <c r="M635" s="402">
        <v>12</v>
      </c>
      <c r="N635" s="402">
        <v>13</v>
      </c>
      <c r="O635" s="402">
        <v>14</v>
      </c>
      <c r="P635" s="402">
        <v>15</v>
      </c>
      <c r="Q635" s="402">
        <v>16</v>
      </c>
      <c r="R635" s="402">
        <v>17</v>
      </c>
      <c r="S635" s="402">
        <v>18</v>
      </c>
      <c r="T635" s="402">
        <v>19</v>
      </c>
      <c r="U635" s="402">
        <v>20</v>
      </c>
      <c r="V635" s="402" t="s">
        <v>32</v>
      </c>
    </row>
    <row r="636" spans="2:23" ht="14.45" customHeight="1" x14ac:dyDescent="0.25">
      <c r="B636" s="381" t="s">
        <v>601</v>
      </c>
      <c r="C636" s="405">
        <f>C624*$M$630*$N$630</f>
        <v>10528809132.507586</v>
      </c>
      <c r="D636" s="405">
        <f t="shared" ref="D636:V636" si="34">D624*$M$630*$N$630</f>
        <v>12108130502.383724</v>
      </c>
      <c r="E636" s="405">
        <f t="shared" si="34"/>
        <v>13924350077.741283</v>
      </c>
      <c r="F636" s="405">
        <f t="shared" si="34"/>
        <v>16013002589.402477</v>
      </c>
      <c r="G636" s="405">
        <f t="shared" si="34"/>
        <v>18414952977.812851</v>
      </c>
      <c r="H636" s="405">
        <f t="shared" si="34"/>
        <v>22097943573.375416</v>
      </c>
      <c r="I636" s="405">
        <f t="shared" si="34"/>
        <v>26517532288.050503</v>
      </c>
      <c r="J636" s="405">
        <f t="shared" si="34"/>
        <v>31821038745.660603</v>
      </c>
      <c r="K636" s="405">
        <f t="shared" si="34"/>
        <v>38185246494.792725</v>
      </c>
      <c r="L636" s="405">
        <f t="shared" si="34"/>
        <v>31821038745.660603</v>
      </c>
      <c r="M636" s="405">
        <f t="shared" si="34"/>
        <v>25456830996.528488</v>
      </c>
      <c r="N636" s="405">
        <f t="shared" si="34"/>
        <v>20365464797.222786</v>
      </c>
      <c r="O636" s="405">
        <f t="shared" si="34"/>
        <v>16292371837.778229</v>
      </c>
      <c r="P636" s="405">
        <f t="shared" si="34"/>
        <v>13033897470.222586</v>
      </c>
      <c r="Q636" s="405">
        <f t="shared" si="34"/>
        <v>10427117976.178068</v>
      </c>
      <c r="R636" s="405">
        <f t="shared" si="34"/>
        <v>8341694380.9424543</v>
      </c>
      <c r="S636" s="405">
        <f t="shared" si="34"/>
        <v>6673355504.7539635</v>
      </c>
      <c r="T636" s="405">
        <f t="shared" si="34"/>
        <v>5338684403.8031721</v>
      </c>
      <c r="U636" s="405">
        <f t="shared" si="34"/>
        <v>4270947523.0425372</v>
      </c>
      <c r="V636" s="405">
        <f t="shared" si="34"/>
        <v>331632410017.86005</v>
      </c>
    </row>
    <row r="637" spans="2:23" ht="23.1" customHeight="1" x14ac:dyDescent="0.25">
      <c r="B637" s="382" t="s">
        <v>602</v>
      </c>
      <c r="C637" s="578">
        <f>C625*$M$631*$N$631</f>
        <v>42843937535.656891</v>
      </c>
      <c r="D637" s="578">
        <f t="shared" ref="D637:V637" si="35">D625*$M$631*$N$631</f>
        <v>49270528166.005432</v>
      </c>
      <c r="E637" s="578">
        <f t="shared" si="35"/>
        <v>56661107390.906242</v>
      </c>
      <c r="F637" s="578">
        <f t="shared" si="35"/>
        <v>65160273499.542191</v>
      </c>
      <c r="G637" s="578">
        <f t="shared" si="35"/>
        <v>74934314524.473511</v>
      </c>
      <c r="H637" s="578">
        <f t="shared" si="35"/>
        <v>89921177429.36821</v>
      </c>
      <c r="I637" s="578">
        <f t="shared" si="35"/>
        <v>107905412915.24185</v>
      </c>
      <c r="J637" s="578">
        <f t="shared" si="35"/>
        <v>129486495498.29024</v>
      </c>
      <c r="K637" s="578">
        <f t="shared" si="35"/>
        <v>155383794597.9483</v>
      </c>
      <c r="L637" s="578">
        <f t="shared" si="35"/>
        <v>129486495498.29024</v>
      </c>
      <c r="M637" s="578">
        <f t="shared" si="35"/>
        <v>103589196398.6322</v>
      </c>
      <c r="N637" s="578">
        <f t="shared" si="35"/>
        <v>82871357118.905746</v>
      </c>
      <c r="O637" s="578">
        <f t="shared" si="35"/>
        <v>66297085695.124603</v>
      </c>
      <c r="P637" s="578">
        <f t="shared" si="35"/>
        <v>53037668556.099693</v>
      </c>
      <c r="Q637" s="578">
        <f t="shared" si="35"/>
        <v>42430134844.879753</v>
      </c>
      <c r="R637" s="578">
        <f t="shared" si="35"/>
        <v>33944107875.903797</v>
      </c>
      <c r="S637" s="578">
        <f t="shared" si="35"/>
        <v>27155286300.723038</v>
      </c>
      <c r="T637" s="578">
        <f t="shared" si="35"/>
        <v>21724229040.578434</v>
      </c>
      <c r="U637" s="578">
        <f t="shared" si="35"/>
        <v>17379383232.462749</v>
      </c>
      <c r="V637" s="578">
        <f t="shared" si="35"/>
        <v>1349481986119.0332</v>
      </c>
    </row>
    <row r="638" spans="2:23" ht="23.1" customHeight="1" x14ac:dyDescent="0.25">
      <c r="B638" s="404" t="s">
        <v>1082</v>
      </c>
      <c r="C638" s="597">
        <f>C626*$M$632*$N$632</f>
        <v>12955836174.468645</v>
      </c>
      <c r="D638" s="597">
        <f t="shared" ref="D638:V638" si="36">D626*$M$632*$N$632</f>
        <v>14899211600.638941</v>
      </c>
      <c r="E638" s="597">
        <f t="shared" si="36"/>
        <v>17134093340.734785</v>
      </c>
      <c r="F638" s="597">
        <f t="shared" si="36"/>
        <v>19704207341.845001</v>
      </c>
      <c r="G638" s="597">
        <f t="shared" si="36"/>
        <v>22659838443.12175</v>
      </c>
      <c r="H638" s="597">
        <f t="shared" si="36"/>
        <v>27191806131.746101</v>
      </c>
      <c r="I638" s="597">
        <f t="shared" si="36"/>
        <v>32630167358.095325</v>
      </c>
      <c r="J638" s="597">
        <f t="shared" si="36"/>
        <v>39156200829.714386</v>
      </c>
      <c r="K638" s="597">
        <f t="shared" si="36"/>
        <v>46987440995.657272</v>
      </c>
      <c r="L638" s="597">
        <f t="shared" si="36"/>
        <v>39156200829.714386</v>
      </c>
      <c r="M638" s="597">
        <f t="shared" si="36"/>
        <v>31324960663.771511</v>
      </c>
      <c r="N638" s="597">
        <f t="shared" si="36"/>
        <v>25059968531.017212</v>
      </c>
      <c r="O638" s="597">
        <f t="shared" si="36"/>
        <v>20047974824.813766</v>
      </c>
      <c r="P638" s="597">
        <f t="shared" si="36"/>
        <v>16038379859.851017</v>
      </c>
      <c r="Q638" s="597">
        <f t="shared" si="36"/>
        <v>12830703887.880812</v>
      </c>
      <c r="R638" s="597">
        <f t="shared" si="36"/>
        <v>10264563110.304649</v>
      </c>
      <c r="S638" s="597">
        <f t="shared" si="36"/>
        <v>8211650488.2437201</v>
      </c>
      <c r="T638" s="597">
        <f t="shared" si="36"/>
        <v>6569320390.5949764</v>
      </c>
      <c r="U638" s="597">
        <f t="shared" si="36"/>
        <v>5255456312.4759817</v>
      </c>
      <c r="V638" s="597">
        <f t="shared" si="36"/>
        <v>408077981114.69031</v>
      </c>
    </row>
    <row r="639" spans="2:23" ht="23.1" customHeight="1" x14ac:dyDescent="0.25">
      <c r="B639" s="598" t="s">
        <v>1083</v>
      </c>
      <c r="C639" s="599">
        <f>C627*$M$633</f>
        <v>26258039095.529404</v>
      </c>
      <c r="D639" s="599">
        <f t="shared" ref="D639:V639" si="37">D627*$M$633</f>
        <v>30196744959.858818</v>
      </c>
      <c r="E639" s="599">
        <f t="shared" si="37"/>
        <v>34726256703.837639</v>
      </c>
      <c r="F639" s="599">
        <f t="shared" si="37"/>
        <v>39935195209.413292</v>
      </c>
      <c r="G639" s="599">
        <f t="shared" si="37"/>
        <v>45925474490.825287</v>
      </c>
      <c r="H639" s="599">
        <f t="shared" si="37"/>
        <v>55110569388.990334</v>
      </c>
      <c r="I639" s="599">
        <f t="shared" si="37"/>
        <v>66132683266.788406</v>
      </c>
      <c r="J639" s="599">
        <f t="shared" si="37"/>
        <v>79359219920.146088</v>
      </c>
      <c r="K639" s="599">
        <f t="shared" si="37"/>
        <v>95231063904.175323</v>
      </c>
      <c r="L639" s="599">
        <f t="shared" si="37"/>
        <v>79359219920.146088</v>
      </c>
      <c r="M639" s="599">
        <f t="shared" si="37"/>
        <v>63487375936.116882</v>
      </c>
      <c r="N639" s="599">
        <f t="shared" si="37"/>
        <v>50789900748.893494</v>
      </c>
      <c r="O639" s="599">
        <f t="shared" si="37"/>
        <v>40631920599.114799</v>
      </c>
      <c r="P639" s="599">
        <f t="shared" si="37"/>
        <v>32505536479.291847</v>
      </c>
      <c r="Q639" s="599">
        <f t="shared" si="37"/>
        <v>26004429183.433475</v>
      </c>
      <c r="R639" s="599">
        <f t="shared" si="37"/>
        <v>20803543346.74678</v>
      </c>
      <c r="S639" s="599">
        <f t="shared" si="37"/>
        <v>16642834677.397425</v>
      </c>
      <c r="T639" s="599">
        <f t="shared" si="37"/>
        <v>13314267741.91794</v>
      </c>
      <c r="U639" s="599">
        <f t="shared" si="37"/>
        <v>10651414193.534353</v>
      </c>
      <c r="V639" s="599">
        <f t="shared" si="37"/>
        <v>827065689766.15771</v>
      </c>
    </row>
    <row r="640" spans="2:23" s="602" customFormat="1" ht="15" x14ac:dyDescent="0.25">
      <c r="B640" s="610"/>
      <c r="C640" s="558"/>
      <c r="D640" s="558"/>
      <c r="E640" s="558"/>
      <c r="F640" s="558"/>
      <c r="G640" s="611"/>
      <c r="H640" s="612"/>
      <c r="I640" s="613"/>
      <c r="J640" s="614"/>
      <c r="K640" s="614"/>
      <c r="L640" s="614"/>
      <c r="M640"/>
      <c r="N640"/>
      <c r="O640"/>
      <c r="P640" s="609"/>
    </row>
    <row r="641" spans="2:18" customFormat="1" ht="15" x14ac:dyDescent="0.25"/>
    <row r="642" spans="2:18" s="602" customFormat="1" ht="30" x14ac:dyDescent="0.25">
      <c r="B642" s="600" t="s">
        <v>1084</v>
      </c>
      <c r="C642" s="601" t="s">
        <v>1085</v>
      </c>
      <c r="D642" s="601" t="s">
        <v>1086</v>
      </c>
      <c r="E642" s="601" t="s">
        <v>1087</v>
      </c>
      <c r="F642" s="601" t="s">
        <v>1088</v>
      </c>
      <c r="G642" s="611"/>
      <c r="H642" s="612"/>
      <c r="I642" s="613"/>
      <c r="J642" s="614"/>
      <c r="K642" s="614"/>
      <c r="L642" s="614"/>
      <c r="M642"/>
      <c r="P642" s="609"/>
    </row>
    <row r="643" spans="2:18" s="602" customFormat="1" ht="15" x14ac:dyDescent="0.2">
      <c r="B643" s="615" t="s">
        <v>1089</v>
      </c>
      <c r="C643" s="552">
        <v>269187.33333333337</v>
      </c>
      <c r="D643" s="552">
        <v>838037.2888888889</v>
      </c>
      <c r="E643" s="552">
        <v>1331097.473058529</v>
      </c>
      <c r="F643" s="552">
        <v>2620770.4378746701</v>
      </c>
      <c r="G643" s="611"/>
      <c r="H643" s="612"/>
      <c r="I643" s="613"/>
      <c r="J643" s="614"/>
      <c r="K643" s="614"/>
      <c r="L643" s="614"/>
      <c r="P643" s="609"/>
    </row>
    <row r="644" spans="2:18" s="602" customFormat="1" ht="15" x14ac:dyDescent="0.2">
      <c r="B644" s="615" t="s">
        <v>1090</v>
      </c>
      <c r="C644" s="552">
        <v>234375</v>
      </c>
      <c r="D644" s="552">
        <v>312500</v>
      </c>
      <c r="E644" s="552">
        <v>1250000</v>
      </c>
      <c r="F644" s="552">
        <v>2187500</v>
      </c>
      <c r="G644" s="611"/>
      <c r="H644" s="612"/>
      <c r="I644" s="613"/>
      <c r="J644" s="614"/>
      <c r="K644" s="614"/>
      <c r="L644" s="614"/>
      <c r="P644" s="609"/>
    </row>
    <row r="645" spans="2:18" customFormat="1" ht="15" x14ac:dyDescent="0.25">
      <c r="B645" s="615" t="s">
        <v>1091</v>
      </c>
      <c r="C645" s="552">
        <v>53837.466666666674</v>
      </c>
      <c r="D645" s="552">
        <v>167607.45777777777</v>
      </c>
      <c r="E645" s="552">
        <v>244355.02554456377</v>
      </c>
      <c r="F645" s="552">
        <v>369587.71215960418</v>
      </c>
      <c r="G645" s="614"/>
      <c r="H645" s="614"/>
      <c r="I645" s="614"/>
      <c r="J645" s="614"/>
      <c r="K645" s="614"/>
      <c r="L645" s="614"/>
      <c r="N645" s="616"/>
      <c r="O645" s="617"/>
    </row>
    <row r="646" spans="2:18" customFormat="1" ht="15" x14ac:dyDescent="0.25">
      <c r="B646" s="615" t="s">
        <v>1092</v>
      </c>
      <c r="C646" s="552">
        <v>246250</v>
      </c>
      <c r="D646" s="552">
        <v>594000</v>
      </c>
      <c r="E646" s="552">
        <v>1487989.5833333335</v>
      </c>
      <c r="F646" s="552">
        <v>2551007.8125</v>
      </c>
      <c r="G646" s="614"/>
      <c r="H646" s="614"/>
      <c r="I646" s="614"/>
      <c r="J646" s="614"/>
      <c r="K646" s="614"/>
      <c r="L646" s="614"/>
    </row>
    <row r="647" spans="2:18" customFormat="1" ht="15" x14ac:dyDescent="0.25">
      <c r="B647" s="615" t="s">
        <v>1093</v>
      </c>
      <c r="C647" s="552">
        <v>46875</v>
      </c>
      <c r="D647" s="552">
        <v>78125</v>
      </c>
      <c r="E647" s="552">
        <v>312500</v>
      </c>
      <c r="F647" s="552">
        <v>574218.75</v>
      </c>
      <c r="G647" s="614"/>
      <c r="H647" s="614"/>
      <c r="I647" s="614"/>
      <c r="J647" s="614"/>
      <c r="K647" s="614"/>
      <c r="L647" s="614"/>
      <c r="N647" s="616"/>
      <c r="O647" s="618"/>
    </row>
    <row r="648" spans="2:18" customFormat="1" ht="15" x14ac:dyDescent="0.25">
      <c r="B648" s="619" t="s">
        <v>924</v>
      </c>
      <c r="C648" s="552">
        <v>123437.5</v>
      </c>
      <c r="D648" s="552">
        <v>239062.5</v>
      </c>
      <c r="E648" s="552">
        <v>767187.5</v>
      </c>
      <c r="F648" s="552">
        <v>1534312.5</v>
      </c>
      <c r="G648" s="614"/>
      <c r="H648" s="614"/>
      <c r="I648" s="614"/>
      <c r="J648" s="614"/>
      <c r="K648" s="614"/>
      <c r="L648" s="614"/>
      <c r="N648" s="616"/>
      <c r="O648" s="617"/>
    </row>
    <row r="649" spans="2:18" customFormat="1" ht="15" x14ac:dyDescent="0.25">
      <c r="B649" s="600" t="s">
        <v>1094</v>
      </c>
      <c r="C649" s="555">
        <f>SUM(C643:C648)</f>
        <v>973962.3</v>
      </c>
      <c r="D649" s="555">
        <f t="shared" ref="D649:F649" si="38">SUM(D643:D648)</f>
        <v>2229332.2466666666</v>
      </c>
      <c r="E649" s="555">
        <f t="shared" si="38"/>
        <v>5393129.5819364265</v>
      </c>
      <c r="F649" s="555">
        <f t="shared" si="38"/>
        <v>9837397.2125342749</v>
      </c>
      <c r="G649" s="614"/>
      <c r="H649" s="614"/>
      <c r="I649" s="614"/>
      <c r="J649" s="614"/>
      <c r="K649" s="614"/>
      <c r="L649" s="614"/>
    </row>
    <row r="650" spans="2:18" customFormat="1" ht="15" x14ac:dyDescent="0.25">
      <c r="N650" s="616"/>
      <c r="O650" s="618"/>
    </row>
    <row r="651" spans="2:18" ht="15" x14ac:dyDescent="0.25">
      <c r="B651" s="497" t="s">
        <v>1095</v>
      </c>
      <c r="C651" s="25"/>
      <c r="D651" s="25"/>
      <c r="E651" s="25"/>
      <c r="F651" s="525"/>
      <c r="G651" s="25"/>
      <c r="H651" s="25"/>
      <c r="I651" s="418"/>
      <c r="J651" s="418"/>
      <c r="K651" s="25"/>
      <c r="L651" s="25"/>
      <c r="M651" s="25"/>
      <c r="N651" s="25"/>
      <c r="O651" s="25"/>
      <c r="P651" s="25"/>
      <c r="Q651" s="25"/>
      <c r="R651" s="25"/>
    </row>
    <row r="652" spans="2:18" x14ac:dyDescent="0.2">
      <c r="B652" s="548" t="s">
        <v>1004</v>
      </c>
      <c r="C652" s="50">
        <f>C532</f>
        <v>38004</v>
      </c>
      <c r="D652" s="25"/>
      <c r="E652" s="25"/>
      <c r="F652" s="525"/>
      <c r="G652" s="25"/>
      <c r="H652" s="25"/>
      <c r="I652" s="418"/>
      <c r="J652" s="418"/>
      <c r="K652" s="25"/>
      <c r="L652" s="25"/>
      <c r="M652" s="25"/>
      <c r="N652" s="25"/>
      <c r="O652" s="25"/>
      <c r="P652" s="25"/>
      <c r="Q652" s="25"/>
      <c r="R652" s="25"/>
    </row>
    <row r="653" spans="2:18" ht="30" x14ac:dyDescent="0.2">
      <c r="B653" s="549" t="s">
        <v>1005</v>
      </c>
      <c r="C653" s="601" t="s">
        <v>1006</v>
      </c>
      <c r="D653" s="601" t="s">
        <v>1007</v>
      </c>
      <c r="E653" s="601" t="s">
        <v>1096</v>
      </c>
      <c r="F653" s="601" t="s">
        <v>1097</v>
      </c>
      <c r="G653" s="601" t="s">
        <v>1098</v>
      </c>
      <c r="H653" s="601" t="s">
        <v>1011</v>
      </c>
      <c r="I653" s="418"/>
      <c r="J653" s="418"/>
      <c r="K653" s="25"/>
      <c r="L653" s="25"/>
      <c r="M653" s="25"/>
      <c r="N653" s="25"/>
      <c r="O653" s="25"/>
      <c r="P653" s="25"/>
      <c r="Q653" s="25"/>
      <c r="R653" s="25"/>
    </row>
    <row r="654" spans="2:18" x14ac:dyDescent="0.2">
      <c r="B654" s="551" t="s">
        <v>1012</v>
      </c>
      <c r="C654" s="552">
        <v>23563</v>
      </c>
      <c r="D654" s="553">
        <f>C652*C654</f>
        <v>895488252</v>
      </c>
      <c r="E654" s="554">
        <v>0.1</v>
      </c>
      <c r="F654" s="50">
        <f>D654*E654</f>
        <v>89548825.200000003</v>
      </c>
      <c r="G654" s="554">
        <v>0.1</v>
      </c>
      <c r="H654" s="620">
        <f>F654*G654</f>
        <v>8954882.5200000014</v>
      </c>
      <c r="I654" s="418"/>
      <c r="J654" s="418"/>
      <c r="K654" s="25"/>
      <c r="L654" s="25"/>
      <c r="M654" s="25"/>
      <c r="N654" s="25"/>
      <c r="O654" s="25"/>
      <c r="P654" s="25"/>
      <c r="Q654" s="25"/>
      <c r="R654" s="25"/>
    </row>
    <row r="655" spans="2:18" x14ac:dyDescent="0.2">
      <c r="B655" s="556" t="s">
        <v>1013</v>
      </c>
      <c r="C655" s="552">
        <v>204995</v>
      </c>
      <c r="D655" s="553">
        <f>C652*C655</f>
        <v>7790629980</v>
      </c>
      <c r="E655" s="554">
        <v>0.05</v>
      </c>
      <c r="F655" s="50">
        <f>D655*E655</f>
        <v>389531499</v>
      </c>
      <c r="G655" s="554">
        <v>0.05</v>
      </c>
      <c r="H655" s="557">
        <f>F655*G655</f>
        <v>19476574.949999999</v>
      </c>
      <c r="I655" s="418"/>
      <c r="J655" s="418"/>
      <c r="K655" s="25"/>
      <c r="L655" s="25"/>
      <c r="M655" s="25"/>
      <c r="N655" s="25"/>
      <c r="O655" s="25"/>
      <c r="P655" s="25"/>
      <c r="Q655" s="25"/>
      <c r="R655" s="25"/>
    </row>
    <row r="656" spans="2:18" x14ac:dyDescent="0.2">
      <c r="B656" s="551" t="s">
        <v>1014</v>
      </c>
      <c r="C656" s="552">
        <v>1736565</v>
      </c>
      <c r="D656" s="553">
        <f>C652*C656</f>
        <v>65996416260</v>
      </c>
      <c r="E656" s="554">
        <v>0.03</v>
      </c>
      <c r="F656" s="50">
        <f>D656*E656</f>
        <v>1979892487.8</v>
      </c>
      <c r="G656" s="554">
        <v>0.02</v>
      </c>
      <c r="H656" s="557">
        <f>F656*G656</f>
        <v>39597849.755999997</v>
      </c>
      <c r="I656" s="418"/>
      <c r="J656" s="418"/>
      <c r="K656" s="25"/>
      <c r="L656" s="25"/>
      <c r="M656" s="25"/>
      <c r="N656" s="25"/>
      <c r="O656" s="25"/>
      <c r="P656" s="25"/>
      <c r="Q656" s="25"/>
      <c r="R656" s="25"/>
    </row>
    <row r="657" spans="1:22" x14ac:dyDescent="0.2">
      <c r="B657" s="418"/>
      <c r="C657" s="558"/>
      <c r="D657" s="559"/>
      <c r="E657" s="560"/>
      <c r="F657" s="525"/>
      <c r="G657" s="560"/>
      <c r="H657" s="561"/>
      <c r="I657" s="418"/>
      <c r="J657" s="418"/>
      <c r="K657" s="25"/>
      <c r="L657" s="25"/>
      <c r="M657" s="25"/>
      <c r="N657" s="25"/>
      <c r="O657" s="25"/>
      <c r="P657" s="25"/>
      <c r="Q657" s="25"/>
      <c r="R657" s="25"/>
    </row>
    <row r="658" spans="1:22" ht="15" x14ac:dyDescent="0.25">
      <c r="B658" s="591" t="s">
        <v>1099</v>
      </c>
      <c r="C658" s="538"/>
      <c r="D658" s="538"/>
    </row>
    <row r="659" spans="1:22" ht="15" x14ac:dyDescent="0.25">
      <c r="B659" s="54" t="s">
        <v>1100</v>
      </c>
      <c r="C659" s="535">
        <v>950000</v>
      </c>
      <c r="D659" s="585" t="s">
        <v>1052</v>
      </c>
      <c r="E659" s="585" t="s">
        <v>1053</v>
      </c>
      <c r="F659" s="585" t="s">
        <v>1054</v>
      </c>
    </row>
    <row r="660" spans="1:22" x14ac:dyDescent="0.2">
      <c r="B660" s="54" t="s">
        <v>1101</v>
      </c>
      <c r="C660" s="593">
        <v>0.3</v>
      </c>
      <c r="D660" s="573">
        <v>0.1</v>
      </c>
      <c r="E660" s="593">
        <v>0.4</v>
      </c>
      <c r="F660" s="593">
        <v>0.3</v>
      </c>
    </row>
    <row r="661" spans="1:22" x14ac:dyDescent="0.2">
      <c r="B661" s="54" t="s">
        <v>1102</v>
      </c>
      <c r="C661" s="535">
        <f>+C659*C660</f>
        <v>285000</v>
      </c>
    </row>
    <row r="662" spans="1:22" ht="15" x14ac:dyDescent="0.2">
      <c r="B662" s="621" t="s">
        <v>1103</v>
      </c>
      <c r="C662" s="622">
        <v>1500000</v>
      </c>
    </row>
    <row r="663" spans="1:22" ht="15" x14ac:dyDescent="0.2">
      <c r="B663" s="621" t="s">
        <v>1104</v>
      </c>
      <c r="C663" s="623">
        <v>7.4999999999999997E-2</v>
      </c>
    </row>
    <row r="664" spans="1:22" s="102" customFormat="1" ht="15" x14ac:dyDescent="0.25">
      <c r="B664" s="624"/>
      <c r="C664" s="625"/>
      <c r="D664" s="625"/>
      <c r="E664" s="625"/>
      <c r="F664" s="625"/>
      <c r="G664" s="625"/>
      <c r="H664" s="625"/>
      <c r="I664" s="625"/>
    </row>
    <row r="665" spans="1:22" ht="14.45" customHeight="1" x14ac:dyDescent="0.25">
      <c r="B665" s="403" t="s">
        <v>598</v>
      </c>
      <c r="C665" s="402">
        <v>2</v>
      </c>
      <c r="D665" s="402">
        <v>3</v>
      </c>
      <c r="E665" s="402">
        <v>4</v>
      </c>
      <c r="F665" s="402">
        <v>5</v>
      </c>
      <c r="G665" s="402">
        <v>6</v>
      </c>
      <c r="H665" s="402">
        <v>7</v>
      </c>
      <c r="I665" s="402">
        <v>8</v>
      </c>
      <c r="J665" s="402">
        <v>9</v>
      </c>
      <c r="K665" s="402">
        <v>10</v>
      </c>
      <c r="L665" s="402">
        <v>11</v>
      </c>
      <c r="M665" s="402">
        <v>12</v>
      </c>
      <c r="N665" s="402">
        <v>13</v>
      </c>
      <c r="O665" s="402">
        <v>14</v>
      </c>
      <c r="P665" s="402">
        <v>15</v>
      </c>
      <c r="Q665" s="402">
        <v>16</v>
      </c>
      <c r="R665" s="402">
        <v>17</v>
      </c>
      <c r="S665" s="402">
        <v>18</v>
      </c>
      <c r="T665" s="402">
        <v>19</v>
      </c>
      <c r="U665" s="402">
        <v>20</v>
      </c>
      <c r="V665" s="402" t="s">
        <v>32</v>
      </c>
    </row>
    <row r="666" spans="1:22" customFormat="1" ht="15" x14ac:dyDescent="0.25">
      <c r="A666" s="101"/>
      <c r="B666" s="626" t="s">
        <v>1105</v>
      </c>
      <c r="C666" s="626">
        <f>$C$661*C667</f>
        <v>9048.3032180209975</v>
      </c>
      <c r="D666" s="626">
        <f t="shared" ref="D666:U666" si="39">$C$661*D667</f>
        <v>10405.548700724148</v>
      </c>
      <c r="E666" s="626">
        <f t="shared" si="39"/>
        <v>11966.381005832771</v>
      </c>
      <c r="F666" s="626">
        <f t="shared" si="39"/>
        <v>13761.338156707689</v>
      </c>
      <c r="G666" s="626">
        <f t="shared" si="39"/>
        <v>15825.53888021384</v>
      </c>
      <c r="H666" s="626">
        <f t="shared" si="39"/>
        <v>18990.646656256606</v>
      </c>
      <c r="I666" s="626">
        <f t="shared" si="39"/>
        <v>22788.775987507928</v>
      </c>
      <c r="J666" s="626">
        <f t="shared" si="39"/>
        <v>27346.531185009517</v>
      </c>
      <c r="K666" s="626">
        <f t="shared" si="39"/>
        <v>32815.83742201142</v>
      </c>
      <c r="L666" s="626">
        <f t="shared" si="39"/>
        <v>27346.531185009517</v>
      </c>
      <c r="M666" s="626">
        <f t="shared" si="39"/>
        <v>21877.224948007613</v>
      </c>
      <c r="N666" s="626">
        <f t="shared" si="39"/>
        <v>17501.779958406092</v>
      </c>
      <c r="O666" s="626">
        <f t="shared" si="39"/>
        <v>14001.423966724873</v>
      </c>
      <c r="P666" s="626">
        <f t="shared" si="39"/>
        <v>11201.139173379899</v>
      </c>
      <c r="Q666" s="626">
        <f t="shared" si="39"/>
        <v>8960.9113387039179</v>
      </c>
      <c r="R666" s="626">
        <f t="shared" si="39"/>
        <v>7168.7290709631352</v>
      </c>
      <c r="S666" s="626">
        <f t="shared" si="39"/>
        <v>5734.9832567705089</v>
      </c>
      <c r="T666" s="626">
        <f t="shared" si="39"/>
        <v>4587.9866054164067</v>
      </c>
      <c r="U666" s="626">
        <f t="shared" si="39"/>
        <v>3670.3892843331259</v>
      </c>
      <c r="V666" s="626">
        <f>SUM(C666:U666)</f>
        <v>285000</v>
      </c>
    </row>
    <row r="667" spans="1:22" customFormat="1" ht="15" x14ac:dyDescent="0.25">
      <c r="A667" s="101"/>
      <c r="B667" s="551" t="s">
        <v>1106</v>
      </c>
      <c r="C667" s="572">
        <f t="shared" ref="C667:V667" si="40">C567</f>
        <v>3.1748432343933326E-2</v>
      </c>
      <c r="D667" s="572">
        <f t="shared" si="40"/>
        <v>3.6510697195523328E-2</v>
      </c>
      <c r="E667" s="572">
        <f t="shared" si="40"/>
        <v>4.1987301774851826E-2</v>
      </c>
      <c r="F667" s="572">
        <f t="shared" si="40"/>
        <v>4.8285397041079606E-2</v>
      </c>
      <c r="G667" s="572">
        <f t="shared" si="40"/>
        <v>5.5528206597241545E-2</v>
      </c>
      <c r="H667" s="572">
        <f t="shared" si="40"/>
        <v>6.6633847916689845E-2</v>
      </c>
      <c r="I667" s="572">
        <f t="shared" si="40"/>
        <v>7.9960617500027822E-2</v>
      </c>
      <c r="J667" s="572">
        <f t="shared" si="40"/>
        <v>9.5952741000033398E-2</v>
      </c>
      <c r="K667" s="572">
        <f t="shared" si="40"/>
        <v>0.11514328920004008</v>
      </c>
      <c r="L667" s="572">
        <f t="shared" si="40"/>
        <v>9.5952741000033398E-2</v>
      </c>
      <c r="M667" s="572">
        <f t="shared" si="40"/>
        <v>7.6762192800026718E-2</v>
      </c>
      <c r="N667" s="572">
        <f t="shared" si="40"/>
        <v>6.1409754240021375E-2</v>
      </c>
      <c r="O667" s="572">
        <f t="shared" si="40"/>
        <v>4.9127803392017097E-2</v>
      </c>
      <c r="P667" s="572">
        <f t="shared" si="40"/>
        <v>3.9302242713613683E-2</v>
      </c>
      <c r="Q667" s="572">
        <f t="shared" si="40"/>
        <v>3.1441794170890942E-2</v>
      </c>
      <c r="R667" s="572">
        <f t="shared" si="40"/>
        <v>2.5153435336712757E-2</v>
      </c>
      <c r="S667" s="572">
        <f t="shared" si="40"/>
        <v>2.0122748269370206E-2</v>
      </c>
      <c r="T667" s="572">
        <f t="shared" si="40"/>
        <v>1.6098198615496166E-2</v>
      </c>
      <c r="U667" s="572">
        <f t="shared" si="40"/>
        <v>1.2878558892396932E-2</v>
      </c>
      <c r="V667" s="572">
        <f t="shared" si="40"/>
        <v>1</v>
      </c>
    </row>
    <row r="668" spans="1:22" s="629" customFormat="1" ht="15" x14ac:dyDescent="0.25">
      <c r="A668" s="52"/>
      <c r="B668" s="627" t="s">
        <v>1107</v>
      </c>
      <c r="C668" s="571">
        <f>C666*$C$662</f>
        <v>13572454827.031496</v>
      </c>
      <c r="D668" s="628">
        <f t="shared" ref="D668:V668" si="41">D666*$C$662</f>
        <v>15608323051.086222</v>
      </c>
      <c r="E668" s="571">
        <f t="shared" si="41"/>
        <v>17949571508.749157</v>
      </c>
      <c r="F668" s="628">
        <f t="shared" si="41"/>
        <v>20642007235.061531</v>
      </c>
      <c r="G668" s="628">
        <f t="shared" si="41"/>
        <v>23738308320.320759</v>
      </c>
      <c r="H668" s="571">
        <f t="shared" si="41"/>
        <v>28485969984.384907</v>
      </c>
      <c r="I668" s="571">
        <f t="shared" si="41"/>
        <v>34183163981.261894</v>
      </c>
      <c r="J668" s="571">
        <f t="shared" si="41"/>
        <v>41019796777.514275</v>
      </c>
      <c r="K668" s="571">
        <f t="shared" si="41"/>
        <v>49223756133.017128</v>
      </c>
      <c r="L668" s="571">
        <f t="shared" si="41"/>
        <v>41019796777.514275</v>
      </c>
      <c r="M668" s="571">
        <f t="shared" si="41"/>
        <v>32815837422.011421</v>
      </c>
      <c r="N668" s="571">
        <f t="shared" si="41"/>
        <v>26252669937.609138</v>
      </c>
      <c r="O668" s="571">
        <f t="shared" si="41"/>
        <v>21002135950.087311</v>
      </c>
      <c r="P668" s="571">
        <f t="shared" si="41"/>
        <v>16801708760.069849</v>
      </c>
      <c r="Q668" s="571">
        <f t="shared" si="41"/>
        <v>13441367008.055878</v>
      </c>
      <c r="R668" s="571">
        <f t="shared" si="41"/>
        <v>10753093606.444702</v>
      </c>
      <c r="S668" s="571">
        <f t="shared" si="41"/>
        <v>8602474885.1557636</v>
      </c>
      <c r="T668" s="571">
        <f t="shared" si="41"/>
        <v>6881979908.1246099</v>
      </c>
      <c r="U668" s="571">
        <f t="shared" si="41"/>
        <v>5505583926.4996891</v>
      </c>
      <c r="V668" s="571">
        <f t="shared" si="41"/>
        <v>427500000000</v>
      </c>
    </row>
    <row r="669" spans="1:22" customFormat="1" ht="15" x14ac:dyDescent="0.25">
      <c r="A669" s="101"/>
      <c r="B669" s="621" t="s">
        <v>1108</v>
      </c>
      <c r="C669" s="621">
        <f>C668*$C$663</f>
        <v>1017934112.0273621</v>
      </c>
      <c r="D669" s="621">
        <f t="shared" ref="D669:V669" si="42">D668*$C$663</f>
        <v>1170624228.8314667</v>
      </c>
      <c r="E669" s="621">
        <f t="shared" si="42"/>
        <v>1346217863.1561868</v>
      </c>
      <c r="F669" s="621">
        <f t="shared" si="42"/>
        <v>1548150542.6296148</v>
      </c>
      <c r="G669" s="621">
        <f t="shared" si="42"/>
        <v>1780373124.0240569</v>
      </c>
      <c r="H669" s="621">
        <f t="shared" si="42"/>
        <v>2136447748.8288679</v>
      </c>
      <c r="I669" s="621">
        <f t="shared" si="42"/>
        <v>2563737298.5946422</v>
      </c>
      <c r="J669" s="621">
        <f t="shared" si="42"/>
        <v>3076484758.3135705</v>
      </c>
      <c r="K669" s="621">
        <f t="shared" si="42"/>
        <v>3691781709.9762845</v>
      </c>
      <c r="L669" s="621">
        <f t="shared" si="42"/>
        <v>3076484758.3135705</v>
      </c>
      <c r="M669" s="621">
        <f t="shared" si="42"/>
        <v>2461187806.6508565</v>
      </c>
      <c r="N669" s="621">
        <f t="shared" si="42"/>
        <v>1968950245.3206854</v>
      </c>
      <c r="O669" s="621">
        <f t="shared" si="42"/>
        <v>1575160196.2565482</v>
      </c>
      <c r="P669" s="621">
        <f t="shared" si="42"/>
        <v>1260128157.0052385</v>
      </c>
      <c r="Q669" s="621">
        <f t="shared" si="42"/>
        <v>1008102525.6041908</v>
      </c>
      <c r="R669" s="621">
        <f t="shared" si="42"/>
        <v>806482020.48335266</v>
      </c>
      <c r="S669" s="621">
        <f t="shared" si="42"/>
        <v>645185616.38668227</v>
      </c>
      <c r="T669" s="621">
        <f t="shared" si="42"/>
        <v>516148493.10934573</v>
      </c>
      <c r="U669" s="621">
        <f t="shared" si="42"/>
        <v>412918794.48747665</v>
      </c>
      <c r="V669" s="621">
        <f t="shared" si="42"/>
        <v>32062500000</v>
      </c>
    </row>
    <row r="670" spans="1:22" customFormat="1" ht="15" x14ac:dyDescent="0.25">
      <c r="A670" s="101"/>
      <c r="B670" s="25"/>
      <c r="C670" s="25"/>
      <c r="D670" s="630"/>
      <c r="E670" s="631"/>
      <c r="F670" s="630"/>
      <c r="G670" s="630"/>
      <c r="H670" s="631"/>
      <c r="I670" s="631"/>
      <c r="J670" s="631"/>
      <c r="K670" s="631"/>
      <c r="L670" s="631"/>
      <c r="M670" s="631"/>
      <c r="N670" s="631"/>
      <c r="O670" s="631"/>
      <c r="P670" s="631"/>
      <c r="Q670" s="631"/>
      <c r="R670" s="631"/>
      <c r="S670" s="631"/>
      <c r="T670" s="631"/>
      <c r="U670" s="631"/>
      <c r="V670" s="631"/>
    </row>
    <row r="671" spans="1:22" customFormat="1" ht="15" x14ac:dyDescent="0.25">
      <c r="A671" s="101"/>
      <c r="B671" s="25"/>
      <c r="C671" s="25"/>
      <c r="D671" s="630"/>
      <c r="E671" s="631"/>
      <c r="F671" s="630"/>
      <c r="G671" s="630"/>
      <c r="H671" s="631"/>
      <c r="I671" s="631"/>
      <c r="J671" s="631"/>
      <c r="K671" s="631"/>
      <c r="L671" s="631"/>
      <c r="M671" s="631"/>
      <c r="N671" s="631"/>
      <c r="O671" s="631"/>
      <c r="P671" s="631"/>
      <c r="Q671" s="631"/>
      <c r="R671" s="631"/>
      <c r="S671" s="631"/>
      <c r="T671" s="631"/>
      <c r="U671" s="631"/>
      <c r="V671" s="631"/>
    </row>
    <row r="672" spans="1:22" ht="15" x14ac:dyDescent="0.25">
      <c r="B672" s="497" t="s">
        <v>1121</v>
      </c>
      <c r="C672" s="25"/>
      <c r="D672" s="25"/>
      <c r="E672" s="25"/>
      <c r="F672" s="525"/>
      <c r="G672" s="25"/>
      <c r="H672" s="25"/>
    </row>
    <row r="673" spans="1:22" x14ac:dyDescent="0.2">
      <c r="B673" s="548" t="s">
        <v>1004</v>
      </c>
      <c r="C673" s="50">
        <v>38004</v>
      </c>
      <c r="D673" s="25"/>
      <c r="E673" s="25"/>
      <c r="F673" s="525"/>
      <c r="G673" s="25"/>
      <c r="H673" s="25"/>
    </row>
    <row r="674" spans="1:22" ht="45" x14ac:dyDescent="0.2">
      <c r="B674" s="637" t="s">
        <v>1005</v>
      </c>
      <c r="C674" s="638" t="s">
        <v>1006</v>
      </c>
      <c r="D674" s="638" t="s">
        <v>1007</v>
      </c>
      <c r="E674" s="638" t="s">
        <v>1122</v>
      </c>
      <c r="F674" s="638" t="s">
        <v>1123</v>
      </c>
      <c r="G674" s="638" t="s">
        <v>1124</v>
      </c>
      <c r="H674" s="638" t="s">
        <v>1125</v>
      </c>
    </row>
    <row r="675" spans="1:22" ht="15" x14ac:dyDescent="0.2">
      <c r="B675" s="551" t="s">
        <v>1012</v>
      </c>
      <c r="C675" s="552">
        <v>23563</v>
      </c>
      <c r="D675" s="553">
        <f>+C673*C675</f>
        <v>895488252</v>
      </c>
      <c r="E675" s="554">
        <v>0.03</v>
      </c>
      <c r="F675" s="50">
        <f>+D675*E675</f>
        <v>26864647.559999999</v>
      </c>
      <c r="G675" s="554">
        <v>0.4</v>
      </c>
      <c r="H675" s="622">
        <f>F675*G675</f>
        <v>10745859.024</v>
      </c>
    </row>
    <row r="676" spans="1:22" ht="15" x14ac:dyDescent="0.2">
      <c r="B676" s="556" t="s">
        <v>1013</v>
      </c>
      <c r="C676" s="552">
        <v>204995</v>
      </c>
      <c r="D676" s="553">
        <f>+C673*C676</f>
        <v>7790629980</v>
      </c>
      <c r="E676" s="554">
        <v>0.02</v>
      </c>
      <c r="F676" s="50">
        <f>+D676*E676</f>
        <v>155812599.59999999</v>
      </c>
      <c r="G676" s="554">
        <v>0.25</v>
      </c>
      <c r="H676" s="622">
        <f>F676*G676</f>
        <v>38953149.899999999</v>
      </c>
    </row>
    <row r="677" spans="1:22" ht="15" x14ac:dyDescent="0.2">
      <c r="B677" s="551" t="s">
        <v>1014</v>
      </c>
      <c r="C677" s="552">
        <v>1736565</v>
      </c>
      <c r="D677" s="553">
        <f>+C673*C677</f>
        <v>65996416260</v>
      </c>
      <c r="E677" s="639">
        <v>5.0000000000000001E-3</v>
      </c>
      <c r="F677" s="50">
        <f>+D677*E677</f>
        <v>329982081.30000001</v>
      </c>
      <c r="G677" s="554">
        <v>0.2</v>
      </c>
      <c r="H677" s="622">
        <f>F677*G677</f>
        <v>65996416.260000005</v>
      </c>
    </row>
    <row r="679" spans="1:22" x14ac:dyDescent="0.2">
      <c r="B679" s="538"/>
      <c r="C679" s="538"/>
      <c r="D679" s="538"/>
      <c r="E679" s="538"/>
      <c r="F679" s="538"/>
      <c r="G679" s="538"/>
      <c r="H679" s="538"/>
      <c r="I679" s="538"/>
      <c r="J679" s="538"/>
      <c r="K679" s="538"/>
      <c r="L679" s="538"/>
      <c r="M679" s="538"/>
      <c r="N679" s="538"/>
      <c r="O679" s="538"/>
      <c r="P679" s="538"/>
      <c r="Q679" s="538"/>
      <c r="R679" s="538"/>
    </row>
    <row r="680" spans="1:22" ht="15" x14ac:dyDescent="0.25">
      <c r="B680" s="591" t="s">
        <v>1109</v>
      </c>
      <c r="C680" s="538"/>
      <c r="D680" s="538"/>
    </row>
    <row r="681" spans="1:22" x14ac:dyDescent="0.2">
      <c r="B681" s="54" t="s">
        <v>1100</v>
      </c>
      <c r="C681" s="535">
        <v>950000</v>
      </c>
    </row>
    <row r="682" spans="1:22" x14ac:dyDescent="0.2">
      <c r="B682" s="54" t="s">
        <v>1110</v>
      </c>
      <c r="C682" s="593">
        <v>0.05</v>
      </c>
    </row>
    <row r="683" spans="1:22" x14ac:dyDescent="0.2">
      <c r="B683" s="54" t="s">
        <v>1102</v>
      </c>
      <c r="C683" s="535">
        <f>+C681*C682</f>
        <v>47500</v>
      </c>
    </row>
    <row r="684" spans="1:22" x14ac:dyDescent="0.2">
      <c r="B684" s="632"/>
      <c r="C684" s="537"/>
    </row>
    <row r="685" spans="1:22" customFormat="1" ht="15" x14ac:dyDescent="0.25">
      <c r="A685" s="101"/>
      <c r="B685" s="25"/>
      <c r="C685" s="25"/>
      <c r="D685" s="630"/>
      <c r="E685" s="631"/>
      <c r="F685" s="630"/>
      <c r="G685" s="630"/>
      <c r="H685" s="631"/>
      <c r="I685" s="631"/>
      <c r="J685" s="631"/>
      <c r="K685" s="631"/>
      <c r="L685" s="631"/>
      <c r="M685" s="631"/>
      <c r="N685" s="631"/>
      <c r="O685" s="631"/>
      <c r="P685" s="631"/>
      <c r="Q685" s="631"/>
      <c r="R685" s="631"/>
      <c r="S685" s="631"/>
      <c r="T685" s="631"/>
      <c r="U685" s="631"/>
      <c r="V685" s="631"/>
    </row>
    <row r="686" spans="1:22" ht="15" x14ac:dyDescent="0.25">
      <c r="B686" s="621" t="s">
        <v>1111</v>
      </c>
      <c r="C686" s="622">
        <f>2150*C297</f>
        <v>8134123.666666667</v>
      </c>
      <c r="D686" s="585" t="s">
        <v>1112</v>
      </c>
      <c r="E686" s="585" t="s">
        <v>1054</v>
      </c>
      <c r="F686" s="585" t="s">
        <v>1055</v>
      </c>
    </row>
    <row r="687" spans="1:22" ht="15" x14ac:dyDescent="0.25">
      <c r="B687" s="410" t="s">
        <v>1113</v>
      </c>
      <c r="C687" s="633">
        <v>0.3</v>
      </c>
      <c r="D687" s="573">
        <v>0.5</v>
      </c>
      <c r="E687" s="593">
        <v>0.3</v>
      </c>
      <c r="F687" s="593">
        <v>0.2</v>
      </c>
    </row>
    <row r="688" spans="1:22" ht="15" x14ac:dyDescent="0.25">
      <c r="B688" s="411" t="s">
        <v>1114</v>
      </c>
      <c r="C688" s="634">
        <v>0.2</v>
      </c>
    </row>
    <row r="689" spans="1:22" s="102" customFormat="1" ht="15" x14ac:dyDescent="0.2">
      <c r="B689" s="101" t="s">
        <v>1115</v>
      </c>
      <c r="C689" s="635"/>
    </row>
    <row r="690" spans="1:22" s="102" customFormat="1" ht="15" x14ac:dyDescent="0.2">
      <c r="B690" s="101"/>
      <c r="C690" s="635"/>
    </row>
    <row r="691" spans="1:22" ht="14.45" customHeight="1" x14ac:dyDescent="0.25">
      <c r="B691" s="403" t="s">
        <v>598</v>
      </c>
      <c r="C691" s="402">
        <v>2</v>
      </c>
      <c r="D691" s="402">
        <v>3</v>
      </c>
      <c r="E691" s="402">
        <v>4</v>
      </c>
      <c r="F691" s="402">
        <v>5</v>
      </c>
      <c r="G691" s="402">
        <v>6</v>
      </c>
      <c r="H691" s="402">
        <v>7</v>
      </c>
      <c r="I691" s="402">
        <v>8</v>
      </c>
      <c r="J691" s="402">
        <v>9</v>
      </c>
      <c r="K691" s="402">
        <v>10</v>
      </c>
      <c r="L691" s="402">
        <v>11</v>
      </c>
      <c r="M691" s="402">
        <v>12</v>
      </c>
      <c r="N691" s="402">
        <v>13</v>
      </c>
      <c r="O691" s="402">
        <v>14</v>
      </c>
      <c r="P691" s="402">
        <v>15</v>
      </c>
      <c r="Q691" s="402">
        <v>16</v>
      </c>
      <c r="R691" s="402">
        <v>17</v>
      </c>
      <c r="S691" s="402">
        <v>18</v>
      </c>
      <c r="T691" s="402">
        <v>19</v>
      </c>
      <c r="U691" s="402">
        <v>20</v>
      </c>
      <c r="V691" s="402" t="s">
        <v>32</v>
      </c>
    </row>
    <row r="692" spans="1:22" customFormat="1" ht="15" x14ac:dyDescent="0.25">
      <c r="A692" s="101"/>
      <c r="B692" s="551" t="s">
        <v>1106</v>
      </c>
      <c r="C692" s="636">
        <f t="shared" ref="C692:V692" si="43">C567</f>
        <v>3.1748432343933326E-2</v>
      </c>
      <c r="D692" s="636">
        <f t="shared" si="43"/>
        <v>3.6510697195523328E-2</v>
      </c>
      <c r="E692" s="636">
        <f t="shared" si="43"/>
        <v>4.1987301774851826E-2</v>
      </c>
      <c r="F692" s="636">
        <f t="shared" si="43"/>
        <v>4.8285397041079606E-2</v>
      </c>
      <c r="G692" s="636">
        <f t="shared" si="43"/>
        <v>5.5528206597241545E-2</v>
      </c>
      <c r="H692" s="636">
        <f t="shared" si="43"/>
        <v>6.6633847916689845E-2</v>
      </c>
      <c r="I692" s="636">
        <f t="shared" si="43"/>
        <v>7.9960617500027822E-2</v>
      </c>
      <c r="J692" s="636">
        <f t="shared" si="43"/>
        <v>9.5952741000033398E-2</v>
      </c>
      <c r="K692" s="636">
        <f t="shared" si="43"/>
        <v>0.11514328920004008</v>
      </c>
      <c r="L692" s="636">
        <f t="shared" si="43"/>
        <v>9.5952741000033398E-2</v>
      </c>
      <c r="M692" s="636">
        <f t="shared" si="43"/>
        <v>7.6762192800026718E-2</v>
      </c>
      <c r="N692" s="636">
        <f t="shared" si="43"/>
        <v>6.1409754240021375E-2</v>
      </c>
      <c r="O692" s="636">
        <f t="shared" si="43"/>
        <v>4.9127803392017097E-2</v>
      </c>
      <c r="P692" s="636">
        <f t="shared" si="43"/>
        <v>3.9302242713613683E-2</v>
      </c>
      <c r="Q692" s="636">
        <f t="shared" si="43"/>
        <v>3.1441794170890942E-2</v>
      </c>
      <c r="R692" s="636">
        <f t="shared" si="43"/>
        <v>2.5153435336712757E-2</v>
      </c>
      <c r="S692" s="636">
        <f t="shared" si="43"/>
        <v>2.0122748269370206E-2</v>
      </c>
      <c r="T692" s="636">
        <f t="shared" si="43"/>
        <v>1.6098198615496166E-2</v>
      </c>
      <c r="U692" s="636">
        <f t="shared" si="43"/>
        <v>1.2878558892396932E-2</v>
      </c>
      <c r="V692" s="636">
        <f t="shared" si="43"/>
        <v>1</v>
      </c>
    </row>
    <row r="693" spans="1:22" customFormat="1" ht="15" x14ac:dyDescent="0.25">
      <c r="A693" s="101"/>
      <c r="B693" s="626" t="s">
        <v>1116</v>
      </c>
      <c r="C693" s="626">
        <f t="shared" ref="C693:V693" si="44">$C$683*C692</f>
        <v>1508.0505363368329</v>
      </c>
      <c r="D693" s="626">
        <f t="shared" si="44"/>
        <v>1734.2581167873582</v>
      </c>
      <c r="E693" s="626">
        <f t="shared" si="44"/>
        <v>1994.3968343054617</v>
      </c>
      <c r="F693" s="626">
        <f t="shared" si="44"/>
        <v>2293.5563594512814</v>
      </c>
      <c r="G693" s="626">
        <f t="shared" si="44"/>
        <v>2637.5898133689734</v>
      </c>
      <c r="H693" s="626">
        <f t="shared" si="44"/>
        <v>3165.1077760427675</v>
      </c>
      <c r="I693" s="626">
        <f t="shared" si="44"/>
        <v>3798.1293312513217</v>
      </c>
      <c r="J693" s="626">
        <f t="shared" si="44"/>
        <v>4557.7551975015867</v>
      </c>
      <c r="K693" s="626">
        <f t="shared" si="44"/>
        <v>5469.3062370019034</v>
      </c>
      <c r="L693" s="626">
        <f t="shared" si="44"/>
        <v>4557.7551975015867</v>
      </c>
      <c r="M693" s="626">
        <f t="shared" si="44"/>
        <v>3646.2041580012692</v>
      </c>
      <c r="N693" s="626">
        <f t="shared" si="44"/>
        <v>2916.9633264010154</v>
      </c>
      <c r="O693" s="626">
        <f t="shared" si="44"/>
        <v>2333.570661120812</v>
      </c>
      <c r="P693" s="626">
        <f t="shared" si="44"/>
        <v>1866.8565288966499</v>
      </c>
      <c r="Q693" s="626">
        <f t="shared" si="44"/>
        <v>1493.4852231173197</v>
      </c>
      <c r="R693" s="626">
        <f t="shared" si="44"/>
        <v>1194.7881784938559</v>
      </c>
      <c r="S693" s="626">
        <f t="shared" si="44"/>
        <v>955.83054279508474</v>
      </c>
      <c r="T693" s="626">
        <f t="shared" si="44"/>
        <v>764.6644342360679</v>
      </c>
      <c r="U693" s="626">
        <f t="shared" si="44"/>
        <v>611.73154738885432</v>
      </c>
      <c r="V693" s="626">
        <f t="shared" si="44"/>
        <v>47500</v>
      </c>
    </row>
    <row r="694" spans="1:22" ht="15" x14ac:dyDescent="0.25">
      <c r="B694" s="410" t="s">
        <v>1117</v>
      </c>
      <c r="C694" s="410">
        <f t="shared" ref="C694:V694" si="45">C693*$D$687</f>
        <v>754.02526816841646</v>
      </c>
      <c r="D694" s="410">
        <f t="shared" si="45"/>
        <v>867.12905839367909</v>
      </c>
      <c r="E694" s="410">
        <f t="shared" si="45"/>
        <v>997.19841715273083</v>
      </c>
      <c r="F694" s="410">
        <f t="shared" si="45"/>
        <v>1146.7781797256407</v>
      </c>
      <c r="G694" s="410">
        <f t="shared" si="45"/>
        <v>1318.7949066844867</v>
      </c>
      <c r="H694" s="410">
        <f t="shared" si="45"/>
        <v>1582.5538880213837</v>
      </c>
      <c r="I694" s="410">
        <f t="shared" si="45"/>
        <v>1899.0646656256608</v>
      </c>
      <c r="J694" s="410">
        <f t="shared" si="45"/>
        <v>2278.8775987507934</v>
      </c>
      <c r="K694" s="410">
        <f t="shared" si="45"/>
        <v>2734.6531185009517</v>
      </c>
      <c r="L694" s="410">
        <f t="shared" si="45"/>
        <v>2278.8775987507934</v>
      </c>
      <c r="M694" s="410">
        <f t="shared" si="45"/>
        <v>1823.1020790006346</v>
      </c>
      <c r="N694" s="410">
        <f t="shared" si="45"/>
        <v>1458.4816632005077</v>
      </c>
      <c r="O694" s="410">
        <f t="shared" si="45"/>
        <v>1166.785330560406</v>
      </c>
      <c r="P694" s="410">
        <f t="shared" si="45"/>
        <v>933.42826444832497</v>
      </c>
      <c r="Q694" s="410">
        <f t="shared" si="45"/>
        <v>746.74261155865986</v>
      </c>
      <c r="R694" s="410">
        <f t="shared" si="45"/>
        <v>597.39408924692793</v>
      </c>
      <c r="S694" s="410">
        <f t="shared" si="45"/>
        <v>477.91527139754237</v>
      </c>
      <c r="T694" s="410">
        <f t="shared" si="45"/>
        <v>382.33221711803395</v>
      </c>
      <c r="U694" s="410">
        <f t="shared" si="45"/>
        <v>305.86577369442716</v>
      </c>
      <c r="V694" s="410">
        <f t="shared" si="45"/>
        <v>23750</v>
      </c>
    </row>
    <row r="695" spans="1:22" ht="15" x14ac:dyDescent="0.25">
      <c r="B695" s="411" t="s">
        <v>1118</v>
      </c>
      <c r="C695" s="411">
        <f t="shared" ref="C695:V695" si="46">C693*$E$687</f>
        <v>452.41516090104989</v>
      </c>
      <c r="D695" s="411">
        <f t="shared" si="46"/>
        <v>520.27743503620741</v>
      </c>
      <c r="E695" s="411">
        <f t="shared" si="46"/>
        <v>598.31905029163852</v>
      </c>
      <c r="F695" s="411">
        <f t="shared" si="46"/>
        <v>688.06690783538443</v>
      </c>
      <c r="G695" s="411">
        <f t="shared" si="46"/>
        <v>791.27694401069198</v>
      </c>
      <c r="H695" s="411">
        <f t="shared" si="46"/>
        <v>949.53233281283019</v>
      </c>
      <c r="I695" s="411">
        <f t="shared" si="46"/>
        <v>1139.4387993753965</v>
      </c>
      <c r="J695" s="411">
        <f t="shared" si="46"/>
        <v>1367.3265592504761</v>
      </c>
      <c r="K695" s="411">
        <f t="shared" si="46"/>
        <v>1640.7918711005709</v>
      </c>
      <c r="L695" s="411">
        <f t="shared" si="46"/>
        <v>1367.3265592504761</v>
      </c>
      <c r="M695" s="411">
        <f t="shared" si="46"/>
        <v>1093.8612474003808</v>
      </c>
      <c r="N695" s="411">
        <f t="shared" si="46"/>
        <v>875.08899792030456</v>
      </c>
      <c r="O695" s="411">
        <f t="shared" si="46"/>
        <v>700.07119833624358</v>
      </c>
      <c r="P695" s="411">
        <f t="shared" si="46"/>
        <v>560.05695866899498</v>
      </c>
      <c r="Q695" s="411">
        <f t="shared" si="46"/>
        <v>448.04556693519589</v>
      </c>
      <c r="R695" s="411">
        <f t="shared" si="46"/>
        <v>358.43645354815675</v>
      </c>
      <c r="S695" s="411">
        <f t="shared" si="46"/>
        <v>286.74916283852542</v>
      </c>
      <c r="T695" s="411">
        <f t="shared" si="46"/>
        <v>229.39933027082037</v>
      </c>
      <c r="U695" s="411">
        <f t="shared" si="46"/>
        <v>183.5194642166563</v>
      </c>
      <c r="V695" s="411">
        <f t="shared" si="46"/>
        <v>14250</v>
      </c>
    </row>
    <row r="696" spans="1:22" customFormat="1" ht="15" x14ac:dyDescent="0.25">
      <c r="A696" s="101"/>
      <c r="B696" s="410" t="s">
        <v>1119</v>
      </c>
      <c r="C696" s="410">
        <f t="shared" ref="C696:V696" si="47">$C$686*$C$687*C694</f>
        <v>1840000433.722019</v>
      </c>
      <c r="D696" s="410">
        <f t="shared" si="47"/>
        <v>2116000498.7803223</v>
      </c>
      <c r="E696" s="410">
        <f t="shared" si="47"/>
        <v>2433400573.5973701</v>
      </c>
      <c r="F696" s="410">
        <f t="shared" si="47"/>
        <v>2798410659.6369762</v>
      </c>
      <c r="G696" s="410">
        <f t="shared" si="47"/>
        <v>3218172258.5825224</v>
      </c>
      <c r="H696" s="410">
        <f t="shared" si="47"/>
        <v>3861806710.2990265</v>
      </c>
      <c r="I696" s="410">
        <f t="shared" si="47"/>
        <v>4634168052.3588324</v>
      </c>
      <c r="J696" s="410">
        <f t="shared" si="47"/>
        <v>5561001662.8305998</v>
      </c>
      <c r="K696" s="410">
        <f t="shared" si="47"/>
        <v>6673201995.396719</v>
      </c>
      <c r="L696" s="410">
        <f t="shared" si="47"/>
        <v>5561001662.8305998</v>
      </c>
      <c r="M696" s="410">
        <f t="shared" si="47"/>
        <v>4448801330.2644796</v>
      </c>
      <c r="N696" s="410">
        <f t="shared" si="47"/>
        <v>3559041064.2115836</v>
      </c>
      <c r="O696" s="410">
        <f t="shared" si="47"/>
        <v>2847232851.3692665</v>
      </c>
      <c r="P696" s="410">
        <f t="shared" si="47"/>
        <v>2277786281.0954137</v>
      </c>
      <c r="Q696" s="410">
        <f t="shared" si="47"/>
        <v>1822229024.8763306</v>
      </c>
      <c r="R696" s="410">
        <f t="shared" si="47"/>
        <v>1457783219.9010646</v>
      </c>
      <c r="S696" s="410">
        <f t="shared" si="47"/>
        <v>1166226575.9208517</v>
      </c>
      <c r="T696" s="410">
        <f t="shared" si="47"/>
        <v>932981260.73668158</v>
      </c>
      <c r="U696" s="410">
        <f t="shared" si="47"/>
        <v>746385008.58934522</v>
      </c>
      <c r="V696" s="410">
        <f t="shared" si="47"/>
        <v>57955631125</v>
      </c>
    </row>
    <row r="697" spans="1:22" customFormat="1" ht="15" x14ac:dyDescent="0.25">
      <c r="A697" s="101"/>
      <c r="B697" s="411" t="s">
        <v>1120</v>
      </c>
      <c r="C697" s="411">
        <f t="shared" ref="C697:V697" si="48">$C$686*$C$688*C695</f>
        <v>736000173.48880756</v>
      </c>
      <c r="D697" s="411">
        <f t="shared" si="48"/>
        <v>846400199.51212883</v>
      </c>
      <c r="E697" s="411">
        <f t="shared" si="48"/>
        <v>973360229.43894815</v>
      </c>
      <c r="F697" s="411">
        <f t="shared" si="48"/>
        <v>1119364263.8547904</v>
      </c>
      <c r="G697" s="411">
        <f t="shared" si="48"/>
        <v>1287268903.4330089</v>
      </c>
      <c r="H697" s="411">
        <f t="shared" si="48"/>
        <v>1544722684.1196105</v>
      </c>
      <c r="I697" s="411">
        <f t="shared" si="48"/>
        <v>1853667220.9435329</v>
      </c>
      <c r="J697" s="411">
        <f t="shared" si="48"/>
        <v>2224400665.1322398</v>
      </c>
      <c r="K697" s="411">
        <f t="shared" si="48"/>
        <v>2669280798.1586876</v>
      </c>
      <c r="L697" s="411">
        <f t="shared" si="48"/>
        <v>2224400665.1322398</v>
      </c>
      <c r="M697" s="411">
        <f t="shared" si="48"/>
        <v>1779520532.1057918</v>
      </c>
      <c r="N697" s="411">
        <f t="shared" si="48"/>
        <v>1423616425.6846335</v>
      </c>
      <c r="O697" s="411">
        <f t="shared" si="48"/>
        <v>1138893140.5477066</v>
      </c>
      <c r="P697" s="411">
        <f t="shared" si="48"/>
        <v>911114512.43816543</v>
      </c>
      <c r="Q697" s="411">
        <f t="shared" si="48"/>
        <v>728891609.9505322</v>
      </c>
      <c r="R697" s="411">
        <f t="shared" si="48"/>
        <v>583113287.96042585</v>
      </c>
      <c r="S697" s="411">
        <f t="shared" si="48"/>
        <v>466490630.36834073</v>
      </c>
      <c r="T697" s="411">
        <f t="shared" si="48"/>
        <v>373192504.29467261</v>
      </c>
      <c r="U697" s="411">
        <f t="shared" si="48"/>
        <v>298554003.43573809</v>
      </c>
      <c r="V697" s="411">
        <f t="shared" si="48"/>
        <v>23182252450</v>
      </c>
    </row>
    <row r="698" spans="1:22" ht="15" x14ac:dyDescent="0.25">
      <c r="B698" s="640" t="s">
        <v>1126</v>
      </c>
      <c r="C698" s="641"/>
      <c r="D698" s="538"/>
      <c r="E698" s="538"/>
      <c r="F698" s="538"/>
      <c r="G698" s="538"/>
      <c r="H698" s="538"/>
      <c r="I698" s="538"/>
      <c r="J698" s="538"/>
    </row>
    <row r="699" spans="1:22" x14ac:dyDescent="0.2">
      <c r="B699" s="641" t="s">
        <v>1127</v>
      </c>
      <c r="C699" s="51">
        <v>70000000</v>
      </c>
      <c r="D699" s="538"/>
      <c r="E699" s="538"/>
      <c r="F699" s="538"/>
      <c r="G699" s="538"/>
      <c r="H699" s="538"/>
      <c r="I699" s="538"/>
      <c r="J699" s="538"/>
    </row>
    <row r="700" spans="1:22" x14ac:dyDescent="0.2">
      <c r="B700" s="641" t="s">
        <v>1128</v>
      </c>
      <c r="C700" s="641">
        <v>30</v>
      </c>
      <c r="D700" s="538"/>
      <c r="E700" s="538"/>
      <c r="F700" s="538"/>
      <c r="G700" s="538"/>
      <c r="H700" s="538"/>
      <c r="I700" s="538"/>
      <c r="J700" s="538"/>
    </row>
    <row r="701" spans="1:22" ht="15" x14ac:dyDescent="0.2">
      <c r="B701" s="641" t="s">
        <v>1129</v>
      </c>
      <c r="C701" s="622">
        <f>C699*30%</f>
        <v>21000000</v>
      </c>
      <c r="D701" s="538"/>
      <c r="E701" s="538"/>
      <c r="F701" s="538"/>
      <c r="G701" s="538"/>
      <c r="H701" s="538"/>
      <c r="I701" s="538"/>
      <c r="J701" s="538"/>
    </row>
    <row r="702" spans="1:22" x14ac:dyDescent="0.2">
      <c r="B702" s="538"/>
      <c r="C702" s="538"/>
      <c r="D702" s="538"/>
      <c r="E702" s="538"/>
      <c r="F702" s="538"/>
      <c r="G702" s="538"/>
      <c r="H702" s="538"/>
      <c r="I702" s="538"/>
      <c r="J702" s="538"/>
    </row>
    <row r="703" spans="1:22" ht="15" x14ac:dyDescent="0.25">
      <c r="B703" s="640" t="s">
        <v>1130</v>
      </c>
      <c r="C703" s="642">
        <v>50000</v>
      </c>
      <c r="D703" s="538"/>
      <c r="E703" s="538"/>
      <c r="F703" s="538"/>
      <c r="G703" s="538"/>
      <c r="H703" s="538"/>
      <c r="I703" s="538"/>
      <c r="J703" s="538"/>
    </row>
    <row r="704" spans="1:22" ht="15" x14ac:dyDescent="0.2">
      <c r="B704" s="641" t="s">
        <v>1131</v>
      </c>
      <c r="C704" s="622">
        <f>C703*50%</f>
        <v>25000</v>
      </c>
      <c r="D704" s="538"/>
      <c r="E704" s="538"/>
      <c r="F704" s="538"/>
      <c r="G704" s="538"/>
      <c r="H704" s="538"/>
      <c r="I704" s="538"/>
      <c r="J704" s="538"/>
    </row>
    <row r="705" spans="2:18" x14ac:dyDescent="0.2">
      <c r="B705" s="538"/>
      <c r="C705" s="538"/>
      <c r="D705" s="538"/>
      <c r="E705" s="538"/>
      <c r="F705" s="538"/>
      <c r="G705" s="538"/>
      <c r="H705" s="538"/>
      <c r="I705" s="538"/>
      <c r="J705" s="538"/>
    </row>
    <row r="706" spans="2:18" s="102" customFormat="1" ht="15" x14ac:dyDescent="0.25">
      <c r="B706" s="49"/>
      <c r="D706" s="643"/>
    </row>
    <row r="707" spans="2:18" ht="15" x14ac:dyDescent="0.25">
      <c r="B707" s="640" t="s">
        <v>1132</v>
      </c>
      <c r="C707" s="538"/>
      <c r="D707" s="538"/>
      <c r="E707" s="538"/>
      <c r="F707" s="538"/>
      <c r="G707" s="538"/>
      <c r="H707" s="538"/>
      <c r="I707" s="538"/>
      <c r="J707" s="538"/>
    </row>
    <row r="708" spans="2:18" ht="15" x14ac:dyDescent="0.2">
      <c r="B708" s="641" t="s">
        <v>1133</v>
      </c>
      <c r="C708" s="622">
        <v>300000</v>
      </c>
      <c r="D708" s="538"/>
      <c r="E708" s="538"/>
      <c r="F708" s="538"/>
      <c r="G708" s="538"/>
      <c r="H708" s="538"/>
      <c r="I708" s="538"/>
      <c r="J708" s="538"/>
    </row>
    <row r="709" spans="2:18" x14ac:dyDescent="0.2">
      <c r="B709" s="644"/>
      <c r="C709" s="645"/>
      <c r="D709" s="538"/>
      <c r="E709" s="538"/>
      <c r="F709" s="538"/>
      <c r="G709" s="538"/>
      <c r="H709" s="538"/>
      <c r="I709" s="538"/>
      <c r="J709" s="538"/>
    </row>
    <row r="710" spans="2:18" ht="15" x14ac:dyDescent="0.25">
      <c r="B710" s="640" t="s">
        <v>1134</v>
      </c>
      <c r="C710" s="646"/>
      <c r="D710" s="538"/>
      <c r="E710" s="538"/>
      <c r="F710" s="538"/>
      <c r="G710" s="538"/>
      <c r="H710" s="538"/>
      <c r="I710" s="538"/>
      <c r="J710" s="538"/>
    </row>
    <row r="711" spans="2:18" x14ac:dyDescent="0.2">
      <c r="B711" s="646" t="s">
        <v>1135</v>
      </c>
      <c r="C711" s="647">
        <v>50000</v>
      </c>
      <c r="D711" s="538"/>
      <c r="E711" s="538"/>
      <c r="F711" s="538"/>
      <c r="G711" s="538"/>
      <c r="H711" s="538"/>
      <c r="I711" s="538"/>
      <c r="J711" s="538"/>
    </row>
    <row r="712" spans="2:18" ht="15" x14ac:dyDescent="0.2">
      <c r="B712" s="646" t="s">
        <v>1135</v>
      </c>
      <c r="C712" s="622">
        <v>600000</v>
      </c>
      <c r="D712" s="538"/>
      <c r="E712" s="538"/>
      <c r="F712" s="538"/>
      <c r="G712" s="538"/>
      <c r="H712" s="538"/>
      <c r="I712" s="538"/>
      <c r="J712" s="538"/>
    </row>
    <row r="713" spans="2:18" x14ac:dyDescent="0.2">
      <c r="D713" s="538"/>
      <c r="E713" s="538"/>
      <c r="F713" s="538"/>
      <c r="G713" s="538"/>
      <c r="H713" s="538"/>
      <c r="I713" s="538"/>
      <c r="J713" s="538"/>
    </row>
    <row r="714" spans="2:18" s="102" customFormat="1" ht="29.1" customHeight="1" x14ac:dyDescent="0.25">
      <c r="B714" s="653"/>
      <c r="C714" s="529"/>
      <c r="D714" s="529"/>
      <c r="E714" s="529"/>
      <c r="F714" s="529"/>
      <c r="G714" s="529"/>
      <c r="H714" s="529"/>
      <c r="I714" s="529"/>
      <c r="J714" s="529"/>
      <c r="K714" s="529"/>
      <c r="L714" s="529"/>
      <c r="M714" s="529"/>
      <c r="N714" s="529"/>
      <c r="O714" s="529"/>
      <c r="P714" s="529"/>
      <c r="Q714" s="529"/>
      <c r="R714" s="529"/>
    </row>
    <row r="715" spans="2:18" ht="15" x14ac:dyDescent="0.25">
      <c r="B715" s="687" t="s">
        <v>1145</v>
      </c>
      <c r="C715" s="25"/>
      <c r="D715" s="25"/>
      <c r="E715" s="25"/>
      <c r="F715" s="525"/>
      <c r="G715" s="25"/>
      <c r="H715" s="25"/>
      <c r="I715" s="688"/>
      <c r="J715" s="688"/>
      <c r="K715" s="25"/>
      <c r="L715" s="25"/>
      <c r="M715" s="25"/>
      <c r="N715" s="25"/>
      <c r="O715" s="25"/>
      <c r="P715" s="25"/>
      <c r="Q715" s="25"/>
      <c r="R715" s="25"/>
    </row>
    <row r="716" spans="2:18" x14ac:dyDescent="0.2">
      <c r="B716" s="548" t="s">
        <v>1004</v>
      </c>
      <c r="C716" s="50">
        <f>C673</f>
        <v>38004</v>
      </c>
      <c r="D716" s="25"/>
      <c r="E716" s="25"/>
      <c r="F716" s="525"/>
      <c r="G716" s="25"/>
      <c r="H716" s="25"/>
      <c r="I716" s="688"/>
      <c r="J716" s="688"/>
      <c r="K716" s="25"/>
      <c r="L716" s="25"/>
      <c r="M716" s="25"/>
      <c r="N716" s="25"/>
      <c r="O716" s="25"/>
      <c r="P716" s="25"/>
      <c r="Q716" s="25"/>
      <c r="R716" s="25"/>
    </row>
    <row r="717" spans="2:18" ht="30" x14ac:dyDescent="0.2">
      <c r="B717" s="549" t="s">
        <v>1005</v>
      </c>
      <c r="C717" s="601" t="s">
        <v>1006</v>
      </c>
      <c r="D717" s="601" t="s">
        <v>1007</v>
      </c>
      <c r="E717" s="601" t="s">
        <v>1096</v>
      </c>
      <c r="F717" s="601" t="s">
        <v>1097</v>
      </c>
      <c r="G717" s="601" t="s">
        <v>1098</v>
      </c>
      <c r="H717" s="601" t="s">
        <v>1011</v>
      </c>
      <c r="I717" s="688"/>
      <c r="J717" s="688"/>
      <c r="K717" s="25"/>
      <c r="L717" s="25"/>
      <c r="M717" s="25"/>
      <c r="N717" s="25"/>
      <c r="O717" s="25"/>
      <c r="P717" s="25"/>
      <c r="Q717" s="25"/>
      <c r="R717" s="25"/>
    </row>
    <row r="718" spans="2:18" x14ac:dyDescent="0.2">
      <c r="B718" s="551" t="s">
        <v>1012</v>
      </c>
      <c r="C718" s="552">
        <v>23563</v>
      </c>
      <c r="D718" s="553">
        <f>C716*C718</f>
        <v>895488252</v>
      </c>
      <c r="E718" s="554">
        <v>0.1</v>
      </c>
      <c r="F718" s="50">
        <f>D718*E718</f>
        <v>89548825.200000003</v>
      </c>
      <c r="G718" s="554">
        <v>0.1</v>
      </c>
      <c r="H718" s="620">
        <f>F718*G718</f>
        <v>8954882.5200000014</v>
      </c>
      <c r="I718" s="688"/>
      <c r="J718" s="688"/>
      <c r="K718" s="25"/>
      <c r="L718" s="25"/>
      <c r="M718" s="25"/>
      <c r="N718" s="25"/>
      <c r="O718" s="25"/>
      <c r="P718" s="25"/>
      <c r="Q718" s="25"/>
      <c r="R718" s="25"/>
    </row>
    <row r="719" spans="2:18" x14ac:dyDescent="0.2">
      <c r="B719" s="556" t="s">
        <v>1013</v>
      </c>
      <c r="C719" s="552">
        <v>204995</v>
      </c>
      <c r="D719" s="553">
        <f>C716*C719</f>
        <v>7790629980</v>
      </c>
      <c r="E719" s="554">
        <v>0.05</v>
      </c>
      <c r="F719" s="50">
        <f>D719*E719</f>
        <v>389531499</v>
      </c>
      <c r="G719" s="554"/>
      <c r="H719" s="557">
        <f>F719*G719</f>
        <v>0</v>
      </c>
      <c r="I719" s="688"/>
      <c r="J719" s="688"/>
      <c r="K719" s="25"/>
      <c r="L719" s="25"/>
      <c r="M719" s="25"/>
      <c r="N719" s="25"/>
      <c r="O719" s="25"/>
      <c r="P719" s="25"/>
      <c r="Q719" s="25"/>
      <c r="R719" s="25"/>
    </row>
    <row r="720" spans="2:18" x14ac:dyDescent="0.2">
      <c r="B720" s="551" t="s">
        <v>1014</v>
      </c>
      <c r="C720" s="552">
        <v>1736565</v>
      </c>
      <c r="D720" s="553">
        <f>C716*C720</f>
        <v>65996416260</v>
      </c>
      <c r="E720" s="554"/>
      <c r="F720" s="50">
        <f>D720*E720</f>
        <v>0</v>
      </c>
      <c r="G720" s="554"/>
      <c r="H720" s="557">
        <f>F720*G720</f>
        <v>0</v>
      </c>
      <c r="I720" s="688"/>
      <c r="J720" s="688"/>
      <c r="K720" s="25"/>
      <c r="L720" s="25"/>
      <c r="M720" s="25"/>
      <c r="N720" s="25"/>
      <c r="O720" s="25"/>
      <c r="P720" s="25"/>
      <c r="Q720" s="25"/>
      <c r="R720" s="25"/>
    </row>
    <row r="721" spans="2:18" x14ac:dyDescent="0.2">
      <c r="B721" s="551"/>
      <c r="C721" s="558"/>
      <c r="D721" s="559"/>
      <c r="E721" s="560"/>
      <c r="F721" s="525"/>
      <c r="G721" s="560"/>
      <c r="H721" s="561"/>
      <c r="I721" s="688"/>
      <c r="J721" s="688"/>
      <c r="K721" s="25"/>
      <c r="L721" s="25"/>
      <c r="M721" s="25"/>
      <c r="N721" s="25"/>
      <c r="O721" s="25"/>
      <c r="P721" s="25"/>
      <c r="Q721" s="25"/>
      <c r="R721" s="25"/>
    </row>
    <row r="722" spans="2:18" ht="15" x14ac:dyDescent="0.25">
      <c r="B722" s="466" t="s">
        <v>1136</v>
      </c>
      <c r="C722" s="466" t="s">
        <v>838</v>
      </c>
    </row>
    <row r="723" spans="2:18" x14ac:dyDescent="0.2">
      <c r="B723" s="478" t="s">
        <v>1137</v>
      </c>
      <c r="C723" s="478">
        <f>100000+ (10000*20)</f>
        <v>300000</v>
      </c>
      <c r="D723" s="52"/>
    </row>
    <row r="724" spans="2:18" x14ac:dyDescent="0.2">
      <c r="B724" s="478" t="s">
        <v>1138</v>
      </c>
      <c r="C724" s="478">
        <f>500000</f>
        <v>500000</v>
      </c>
      <c r="D724" s="52"/>
    </row>
    <row r="725" spans="2:18" x14ac:dyDescent="0.2">
      <c r="B725" s="103" t="s">
        <v>840</v>
      </c>
      <c r="C725" s="53">
        <f>150000*5</f>
        <v>750000</v>
      </c>
    </row>
    <row r="726" spans="2:18" x14ac:dyDescent="0.2">
      <c r="B726" s="103" t="s">
        <v>841</v>
      </c>
      <c r="C726" s="53">
        <f>30000*2</f>
        <v>60000</v>
      </c>
    </row>
    <row r="727" spans="2:18" ht="15" x14ac:dyDescent="0.25">
      <c r="B727" s="466" t="s">
        <v>32</v>
      </c>
      <c r="C727" s="480">
        <f>SUM(C723:C726)</f>
        <v>1610000</v>
      </c>
      <c r="D727" s="115"/>
    </row>
    <row r="728" spans="2:18" ht="15" x14ac:dyDescent="0.25">
      <c r="B728" s="648">
        <v>0.3</v>
      </c>
      <c r="C728" s="480">
        <f>C727*B728</f>
        <v>483000</v>
      </c>
      <c r="D728" s="115"/>
    </row>
    <row r="729" spans="2:18" x14ac:dyDescent="0.2">
      <c r="B729" s="115"/>
      <c r="C729" s="115"/>
      <c r="D729" s="115"/>
    </row>
    <row r="731" spans="2:18" ht="15" x14ac:dyDescent="0.2">
      <c r="B731" s="654" t="s">
        <v>1146</v>
      </c>
      <c r="C731" s="654" t="s">
        <v>1147</v>
      </c>
      <c r="D731" s="103"/>
    </row>
    <row r="732" spans="2:18" x14ac:dyDescent="0.2">
      <c r="B732" s="53">
        <v>20000000</v>
      </c>
      <c r="C732" s="103">
        <v>3</v>
      </c>
      <c r="D732" s="512">
        <f>B732*C732</f>
        <v>60000000</v>
      </c>
    </row>
    <row r="733" spans="2:18" ht="15" x14ac:dyDescent="0.2">
      <c r="B733" s="103" t="s">
        <v>1148</v>
      </c>
      <c r="D733" s="621">
        <f>D732*5%</f>
        <v>3000000</v>
      </c>
    </row>
    <row r="734" spans="2:18" x14ac:dyDescent="0.2">
      <c r="B734" s="101" t="s">
        <v>1149</v>
      </c>
    </row>
  </sheetData>
  <sheetProtection algorithmName="SHA-512" hashValue="X0cIpDFRbwE3gcRsMFwCDG5mxLYnjTQAk8y/QWIavxZRbnGPXcKh7p/6TITqCjf41QNRY1UR90vtGk/m5QAw7A==" saltValue="ATNjzP8UJjaE3nBlNJrAIA==" spinCount="100000" sheet="1" objects="1" scenarios="1"/>
  <mergeCells count="25">
    <mergeCell ref="B475:D475"/>
    <mergeCell ref="B368:C368"/>
    <mergeCell ref="B380:C380"/>
    <mergeCell ref="B395:C395"/>
    <mergeCell ref="B398:C398"/>
    <mergeCell ref="B404:C404"/>
    <mergeCell ref="B410:C410"/>
    <mergeCell ref="B342:C342"/>
    <mergeCell ref="B109:C109"/>
    <mergeCell ref="B124:C124"/>
    <mergeCell ref="B134:C134"/>
    <mergeCell ref="D179:D181"/>
    <mergeCell ref="D182:D184"/>
    <mergeCell ref="D185:D186"/>
    <mergeCell ref="D187:D188"/>
    <mergeCell ref="B266:C266"/>
    <mergeCell ref="B298:D298"/>
    <mergeCell ref="B327:C327"/>
    <mergeCell ref="B337:C337"/>
    <mergeCell ref="B108:C108"/>
    <mergeCell ref="B1:J1"/>
    <mergeCell ref="B6:E6"/>
    <mergeCell ref="B69:D69"/>
    <mergeCell ref="C71:C81"/>
    <mergeCell ref="B95:C95"/>
  </mergeCells>
  <hyperlinks>
    <hyperlink ref="B33"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zoomScale="70" zoomScaleNormal="70" workbookViewId="0">
      <selection activeCell="A2" sqref="A2:W2"/>
    </sheetView>
  </sheetViews>
  <sheetFormatPr baseColWidth="10" defaultColWidth="10.85546875" defaultRowHeight="14.25" x14ac:dyDescent="0.2"/>
  <cols>
    <col min="1" max="1" width="100.42578125" style="52" customWidth="1"/>
    <col min="2" max="2" width="20.42578125" style="52" customWidth="1"/>
    <col min="3" max="5" width="21.5703125" style="52" customWidth="1"/>
    <col min="6" max="6" width="22.42578125" style="52" bestFit="1" customWidth="1"/>
    <col min="7" max="9" width="22" style="52" bestFit="1" customWidth="1"/>
    <col min="10" max="10" width="22.42578125" style="52" bestFit="1" customWidth="1"/>
    <col min="11" max="11" width="22.85546875" style="52" bestFit="1" customWidth="1"/>
    <col min="12" max="12" width="21.5703125" style="52" bestFit="1" customWidth="1"/>
    <col min="13" max="13" width="22" style="52" bestFit="1" customWidth="1"/>
    <col min="14" max="14" width="21.5703125" style="52" customWidth="1"/>
    <col min="15" max="15" width="22.42578125" style="52" bestFit="1" customWidth="1"/>
    <col min="16" max="16" width="21.42578125" style="52" bestFit="1" customWidth="1"/>
    <col min="17" max="17" width="21.5703125" style="52" customWidth="1"/>
    <col min="18" max="18" width="21.42578125" style="52" bestFit="1" customWidth="1"/>
    <col min="19" max="19" width="21" style="52" bestFit="1" customWidth="1"/>
    <col min="20" max="21" width="21.42578125" style="52" bestFit="1" customWidth="1"/>
    <col min="22" max="22" width="24.28515625" style="52" bestFit="1" customWidth="1"/>
    <col min="23" max="23" width="23.42578125" style="301" bestFit="1" customWidth="1"/>
    <col min="24" max="16384" width="10.85546875" style="52"/>
  </cols>
  <sheetData>
    <row r="1" spans="1:23" ht="18.600000000000001" customHeight="1" x14ac:dyDescent="0.25">
      <c r="A1" s="847" t="s">
        <v>264</v>
      </c>
      <c r="B1" s="848"/>
      <c r="C1" s="848"/>
      <c r="D1" s="848"/>
      <c r="E1" s="848"/>
      <c r="F1" s="848"/>
      <c r="G1" s="848"/>
      <c r="H1" s="848"/>
      <c r="I1" s="848"/>
      <c r="J1" s="848"/>
      <c r="K1" s="848"/>
      <c r="L1" s="848"/>
      <c r="M1" s="848"/>
      <c r="N1" s="848"/>
      <c r="O1" s="848"/>
      <c r="P1" s="848"/>
      <c r="Q1" s="848"/>
      <c r="R1" s="848"/>
      <c r="S1" s="848"/>
      <c r="T1" s="848"/>
      <c r="U1" s="848"/>
      <c r="V1" s="848"/>
      <c r="W1" s="848"/>
    </row>
    <row r="2" spans="1:23" ht="15" x14ac:dyDescent="0.25">
      <c r="A2" s="847" t="s">
        <v>303</v>
      </c>
      <c r="B2" s="848"/>
      <c r="C2" s="848"/>
      <c r="D2" s="848"/>
      <c r="E2" s="848"/>
      <c r="F2" s="848"/>
      <c r="G2" s="848"/>
      <c r="H2" s="848"/>
      <c r="I2" s="848"/>
      <c r="J2" s="848"/>
      <c r="K2" s="848"/>
      <c r="L2" s="848"/>
      <c r="M2" s="848"/>
      <c r="N2" s="848"/>
      <c r="O2" s="848"/>
      <c r="P2" s="848"/>
      <c r="Q2" s="848"/>
      <c r="R2" s="848"/>
      <c r="S2" s="848"/>
      <c r="T2" s="848"/>
      <c r="U2" s="848"/>
      <c r="V2" s="848"/>
      <c r="W2" s="848"/>
    </row>
    <row r="3" spans="1:23" ht="18.75" x14ac:dyDescent="0.3">
      <c r="A3" s="209"/>
      <c r="B3" s="210"/>
      <c r="C3" s="210"/>
      <c r="D3" s="210"/>
      <c r="E3" s="210"/>
      <c r="F3" s="210"/>
      <c r="G3" s="210"/>
      <c r="H3" s="210"/>
      <c r="I3" s="210"/>
      <c r="J3" s="210"/>
      <c r="K3" s="210"/>
      <c r="L3" s="210"/>
      <c r="M3" s="210"/>
      <c r="N3" s="210"/>
      <c r="O3" s="210"/>
      <c r="P3" s="210"/>
      <c r="Q3" s="210"/>
      <c r="R3" s="210"/>
      <c r="S3" s="210"/>
      <c r="T3" s="210"/>
      <c r="U3" s="210"/>
      <c r="V3" s="210"/>
      <c r="W3" s="296"/>
    </row>
    <row r="5" spans="1:23" ht="15" x14ac:dyDescent="0.2">
      <c r="A5" s="158" t="s">
        <v>262</v>
      </c>
      <c r="B5" s="158">
        <v>1</v>
      </c>
      <c r="C5" s="158">
        <v>2</v>
      </c>
      <c r="D5" s="158">
        <v>3</v>
      </c>
      <c r="E5" s="158">
        <v>4</v>
      </c>
      <c r="F5" s="158">
        <v>5</v>
      </c>
      <c r="G5" s="158">
        <v>6</v>
      </c>
      <c r="H5" s="158">
        <v>7</v>
      </c>
      <c r="I5" s="158">
        <v>8</v>
      </c>
      <c r="J5" s="158">
        <v>9</v>
      </c>
      <c r="K5" s="158">
        <v>10</v>
      </c>
      <c r="L5" s="158">
        <v>11</v>
      </c>
      <c r="M5" s="158">
        <v>12</v>
      </c>
      <c r="N5" s="158">
        <v>13</v>
      </c>
      <c r="O5" s="158">
        <v>14</v>
      </c>
      <c r="P5" s="158">
        <v>15</v>
      </c>
      <c r="Q5" s="158">
        <v>16</v>
      </c>
      <c r="R5" s="158">
        <v>17</v>
      </c>
      <c r="S5" s="158">
        <v>18</v>
      </c>
      <c r="T5" s="158">
        <v>19</v>
      </c>
      <c r="U5" s="158">
        <v>20</v>
      </c>
      <c r="V5" s="690" t="s">
        <v>263</v>
      </c>
      <c r="W5" s="297" t="s">
        <v>25</v>
      </c>
    </row>
    <row r="6" spans="1:23" s="194" customFormat="1" ht="15" x14ac:dyDescent="0.2">
      <c r="A6" s="193" t="str">
        <f>Portafolio_Cadena_Maíz!C2</f>
        <v>1. Incremento del consumo de maíz nacional.</v>
      </c>
      <c r="B6" s="159">
        <f>'P1'!E7</f>
        <v>1180628211.9875</v>
      </c>
      <c r="C6" s="159">
        <f>'P1'!F7</f>
        <v>4722512847.9499998</v>
      </c>
      <c r="D6" s="159">
        <f>'P1'!G7</f>
        <v>9398987708.1499977</v>
      </c>
      <c r="E6" s="159">
        <f>'P1'!H7</f>
        <v>10079202233.27</v>
      </c>
      <c r="F6" s="159">
        <f>'P1'!I7</f>
        <v>10815747023.751499</v>
      </c>
      <c r="G6" s="159">
        <f>'P1'!J7</f>
        <v>11612554569.817848</v>
      </c>
      <c r="H6" s="159">
        <f>'P1'!K7</f>
        <v>12680511036.707367</v>
      </c>
      <c r="I6" s="159">
        <f>'P1'!L7</f>
        <v>4722512847.9499998</v>
      </c>
      <c r="J6" s="159">
        <f>'P1'!M7</f>
        <v>4722512847.9499998</v>
      </c>
      <c r="K6" s="159">
        <f>'P1'!N7</f>
        <v>4722512847.9499998</v>
      </c>
      <c r="L6" s="159">
        <f>'P1'!O7</f>
        <v>4722512847.9499998</v>
      </c>
      <c r="M6" s="159">
        <f>'P1'!P7</f>
        <v>4722512847.9499998</v>
      </c>
      <c r="N6" s="159">
        <f>'P1'!Q7</f>
        <v>4722512847.9499998</v>
      </c>
      <c r="O6" s="159">
        <f>'P1'!R7</f>
        <v>4722512847.9499998</v>
      </c>
      <c r="P6" s="159">
        <f>'P1'!S7</f>
        <v>4722512847.9499998</v>
      </c>
      <c r="Q6" s="159">
        <f>'P1'!T7</f>
        <v>4722512847.9499998</v>
      </c>
      <c r="R6" s="159">
        <f>'P1'!U7</f>
        <v>4722512847.9499998</v>
      </c>
      <c r="S6" s="159">
        <f>'P1'!V7</f>
        <v>4722512847.9499998</v>
      </c>
      <c r="T6" s="159">
        <f>'P1'!W7</f>
        <v>4722512847.9499998</v>
      </c>
      <c r="U6" s="159">
        <f>'P1'!X7</f>
        <v>4722512847.9499998</v>
      </c>
      <c r="V6" s="159">
        <f>'P1'!Y7</f>
        <v>121882810654.98418</v>
      </c>
      <c r="W6" s="298">
        <f t="shared" ref="W6:W28" si="0">V6/V$42</f>
        <v>3.0265242142479293E-2</v>
      </c>
    </row>
    <row r="7" spans="1:23" s="194" customFormat="1" x14ac:dyDescent="0.2">
      <c r="A7" s="195" t="str">
        <f>Portafolio_Cadena_Maíz!D2</f>
        <v>1.1. Aumento de la participación del maíz nacional en el mercado de consumo animal.</v>
      </c>
      <c r="B7" s="53">
        <f>'P1'!E8</f>
        <v>516491238.75</v>
      </c>
      <c r="C7" s="53">
        <f>'P1'!F8</f>
        <v>2065964955</v>
      </c>
      <c r="D7" s="53">
        <f>'P1'!G8</f>
        <v>6742439815.1999989</v>
      </c>
      <c r="E7" s="53">
        <f>'P1'!H8</f>
        <v>7422654340.3199997</v>
      </c>
      <c r="F7" s="53">
        <f>'P1'!I8</f>
        <v>8159199130.8014994</v>
      </c>
      <c r="G7" s="53">
        <f>'P1'!J8</f>
        <v>8956006676.8678493</v>
      </c>
      <c r="H7" s="53">
        <f>'P1'!K8</f>
        <v>10023963143.757366</v>
      </c>
      <c r="I7" s="53">
        <f>'P1'!L8</f>
        <v>2065964955</v>
      </c>
      <c r="J7" s="53">
        <f>'P1'!M8</f>
        <v>2065964955</v>
      </c>
      <c r="K7" s="53">
        <f>'P1'!N8</f>
        <v>2065964955</v>
      </c>
      <c r="L7" s="53">
        <f>'P1'!O8</f>
        <v>2065964955</v>
      </c>
      <c r="M7" s="53">
        <f>'P1'!P8</f>
        <v>2065964955</v>
      </c>
      <c r="N7" s="53">
        <f>'P1'!Q8</f>
        <v>2065964955</v>
      </c>
      <c r="O7" s="53">
        <f>'P1'!R8</f>
        <v>2065964955</v>
      </c>
      <c r="P7" s="53">
        <f>'P1'!S8</f>
        <v>2065964955</v>
      </c>
      <c r="Q7" s="53">
        <f>'P1'!T8</f>
        <v>2065964955</v>
      </c>
      <c r="R7" s="53">
        <f>'P1'!U8</f>
        <v>2065964955</v>
      </c>
      <c r="S7" s="53">
        <f>'P1'!V8</f>
        <v>2065964955</v>
      </c>
      <c r="T7" s="53">
        <f>'P1'!W8</f>
        <v>2065964955</v>
      </c>
      <c r="U7" s="53">
        <f>'P1'!X8</f>
        <v>2065964955</v>
      </c>
      <c r="V7" s="53">
        <f>'P1'!Y8</f>
        <v>70744263715.696716</v>
      </c>
      <c r="W7" s="205">
        <f t="shared" si="0"/>
        <v>1.7566810775375051E-2</v>
      </c>
    </row>
    <row r="8" spans="1:23" s="194" customFormat="1" ht="28.5" x14ac:dyDescent="0.2">
      <c r="A8" s="195" t="str">
        <f>Portafolio_Cadena_Maíz!D8</f>
        <v>1.2. Posicionamiento de la oferta del maíz nacional y sus derivados, para alimentación humana y otros usos.</v>
      </c>
      <c r="B8" s="53">
        <f>'P1'!E9</f>
        <v>664136973.23749995</v>
      </c>
      <c r="C8" s="53">
        <f>'P1'!F9</f>
        <v>2656547892.9499998</v>
      </c>
      <c r="D8" s="53">
        <f>'P1'!G9</f>
        <v>2656547892.9499998</v>
      </c>
      <c r="E8" s="53">
        <f>'P1'!H9</f>
        <v>2656547892.9499998</v>
      </c>
      <c r="F8" s="53">
        <f>'P1'!I9</f>
        <v>2656547892.9499998</v>
      </c>
      <c r="G8" s="53">
        <f>'P1'!J9</f>
        <v>2656547892.9499998</v>
      </c>
      <c r="H8" s="53">
        <f>'P1'!K9</f>
        <v>2656547892.9499998</v>
      </c>
      <c r="I8" s="53">
        <f>'P1'!L9</f>
        <v>2656547892.9499998</v>
      </c>
      <c r="J8" s="53">
        <f>'P1'!M9</f>
        <v>2656547892.9499998</v>
      </c>
      <c r="K8" s="53">
        <f>'P1'!N9</f>
        <v>2656547892.9499998</v>
      </c>
      <c r="L8" s="53">
        <f>'P1'!O9</f>
        <v>2656547892.9499998</v>
      </c>
      <c r="M8" s="53">
        <f>'P1'!P9</f>
        <v>2656547892.9499998</v>
      </c>
      <c r="N8" s="53">
        <f>'P1'!Q9</f>
        <v>2656547892.9499998</v>
      </c>
      <c r="O8" s="53">
        <f>'P1'!R9</f>
        <v>2656547892.9499998</v>
      </c>
      <c r="P8" s="53">
        <f>'P1'!S9</f>
        <v>2656547892.9499998</v>
      </c>
      <c r="Q8" s="53">
        <f>'P1'!T9</f>
        <v>2656547892.9499998</v>
      </c>
      <c r="R8" s="53">
        <f>'P1'!U9</f>
        <v>2656547892.9499998</v>
      </c>
      <c r="S8" s="53">
        <f>'P1'!V9</f>
        <v>2656547892.9499998</v>
      </c>
      <c r="T8" s="53">
        <f>'P1'!W9</f>
        <v>2656547892.9499998</v>
      </c>
      <c r="U8" s="53">
        <f>'P1'!X9</f>
        <v>2656547892.9499998</v>
      </c>
      <c r="V8" s="53">
        <f>'P1'!Y9</f>
        <v>51138546939.287483</v>
      </c>
      <c r="W8" s="205">
        <f t="shared" si="0"/>
        <v>1.2698431367104249E-2</v>
      </c>
    </row>
    <row r="9" spans="1:23" s="194" customFormat="1" ht="15" x14ac:dyDescent="0.2">
      <c r="A9" s="193" t="str">
        <f>Portafolio_Cadena_Maíz!C14</f>
        <v>2. Mejoramiento productivo del cultivo de maíz.</v>
      </c>
      <c r="B9" s="159">
        <f>'P2'!E7</f>
        <v>1802829810.5</v>
      </c>
      <c r="C9" s="159">
        <f>'P2'!F7</f>
        <v>54700812917.111115</v>
      </c>
      <c r="D9" s="159">
        <f>'P2'!G7</f>
        <v>61253533717.444443</v>
      </c>
      <c r="E9" s="159">
        <f>'P2'!H7</f>
        <v>69317638832.257782</v>
      </c>
      <c r="F9" s="159">
        <f>'P2'!I7</f>
        <v>81098964452.682312</v>
      </c>
      <c r="G9" s="159">
        <f>'P2'!J7</f>
        <v>91883826535.881378</v>
      </c>
      <c r="H9" s="159">
        <f>'P2'!K7</f>
        <v>111419108894.08849</v>
      </c>
      <c r="I9" s="159">
        <f>'P2'!L7</f>
        <v>132441857685.80318</v>
      </c>
      <c r="J9" s="159">
        <f>'P2'!M7</f>
        <v>156729585425.01498</v>
      </c>
      <c r="K9" s="159">
        <f>'P2'!N7</f>
        <v>185909956374.87408</v>
      </c>
      <c r="L9" s="159">
        <f>'P2'!O7</f>
        <v>156483415817.74164</v>
      </c>
      <c r="M9" s="159">
        <f>'P2'!P7</f>
        <v>47500191319.037148</v>
      </c>
      <c r="N9" s="159">
        <f>'P2'!Q7</f>
        <v>41686713634.004921</v>
      </c>
      <c r="O9" s="159">
        <f>'P2'!R7</f>
        <v>37060542406.949623</v>
      </c>
      <c r="P9" s="159">
        <f>'P2'!S7</f>
        <v>33227637281.642647</v>
      </c>
      <c r="Q9" s="159">
        <f>'P2'!T7</f>
        <v>29793980666.979088</v>
      </c>
      <c r="R9" s="159">
        <f>'P2'!U7</f>
        <v>26586552152.320343</v>
      </c>
      <c r="S9" s="159">
        <f>'P2'!V7</f>
        <v>24954635817.291122</v>
      </c>
      <c r="T9" s="159">
        <f>'P2'!W7</f>
        <v>23500090118.613655</v>
      </c>
      <c r="U9" s="159">
        <f>'P2'!X7</f>
        <v>22395366286.856834</v>
      </c>
      <c r="V9" s="159">
        <f>'P2'!Y7</f>
        <v>1389747240147.0947</v>
      </c>
      <c r="W9" s="298">
        <f t="shared" si="0"/>
        <v>0.34509408270011976</v>
      </c>
    </row>
    <row r="10" spans="1:23" s="194" customFormat="1" ht="28.5" x14ac:dyDescent="0.2">
      <c r="A10" s="195" t="str">
        <f>Portafolio_Cadena_Maíz!D14</f>
        <v>2.1. Fortalecimiento de la extensión agrícola y asistencia técnica a los productores del sistema tradicional.</v>
      </c>
      <c r="B10" s="53">
        <f>'P2'!E8</f>
        <v>579822116.5</v>
      </c>
      <c r="C10" s="53">
        <f>'P2'!F8</f>
        <v>5580556377.1111107</v>
      </c>
      <c r="D10" s="53">
        <f>'P2'!G8</f>
        <v>5384880302.4444447</v>
      </c>
      <c r="E10" s="53">
        <f>'P2'!H8</f>
        <v>5200944792.2577782</v>
      </c>
      <c r="F10" s="53">
        <f>'P2'!I8</f>
        <v>5028045412.6823111</v>
      </c>
      <c r="G10" s="53">
        <f>'P2'!J8</f>
        <v>4865519995.8813725</v>
      </c>
      <c r="H10" s="53">
        <f>'P2'!K8</f>
        <v>4712746104.0884895</v>
      </c>
      <c r="I10" s="53">
        <f>'P2'!L8</f>
        <v>4569138645.8031807</v>
      </c>
      <c r="J10" s="53">
        <f>'P2'!M8</f>
        <v>4434147635.0149899</v>
      </c>
      <c r="K10" s="53">
        <f>'P2'!N8</f>
        <v>4307256084.8740902</v>
      </c>
      <c r="L10" s="53">
        <f>'P2'!O8</f>
        <v>4187978027.7416449</v>
      </c>
      <c r="M10" s="53">
        <f>'P2'!P8</f>
        <v>4075856654.0371466</v>
      </c>
      <c r="N10" s="53">
        <f>'P2'!Q8</f>
        <v>3970462562.7549176</v>
      </c>
      <c r="O10" s="53">
        <f>'P2'!R8</f>
        <v>3871392116.9496226</v>
      </c>
      <c r="P10" s="53">
        <f>'P2'!S8</f>
        <v>3778265897.8926454</v>
      </c>
      <c r="Q10" s="53">
        <f>'P2'!T8</f>
        <v>3690727251.9790864</v>
      </c>
      <c r="R10" s="53">
        <f>'P2'!U8</f>
        <v>3608440924.8203416</v>
      </c>
      <c r="S10" s="53">
        <f>'P2'!V8</f>
        <v>3531091777.291121</v>
      </c>
      <c r="T10" s="53">
        <f>'P2'!W8</f>
        <v>3458383578.6136537</v>
      </c>
      <c r="U10" s="53">
        <f>'P2'!X8</f>
        <v>3390037871.8568344</v>
      </c>
      <c r="V10" s="53">
        <f>'P2'!Y8</f>
        <v>82225694130.594788</v>
      </c>
      <c r="W10" s="205">
        <f t="shared" si="0"/>
        <v>2.0417813880583693E-2</v>
      </c>
    </row>
    <row r="11" spans="1:23" s="194" customFormat="1" x14ac:dyDescent="0.2">
      <c r="A11" s="195" t="str">
        <f>Portafolio_Cadena_Maíz!D21</f>
        <v>2.2. Implementación efectiva de asistencia técnica profesional, en sistemas tecnificados de maíz.</v>
      </c>
      <c r="B11" s="53">
        <f>'P2'!E9</f>
        <v>937600168</v>
      </c>
      <c r="C11" s="53">
        <f>'P2'!F9</f>
        <v>48739713172</v>
      </c>
      <c r="D11" s="53">
        <f>'P2'!G9</f>
        <v>55488110047</v>
      </c>
      <c r="E11" s="53">
        <f>'P2'!H9</f>
        <v>63736150672</v>
      </c>
      <c r="F11" s="53">
        <f>'P2'!I9</f>
        <v>75690375672</v>
      </c>
      <c r="G11" s="53">
        <f>'P2'!J9</f>
        <v>86637763172</v>
      </c>
      <c r="H11" s="53">
        <f>'P2'!K9</f>
        <v>106325819422</v>
      </c>
      <c r="I11" s="53">
        <f>'P2'!L9</f>
        <v>127492175672</v>
      </c>
      <c r="J11" s="53">
        <f>'P2'!M9</f>
        <v>151914894422</v>
      </c>
      <c r="K11" s="53">
        <f>'P2'!N9</f>
        <v>181222156922</v>
      </c>
      <c r="L11" s="53">
        <f>'P2'!O9</f>
        <v>151914894422</v>
      </c>
      <c r="M11" s="53">
        <f>'P2'!P9</f>
        <v>43043791297</v>
      </c>
      <c r="N11" s="53">
        <f>'P2'!Q9</f>
        <v>37335707703.25</v>
      </c>
      <c r="O11" s="53">
        <f>'P2'!R9</f>
        <v>32808606922</v>
      </c>
      <c r="P11" s="53">
        <f>'P2'!S9</f>
        <v>29068828015.75</v>
      </c>
      <c r="Q11" s="53">
        <f>'P2'!T9</f>
        <v>25722710047</v>
      </c>
      <c r="R11" s="53">
        <f>'P2'!U9</f>
        <v>22597567859.5</v>
      </c>
      <c r="S11" s="53">
        <f>'P2'!V9</f>
        <v>21043000672</v>
      </c>
      <c r="T11" s="53">
        <f>'P2'!W9</f>
        <v>19661163172</v>
      </c>
      <c r="U11" s="53">
        <f>'P2'!X9</f>
        <v>18624785047</v>
      </c>
      <c r="V11" s="53">
        <f>'P2'!Y9</f>
        <v>1300005814498.5</v>
      </c>
      <c r="W11" s="205">
        <f t="shared" si="0"/>
        <v>0.32281000537313403</v>
      </c>
    </row>
    <row r="12" spans="1:23" s="194" customFormat="1" x14ac:dyDescent="0.2">
      <c r="A12" s="195" t="str">
        <f>Portafolio_Cadena_Maíz!D28</f>
        <v xml:space="preserve">2.3. Impulso a la producción de maíz a mediana y gran escala.  </v>
      </c>
      <c r="B12" s="53">
        <f>'P2'!E10</f>
        <v>285407526</v>
      </c>
      <c r="C12" s="53">
        <f>'P2'!F10</f>
        <v>380543368</v>
      </c>
      <c r="D12" s="53">
        <f>'P2'!G10</f>
        <v>380543368</v>
      </c>
      <c r="E12" s="53">
        <f>'P2'!H10</f>
        <v>380543368</v>
      </c>
      <c r="F12" s="53">
        <f>'P2'!I10</f>
        <v>380543368</v>
      </c>
      <c r="G12" s="53">
        <f>'P2'!J10</f>
        <v>380543368</v>
      </c>
      <c r="H12" s="53">
        <f>'P2'!K10</f>
        <v>380543368</v>
      </c>
      <c r="I12" s="53">
        <f>'P2'!L10</f>
        <v>380543368</v>
      </c>
      <c r="J12" s="53">
        <f>'P2'!M10</f>
        <v>380543368</v>
      </c>
      <c r="K12" s="53">
        <f>'P2'!N10</f>
        <v>380543368</v>
      </c>
      <c r="L12" s="53">
        <f>'P2'!O10</f>
        <v>380543368</v>
      </c>
      <c r="M12" s="53">
        <f>'P2'!P10</f>
        <v>380543368</v>
      </c>
      <c r="N12" s="53">
        <f>'P2'!Q10</f>
        <v>380543368</v>
      </c>
      <c r="O12" s="53">
        <f>'P2'!R10</f>
        <v>380543368</v>
      </c>
      <c r="P12" s="53">
        <f>'P2'!S10</f>
        <v>380543368</v>
      </c>
      <c r="Q12" s="53">
        <f>'P2'!T10</f>
        <v>380543368</v>
      </c>
      <c r="R12" s="53">
        <f>'P2'!U10</f>
        <v>380543368</v>
      </c>
      <c r="S12" s="53">
        <f>'P2'!V10</f>
        <v>380543368</v>
      </c>
      <c r="T12" s="53">
        <f>'P2'!W10</f>
        <v>380543368</v>
      </c>
      <c r="U12" s="53">
        <f>'P2'!X10</f>
        <v>380543368</v>
      </c>
      <c r="V12" s="53">
        <f>'P2'!Y10</f>
        <v>7515731518</v>
      </c>
      <c r="W12" s="205">
        <f t="shared" si="0"/>
        <v>1.8662634464020026E-3</v>
      </c>
    </row>
    <row r="13" spans="1:23" s="194" customFormat="1" ht="15" x14ac:dyDescent="0.2">
      <c r="A13" s="193" t="str">
        <f>Portafolio_Cadena_Maíz!C35</f>
        <v xml:space="preserve">3. Generación y consolidación de encadenamientos regionales para la cadena de maíz. </v>
      </c>
      <c r="B13" s="159">
        <f>'P3'!E6</f>
        <v>2192898774.0434999</v>
      </c>
      <c r="C13" s="159">
        <f>'P3'!F6</f>
        <v>72759131329.773895</v>
      </c>
      <c r="D13" s="159">
        <f>'P3'!G6</f>
        <v>81284033359.461975</v>
      </c>
      <c r="E13" s="159">
        <f>'P3'!H6</f>
        <v>92414941744.849091</v>
      </c>
      <c r="F13" s="159">
        <f>'P3'!I6</f>
        <v>105346504560.48488</v>
      </c>
      <c r="G13" s="159">
        <f>'P3'!J6</f>
        <v>120017945562.466</v>
      </c>
      <c r="H13" s="159">
        <f>'P3'!K6</f>
        <v>142741405627.8584</v>
      </c>
      <c r="I13" s="159">
        <f>'P3'!L6</f>
        <v>170104592545.74368</v>
      </c>
      <c r="J13" s="159">
        <f>'P3'!M6</f>
        <v>202940416847.20602</v>
      </c>
      <c r="K13" s="159">
        <f>'P3'!N6</f>
        <v>242343406008.96088</v>
      </c>
      <c r="L13" s="159">
        <f>'P3'!O6</f>
        <v>201691152161.89401</v>
      </c>
      <c r="M13" s="159">
        <f>'P3'!P6</f>
        <v>162288163000.13922</v>
      </c>
      <c r="N13" s="159">
        <f>'P3'!Q6</f>
        <v>130765771670.73537</v>
      </c>
      <c r="O13" s="159">
        <f>'P3'!R6</f>
        <v>105547858607.21228</v>
      </c>
      <c r="P13" s="159">
        <f>'P3'!S6</f>
        <v>85373528156.39386</v>
      </c>
      <c r="Q13" s="159">
        <f>'P3'!T6</f>
        <v>69234063795.739075</v>
      </c>
      <c r="R13" s="159">
        <f>'P3'!U6</f>
        <v>56322492307.215271</v>
      </c>
      <c r="S13" s="159">
        <f>'P3'!V6</f>
        <v>45993235116.396217</v>
      </c>
      <c r="T13" s="159">
        <f>'P3'!W6</f>
        <v>37729829363.740974</v>
      </c>
      <c r="U13" s="159">
        <f>'P3'!X6</f>
        <v>31119104761.616779</v>
      </c>
      <c r="V13" s="159">
        <f>'P3'!Y6</f>
        <v>2158210475301.9316</v>
      </c>
      <c r="W13" s="298">
        <f t="shared" si="0"/>
        <v>0.53591447619588672</v>
      </c>
    </row>
    <row r="14" spans="1:23" s="194" customFormat="1" x14ac:dyDescent="0.2">
      <c r="A14" s="195" t="str">
        <f>Portafolio_Cadena_Maíz!D35</f>
        <v>3.1. Promoción y fortalecimiento de organizaciones de economía solidaria en la cadena de maíz.</v>
      </c>
      <c r="B14" s="53">
        <f>'P3'!E7</f>
        <v>239430830</v>
      </c>
      <c r="C14" s="53">
        <f>'P3'!F7</f>
        <v>957723320</v>
      </c>
      <c r="D14" s="53">
        <f>'P3'!G7</f>
        <v>957723320</v>
      </c>
      <c r="E14" s="53">
        <f>'P3'!H7</f>
        <v>957723320</v>
      </c>
      <c r="F14" s="53">
        <f>'P3'!I7</f>
        <v>957723320</v>
      </c>
      <c r="G14" s="53">
        <f>'P3'!J7</f>
        <v>1332723320</v>
      </c>
      <c r="H14" s="53">
        <f>'P3'!K7</f>
        <v>1332723320</v>
      </c>
      <c r="I14" s="53">
        <f>'P3'!L7</f>
        <v>1332723320</v>
      </c>
      <c r="J14" s="53">
        <f>'P3'!M7</f>
        <v>1332723320</v>
      </c>
      <c r="K14" s="53">
        <f>'P3'!N7</f>
        <v>1332723320</v>
      </c>
      <c r="L14" s="53">
        <f>'P3'!O7</f>
        <v>1332723320</v>
      </c>
      <c r="M14" s="53">
        <f>'P3'!P7</f>
        <v>1332723320</v>
      </c>
      <c r="N14" s="53">
        <f>'P3'!Q7</f>
        <v>1332723320</v>
      </c>
      <c r="O14" s="53">
        <f>'P3'!R7</f>
        <v>1332723320</v>
      </c>
      <c r="P14" s="53">
        <f>'P3'!S7</f>
        <v>1332723320</v>
      </c>
      <c r="Q14" s="53">
        <f>'P3'!T7</f>
        <v>1332723320</v>
      </c>
      <c r="R14" s="53">
        <f>'P3'!U7</f>
        <v>1332723320</v>
      </c>
      <c r="S14" s="53">
        <f>'P3'!V7</f>
        <v>1332723320</v>
      </c>
      <c r="T14" s="53">
        <f>'P3'!W7</f>
        <v>1332723320</v>
      </c>
      <c r="U14" s="53">
        <f>'P3'!X7</f>
        <v>1332723320</v>
      </c>
      <c r="V14" s="53">
        <f>'P3'!Y7</f>
        <v>24061173910</v>
      </c>
      <c r="W14" s="205">
        <f t="shared" si="0"/>
        <v>5.9747330300729011E-3</v>
      </c>
    </row>
    <row r="15" spans="1:23" s="194" customFormat="1" x14ac:dyDescent="0.2">
      <c r="A15" s="195" t="str">
        <f>Portafolio_Cadena_Maíz!D39</f>
        <v>3.2. Promoción de la integración y las alianzas estratégicas regionales en la cadena de maíz.</v>
      </c>
      <c r="B15" s="53">
        <f>'P3'!E8</f>
        <v>605460671.5</v>
      </c>
      <c r="C15" s="53">
        <f>'P3'!F8</f>
        <v>2421842686</v>
      </c>
      <c r="D15" s="53">
        <f>'P3'!G8</f>
        <v>2421842686</v>
      </c>
      <c r="E15" s="53">
        <f>'P3'!H8</f>
        <v>2421842686</v>
      </c>
      <c r="F15" s="53">
        <f>'P3'!I8</f>
        <v>2421842686</v>
      </c>
      <c r="G15" s="53">
        <f>'P3'!J8</f>
        <v>1846986450</v>
      </c>
      <c r="H15" s="53">
        <f>'P3'!K8</f>
        <v>1846986450</v>
      </c>
      <c r="I15" s="53">
        <f>'P3'!L8</f>
        <v>1846986450</v>
      </c>
      <c r="J15" s="53">
        <f>'P3'!M8</f>
        <v>1846986450</v>
      </c>
      <c r="K15" s="53">
        <f>'P3'!N8</f>
        <v>1846986450</v>
      </c>
      <c r="L15" s="53">
        <f>'P3'!O8</f>
        <v>1846986450</v>
      </c>
      <c r="M15" s="53">
        <f>'P3'!P8</f>
        <v>1846986450</v>
      </c>
      <c r="N15" s="53">
        <f>'P3'!Q8</f>
        <v>1846986450</v>
      </c>
      <c r="O15" s="53">
        <f>'P3'!R8</f>
        <v>1846986450</v>
      </c>
      <c r="P15" s="53">
        <f>'P3'!S8</f>
        <v>1846986450</v>
      </c>
      <c r="Q15" s="53">
        <f>'P3'!T8</f>
        <v>1846986450</v>
      </c>
      <c r="R15" s="53">
        <f>'P3'!U8</f>
        <v>1846986450</v>
      </c>
      <c r="S15" s="53">
        <f>'P3'!V8</f>
        <v>1846986450</v>
      </c>
      <c r="T15" s="53">
        <f>'P3'!W8</f>
        <v>1846986450</v>
      </c>
      <c r="U15" s="53">
        <f>'P3'!X8</f>
        <v>1846986450</v>
      </c>
      <c r="V15" s="53">
        <f>'P3'!Y8</f>
        <v>37997628165.5</v>
      </c>
      <c r="W15" s="205">
        <f t="shared" si="0"/>
        <v>9.4353536080169272E-3</v>
      </c>
    </row>
    <row r="16" spans="1:23" s="194" customFormat="1" ht="28.5" x14ac:dyDescent="0.2">
      <c r="A16" s="196" t="str">
        <f>Portafolio_Cadena_Maíz!D42</f>
        <v>3.3. Aumento de la capacidad instalada regional para el secamiento, almacenamiento, y procesamiento agroindustrial de maíz.</v>
      </c>
      <c r="B16" s="53">
        <f>'P3'!E9</f>
        <v>341786536.80150002</v>
      </c>
      <c r="C16" s="53">
        <f>'P3'!F9</f>
        <v>66554608355.829895</v>
      </c>
      <c r="D16" s="53">
        <f>'P3'!G9</f>
        <v>75079510385.517975</v>
      </c>
      <c r="E16" s="53">
        <f>'P3'!H9</f>
        <v>86210418770.90509</v>
      </c>
      <c r="F16" s="53">
        <f>'P3'!I9</f>
        <v>99141981586.540878</v>
      </c>
      <c r="G16" s="53">
        <f>'P3'!J9</f>
        <v>114013278824.522</v>
      </c>
      <c r="H16" s="53">
        <f>'P3'!K9</f>
        <v>136815934589.42639</v>
      </c>
      <c r="I16" s="53">
        <f>'P3'!L9</f>
        <v>164179121507.31168</v>
      </c>
      <c r="J16" s="53">
        <f>'P3'!M9</f>
        <v>197014945808.77402</v>
      </c>
      <c r="K16" s="53">
        <f>'P3'!N9</f>
        <v>236417934970.52887</v>
      </c>
      <c r="L16" s="53">
        <f>'P3'!O9</f>
        <v>197014945808.77402</v>
      </c>
      <c r="M16" s="53">
        <f>'P3'!P9</f>
        <v>157611956647.01923</v>
      </c>
      <c r="N16" s="53">
        <f>'P3'!Q9</f>
        <v>126089565317.61537</v>
      </c>
      <c r="O16" s="53">
        <f>'P3'!R9</f>
        <v>100871652254.09229</v>
      </c>
      <c r="P16" s="53">
        <f>'P3'!S9</f>
        <v>80697321803.273865</v>
      </c>
      <c r="Q16" s="53">
        <f>'P3'!T9</f>
        <v>64557857442.61908</v>
      </c>
      <c r="R16" s="53">
        <f>'P3'!U9</f>
        <v>51646285954.095268</v>
      </c>
      <c r="S16" s="53">
        <f>'P3'!V9</f>
        <v>41317028763.276215</v>
      </c>
      <c r="T16" s="53">
        <f>'P3'!W9</f>
        <v>33053623010.620975</v>
      </c>
      <c r="U16" s="53">
        <f>'P3'!X9</f>
        <v>26442898408.49678</v>
      </c>
      <c r="V16" s="53">
        <f>'P3'!Y9</f>
        <v>2055072656746.0415</v>
      </c>
      <c r="W16" s="205">
        <f t="shared" si="0"/>
        <v>0.5103038832347746</v>
      </c>
    </row>
    <row r="17" spans="1:23" s="194" customFormat="1" x14ac:dyDescent="0.2">
      <c r="A17" s="196" t="str">
        <f>Portafolio_Cadena_Maíz!D47</f>
        <v xml:space="preserve">3.4. Fortalecimiento de la oferta de insumos y servicios asociados a la cadena. </v>
      </c>
      <c r="B17" s="53">
        <f>'P3'!E10</f>
        <v>556248495.10800004</v>
      </c>
      <c r="C17" s="53">
        <f>'P3'!F10</f>
        <v>2224993980.4320002</v>
      </c>
      <c r="D17" s="53">
        <f>'P3'!G10</f>
        <v>2224993980.4320002</v>
      </c>
      <c r="E17" s="53">
        <f>'P3'!H10</f>
        <v>2224993980.4320002</v>
      </c>
      <c r="F17" s="53">
        <f>'P3'!I10</f>
        <v>2224993980.4320002</v>
      </c>
      <c r="G17" s="53">
        <f>'P3'!J10</f>
        <v>2224993980.4320002</v>
      </c>
      <c r="H17" s="53">
        <f>'P3'!K10</f>
        <v>2224993980.4320002</v>
      </c>
      <c r="I17" s="53">
        <f>'P3'!L10</f>
        <v>2224993980.4320002</v>
      </c>
      <c r="J17" s="53">
        <f>'P3'!M10</f>
        <v>2224993980.4320002</v>
      </c>
      <c r="K17" s="53">
        <f>'P3'!N10</f>
        <v>2224993980.4320002</v>
      </c>
      <c r="L17" s="53">
        <f>'P3'!O10</f>
        <v>975729295.12</v>
      </c>
      <c r="M17" s="53">
        <f>'P3'!P10</f>
        <v>975729295.12</v>
      </c>
      <c r="N17" s="53">
        <f>'P3'!Q10</f>
        <v>975729295.12</v>
      </c>
      <c r="O17" s="53">
        <f>'P3'!R10</f>
        <v>975729295.12</v>
      </c>
      <c r="P17" s="53">
        <f>'P3'!S10</f>
        <v>975729295.12</v>
      </c>
      <c r="Q17" s="53">
        <f>'P3'!T10</f>
        <v>975729295.12</v>
      </c>
      <c r="R17" s="53">
        <f>'P3'!U10</f>
        <v>975729295.12</v>
      </c>
      <c r="S17" s="53">
        <f>'P3'!V10</f>
        <v>975729295.12</v>
      </c>
      <c r="T17" s="53">
        <f>'P3'!W10</f>
        <v>975729295.12</v>
      </c>
      <c r="U17" s="53">
        <f>'P3'!X10</f>
        <v>975729295.12</v>
      </c>
      <c r="V17" s="53">
        <f>'P3'!Y10</f>
        <v>30338487270.195988</v>
      </c>
      <c r="W17" s="205">
        <f t="shared" si="0"/>
        <v>7.5334795656146862E-3</v>
      </c>
    </row>
    <row r="18" spans="1:23" s="194" customFormat="1" x14ac:dyDescent="0.2">
      <c r="A18" s="196" t="str">
        <f>Portafolio_Cadena_Maíz!D53</f>
        <v>3.5. Mejora del entorno productivo para las grandes inversiones en las regiones maiceras.</v>
      </c>
      <c r="B18" s="53">
        <f>'P3'!E11</f>
        <v>449972240.63399994</v>
      </c>
      <c r="C18" s="53">
        <f>'P3'!F11</f>
        <v>599962987.51199996</v>
      </c>
      <c r="D18" s="53">
        <f>'P3'!G11</f>
        <v>599962987.51199996</v>
      </c>
      <c r="E18" s="53">
        <f>'P3'!H11</f>
        <v>599962987.51199996</v>
      </c>
      <c r="F18" s="53">
        <f>'P3'!I11</f>
        <v>599962987.51199996</v>
      </c>
      <c r="G18" s="53">
        <f>'P3'!J11</f>
        <v>599962987.51199996</v>
      </c>
      <c r="H18" s="53">
        <f>'P3'!K11</f>
        <v>520767288</v>
      </c>
      <c r="I18" s="53">
        <f>'P3'!L11</f>
        <v>520767288</v>
      </c>
      <c r="J18" s="53">
        <f>'P3'!M11</f>
        <v>520767288</v>
      </c>
      <c r="K18" s="53">
        <f>'P3'!N11</f>
        <v>520767288</v>
      </c>
      <c r="L18" s="53">
        <f>'P3'!O11</f>
        <v>520767288</v>
      </c>
      <c r="M18" s="53">
        <f>'P3'!P11</f>
        <v>520767288</v>
      </c>
      <c r="N18" s="53">
        <f>'P3'!Q11</f>
        <v>520767288</v>
      </c>
      <c r="O18" s="53">
        <f>'P3'!R11</f>
        <v>520767288</v>
      </c>
      <c r="P18" s="53">
        <f>'P3'!S11</f>
        <v>520767288</v>
      </c>
      <c r="Q18" s="53">
        <f>'P3'!T11</f>
        <v>520767288</v>
      </c>
      <c r="R18" s="53">
        <f>'P3'!U11</f>
        <v>520767288</v>
      </c>
      <c r="S18" s="53">
        <f>'P3'!V11</f>
        <v>520767288</v>
      </c>
      <c r="T18" s="53">
        <f>'P3'!W11</f>
        <v>520767288</v>
      </c>
      <c r="U18" s="53">
        <f>'P3'!X11</f>
        <v>520767288</v>
      </c>
      <c r="V18" s="53">
        <f>'P3'!Y11</f>
        <v>10740529210.194</v>
      </c>
      <c r="W18" s="205">
        <f t="shared" si="0"/>
        <v>2.6670267574076525E-3</v>
      </c>
    </row>
    <row r="19" spans="1:23" s="194" customFormat="1" ht="15" x14ac:dyDescent="0.2">
      <c r="A19" s="193" t="str">
        <f>Portafolio_Cadena_Maíz!C60</f>
        <v xml:space="preserve">4. Mejora de la gestión del agua y del suelo en el cultivo de maíz. </v>
      </c>
      <c r="B19" s="159">
        <f>'P4'!E7</f>
        <v>706550282.5</v>
      </c>
      <c r="C19" s="159">
        <f>'P4'!F7</f>
        <v>6375818191.2975283</v>
      </c>
      <c r="D19" s="159">
        <f>'P4'!G7</f>
        <v>5072797180.9921579</v>
      </c>
      <c r="E19" s="159">
        <f>'P4'!H7</f>
        <v>5106307181.5659819</v>
      </c>
      <c r="F19" s="159">
        <f>'P4'!I7</f>
        <v>5398523848.1008797</v>
      </c>
      <c r="G19" s="159">
        <f>'P4'!J7</f>
        <v>6414271734.3160105</v>
      </c>
      <c r="H19" s="159">
        <f>'P4'!K7</f>
        <v>7449962910.3792124</v>
      </c>
      <c r="I19" s="159">
        <f>'P4'!L7</f>
        <v>9145924801.4550552</v>
      </c>
      <c r="J19" s="159">
        <f>'P4'!M7</f>
        <v>10727946590.946068</v>
      </c>
      <c r="K19" s="159">
        <f>'P4'!N7</f>
        <v>13079505218.135281</v>
      </c>
      <c r="L19" s="159">
        <f>'P4'!O7</f>
        <v>10727946590.946068</v>
      </c>
      <c r="M19" s="159">
        <f>'P4'!P7</f>
        <v>8788326581.756855</v>
      </c>
      <c r="N19" s="159">
        <f>'P4'!Q7</f>
        <v>6865885818.2054834</v>
      </c>
      <c r="O19" s="159">
        <f>'P4'!R7</f>
        <v>5492708654.5643864</v>
      </c>
      <c r="P19" s="159">
        <f>'P4'!S7</f>
        <v>4394166923.6515093</v>
      </c>
      <c r="Q19" s="159">
        <f>'P4'!T7</f>
        <v>3515333538.9212074</v>
      </c>
      <c r="R19" s="159">
        <f>'P4'!U7</f>
        <v>2812266831.1369658</v>
      </c>
      <c r="S19" s="159">
        <f>'P4'!V7</f>
        <v>2249813464.9095731</v>
      </c>
      <c r="T19" s="159">
        <f>'P4'!W7</f>
        <v>1799850771.9276586</v>
      </c>
      <c r="U19" s="159">
        <f>'P4'!X7</f>
        <v>1439880617.5421269</v>
      </c>
      <c r="V19" s="159">
        <f>'P4'!Y7</f>
        <v>117563787733.25002</v>
      </c>
      <c r="W19" s="298">
        <f t="shared" si="0"/>
        <v>2.9192767083504625E-2</v>
      </c>
    </row>
    <row r="20" spans="1:23" s="194" customFormat="1" x14ac:dyDescent="0.2">
      <c r="A20" s="195" t="str">
        <f>Portafolio_Cadena_Maíz!D60</f>
        <v>4.1. Contribución a la gestión del ordenamiento ambiental, fuera de la frontera agrícola.</v>
      </c>
      <c r="B20" s="53">
        <f>'P4'!E8</f>
        <v>205969309</v>
      </c>
      <c r="C20" s="53">
        <f>'P4'!F8</f>
        <v>823877236</v>
      </c>
      <c r="D20" s="53">
        <f>'P4'!G8</f>
        <v>823877236</v>
      </c>
      <c r="E20" s="53">
        <f>'P4'!H8</f>
        <v>411938618</v>
      </c>
      <c r="F20" s="53">
        <f>'P4'!I8</f>
        <v>0</v>
      </c>
      <c r="G20" s="53">
        <f>'P4'!J8</f>
        <v>205969309</v>
      </c>
      <c r="H20" s="53">
        <f>'P4'!K8</f>
        <v>0</v>
      </c>
      <c r="I20" s="53">
        <f>'P4'!L8</f>
        <v>205969309</v>
      </c>
      <c r="J20" s="53">
        <f>'P4'!M8</f>
        <v>0</v>
      </c>
      <c r="K20" s="53">
        <f>'P4'!N8</f>
        <v>205969309</v>
      </c>
      <c r="L20" s="53">
        <f>'P4'!O8</f>
        <v>0</v>
      </c>
      <c r="M20" s="53">
        <f>'P4'!P8</f>
        <v>205969309</v>
      </c>
      <c r="N20" s="53">
        <f>'P4'!Q8</f>
        <v>0</v>
      </c>
      <c r="O20" s="53">
        <f>'P4'!R8</f>
        <v>0</v>
      </c>
      <c r="P20" s="53">
        <f>'P4'!S8</f>
        <v>0</v>
      </c>
      <c r="Q20" s="53">
        <f>'P4'!T8</f>
        <v>0</v>
      </c>
      <c r="R20" s="53">
        <f>'P4'!U8</f>
        <v>0</v>
      </c>
      <c r="S20" s="53">
        <f>'P4'!V8</f>
        <v>0</v>
      </c>
      <c r="T20" s="53">
        <f>'P4'!W8</f>
        <v>0</v>
      </c>
      <c r="U20" s="53">
        <f>'P4'!X8</f>
        <v>0</v>
      </c>
      <c r="V20" s="53">
        <f>'P4'!Y8</f>
        <v>3089539635</v>
      </c>
      <c r="W20" s="205">
        <f t="shared" si="0"/>
        <v>7.6717680417421816E-4</v>
      </c>
    </row>
    <row r="21" spans="1:23" s="194" customFormat="1" x14ac:dyDescent="0.2">
      <c r="A21" s="195" t="str">
        <f>Portafolio_Cadena_Maíz!D63</f>
        <v>4.2. Promoción del manejo eficiente del suelo y del agua, en la producción de maíz.</v>
      </c>
      <c r="B21" s="53">
        <f>'P4'!E9</f>
        <v>500580973.5</v>
      </c>
      <c r="C21" s="53">
        <f>'P4'!F9</f>
        <v>5551940955.2975283</v>
      </c>
      <c r="D21" s="53">
        <f>'P4'!G9</f>
        <v>4248919944.9921579</v>
      </c>
      <c r="E21" s="53">
        <f>'P4'!H9</f>
        <v>4694368563.5659819</v>
      </c>
      <c r="F21" s="53">
        <f>'P4'!I9</f>
        <v>5398523848.1008797</v>
      </c>
      <c r="G21" s="53">
        <f>'P4'!J9</f>
        <v>6208302425.3160105</v>
      </c>
      <c r="H21" s="53">
        <f>'P4'!K9</f>
        <v>7449962910.3792124</v>
      </c>
      <c r="I21" s="53">
        <f>'P4'!L9</f>
        <v>8939955492.4550552</v>
      </c>
      <c r="J21" s="53">
        <f>'P4'!M9</f>
        <v>10727946590.946068</v>
      </c>
      <c r="K21" s="53">
        <f>'P4'!N9</f>
        <v>12873535909.135281</v>
      </c>
      <c r="L21" s="53">
        <f>'P4'!O9</f>
        <v>10727946590.946068</v>
      </c>
      <c r="M21" s="53">
        <f>'P4'!P9</f>
        <v>8582357272.7568541</v>
      </c>
      <c r="N21" s="53">
        <f>'P4'!Q9</f>
        <v>6865885818.2054834</v>
      </c>
      <c r="O21" s="53">
        <f>'P4'!R9</f>
        <v>5492708654.5643864</v>
      </c>
      <c r="P21" s="53">
        <f>'P4'!S9</f>
        <v>4394166923.6515093</v>
      </c>
      <c r="Q21" s="53">
        <f>'P4'!T9</f>
        <v>3515333538.9212074</v>
      </c>
      <c r="R21" s="53">
        <f>'P4'!U9</f>
        <v>2812266831.1369658</v>
      </c>
      <c r="S21" s="53">
        <f>'P4'!V9</f>
        <v>2249813464.9095731</v>
      </c>
      <c r="T21" s="53">
        <f>'P4'!W9</f>
        <v>1799850771.9276586</v>
      </c>
      <c r="U21" s="53">
        <f>'P4'!X9</f>
        <v>1439880617.5421269</v>
      </c>
      <c r="V21" s="53">
        <f>'P4'!Y9</f>
        <v>114474248098.25002</v>
      </c>
      <c r="W21" s="205">
        <f t="shared" si="0"/>
        <v>2.8425590279330407E-2</v>
      </c>
    </row>
    <row r="22" spans="1:23" s="194" customFormat="1" ht="22.5" customHeight="1" x14ac:dyDescent="0.2">
      <c r="A22" s="193" t="str">
        <f>Portafolio_Cadena_Maíz!C70</f>
        <v>5. Fortalecimiento de la gestión ambiental en la cadena maicera.</v>
      </c>
      <c r="B22" s="159">
        <f>'P5'!E7</f>
        <v>674788448.37700009</v>
      </c>
      <c r="C22" s="159">
        <f>'P5'!F7</f>
        <v>2699153793.5080004</v>
      </c>
      <c r="D22" s="159">
        <f>'P5'!G7</f>
        <v>2699153793.5080004</v>
      </c>
      <c r="E22" s="159">
        <f>'P5'!H7</f>
        <v>2024365345.1310003</v>
      </c>
      <c r="F22" s="159">
        <f>'P5'!I7</f>
        <v>0</v>
      </c>
      <c r="G22" s="159">
        <f>'P5'!J7</f>
        <v>0</v>
      </c>
      <c r="H22" s="159">
        <f>'P5'!K7</f>
        <v>2699153793.5080004</v>
      </c>
      <c r="I22" s="159">
        <f>'P5'!L7</f>
        <v>0</v>
      </c>
      <c r="J22" s="159">
        <f>'P5'!M7</f>
        <v>0</v>
      </c>
      <c r="K22" s="159">
        <f>'P5'!N7</f>
        <v>2699153793.5080004</v>
      </c>
      <c r="L22" s="159">
        <f>'P5'!O7</f>
        <v>0</v>
      </c>
      <c r="M22" s="159">
        <f>'P5'!P7</f>
        <v>0</v>
      </c>
      <c r="N22" s="159">
        <f>'P5'!Q7</f>
        <v>2699153793.5080004</v>
      </c>
      <c r="O22" s="159">
        <f>'P5'!R7</f>
        <v>0</v>
      </c>
      <c r="P22" s="159">
        <f>'P5'!S7</f>
        <v>0</v>
      </c>
      <c r="Q22" s="159">
        <f>'P5'!T7</f>
        <v>2699153793.5080004</v>
      </c>
      <c r="R22" s="159">
        <f>'P5'!U7</f>
        <v>0</v>
      </c>
      <c r="S22" s="159">
        <f>'P5'!V7</f>
        <v>0</v>
      </c>
      <c r="T22" s="159">
        <f>'P5'!W7</f>
        <v>2699153793.5080004</v>
      </c>
      <c r="U22" s="159">
        <f>'P5'!X7</f>
        <v>0</v>
      </c>
      <c r="V22" s="159">
        <f>'P5'!Y7</f>
        <v>21593230348.063999</v>
      </c>
      <c r="W22" s="298">
        <f t="shared" si="0"/>
        <v>5.3619074060609929E-3</v>
      </c>
    </row>
    <row r="23" spans="1:23" s="194" customFormat="1" x14ac:dyDescent="0.2">
      <c r="A23" s="195" t="str">
        <f>Portafolio_Cadena_Maíz!D70</f>
        <v>5.1. Mejora del desempeño ambiental de la cadena de maíz.</v>
      </c>
      <c r="B23" s="53">
        <f>'P5'!E8</f>
        <v>674788448.37700009</v>
      </c>
      <c r="C23" s="53">
        <f>'P5'!F8</f>
        <v>2699153793.5080004</v>
      </c>
      <c r="D23" s="53">
        <f>'P5'!G8</f>
        <v>2699153793.5080004</v>
      </c>
      <c r="E23" s="53">
        <f>'P5'!H8</f>
        <v>2024365345.1310003</v>
      </c>
      <c r="F23" s="53" t="str">
        <f>'P5'!I8</f>
        <v>Por definir</v>
      </c>
      <c r="G23" s="53" t="str">
        <f>'P5'!J8</f>
        <v>Por definir</v>
      </c>
      <c r="H23" s="53">
        <f>'P5'!K8</f>
        <v>2699153793.5080004</v>
      </c>
      <c r="I23" s="53" t="str">
        <f>'P5'!L8</f>
        <v>Por definir</v>
      </c>
      <c r="J23" s="53" t="str">
        <f>'P5'!M8</f>
        <v>Por definir</v>
      </c>
      <c r="K23" s="53">
        <f>'P5'!N8</f>
        <v>2699153793.5080004</v>
      </c>
      <c r="L23" s="53" t="str">
        <f>'P5'!O8</f>
        <v>Por definir</v>
      </c>
      <c r="M23" s="53" t="str">
        <f>'P5'!P8</f>
        <v>Por definir</v>
      </c>
      <c r="N23" s="53">
        <f>'P5'!Q8</f>
        <v>2699153793.5080004</v>
      </c>
      <c r="O23" s="53" t="str">
        <f>'P5'!R8</f>
        <v>Por definir</v>
      </c>
      <c r="P23" s="53" t="str">
        <f>'P5'!S8</f>
        <v>Por definir</v>
      </c>
      <c r="Q23" s="53">
        <f>'P5'!T8</f>
        <v>2699153793.5080004</v>
      </c>
      <c r="R23" s="53" t="str">
        <f>'P5'!U8</f>
        <v>Por definir</v>
      </c>
      <c r="S23" s="53" t="str">
        <f>'P5'!V8</f>
        <v>Por definir</v>
      </c>
      <c r="T23" s="53">
        <f>'P5'!W8</f>
        <v>2699153793.5080004</v>
      </c>
      <c r="U23" s="53" t="str">
        <f>'P5'!X8</f>
        <v>Por definir</v>
      </c>
      <c r="V23" s="53">
        <f>'P5'!Y8</f>
        <v>21593230348.063999</v>
      </c>
      <c r="W23" s="205">
        <f t="shared" si="0"/>
        <v>5.3619074060609929E-3</v>
      </c>
    </row>
    <row r="24" spans="1:23" s="194" customFormat="1" ht="30" x14ac:dyDescent="0.2">
      <c r="A24" s="193" t="str">
        <f>Portafolio_Cadena_Maíz!C77</f>
        <v xml:space="preserve">6. Contribución al mejoramiento en las condiciones de vida de la población vinculada a la cadena de maíz. </v>
      </c>
      <c r="B24" s="159">
        <f>'P6'!E7</f>
        <v>1782446860.0999999</v>
      </c>
      <c r="C24" s="159">
        <f>'P6'!F7</f>
        <v>7129787440.3999996</v>
      </c>
      <c r="D24" s="159">
        <f>'P6'!G7</f>
        <v>7129787440.3999996</v>
      </c>
      <c r="E24" s="159">
        <f>'P6'!H7</f>
        <v>6531012754.3999996</v>
      </c>
      <c r="F24" s="159">
        <f>'P6'!I7</f>
        <v>6531012754.3999996</v>
      </c>
      <c r="G24" s="159">
        <f>'P6'!J7</f>
        <v>6531012754.3999996</v>
      </c>
      <c r="H24" s="159">
        <f>'P6'!K7</f>
        <v>7129787440.3999996</v>
      </c>
      <c r="I24" s="159">
        <f>'P6'!L7</f>
        <v>6531012754.3999996</v>
      </c>
      <c r="J24" s="159">
        <f>'P6'!M7</f>
        <v>6531012754.3999996</v>
      </c>
      <c r="K24" s="159">
        <f>'P6'!N7</f>
        <v>6531012754.3999996</v>
      </c>
      <c r="L24" s="159">
        <f>'P6'!O7</f>
        <v>7129787440.3999996</v>
      </c>
      <c r="M24" s="159">
        <f>'P6'!P7</f>
        <v>6531012754.3999996</v>
      </c>
      <c r="N24" s="159">
        <f>'P6'!Q7</f>
        <v>6531012754.3999996</v>
      </c>
      <c r="O24" s="159">
        <f>'P6'!R7</f>
        <v>6531012754.3999996</v>
      </c>
      <c r="P24" s="159">
        <f>'P6'!S7</f>
        <v>7129787440.3999996</v>
      </c>
      <c r="Q24" s="159">
        <f>'P6'!T7</f>
        <v>6531012754.3999996</v>
      </c>
      <c r="R24" s="159">
        <f>'P6'!U7</f>
        <v>6531012754.3999996</v>
      </c>
      <c r="S24" s="159">
        <f>'P6'!V7</f>
        <v>6531012754.3999996</v>
      </c>
      <c r="T24" s="159">
        <f>'P6'!W7</f>
        <v>7129787440.3999996</v>
      </c>
      <c r="U24" s="159">
        <f>'P6'!X7</f>
        <v>4064258048</v>
      </c>
      <c r="V24" s="159">
        <f>'P6'!Y7</f>
        <v>126997582603.30002</v>
      </c>
      <c r="W24" s="298">
        <f t="shared" si="0"/>
        <v>3.1535313046550696E-2</v>
      </c>
    </row>
    <row r="25" spans="1:23" s="194" customFormat="1" x14ac:dyDescent="0.2">
      <c r="A25" s="195" t="str">
        <f>Portafolio_Cadena_Maíz!D77</f>
        <v>6.1  Promoción de la atención de las necesidades básicas de los actores vinculados a la cadena.</v>
      </c>
      <c r="B25" s="53">
        <f>'P6'!E8</f>
        <v>839055476</v>
      </c>
      <c r="C25" s="53">
        <f>'P6'!F8</f>
        <v>3356221904</v>
      </c>
      <c r="D25" s="53">
        <f>'P6'!G8</f>
        <v>3356221904</v>
      </c>
      <c r="E25" s="53">
        <f>'P6'!H8</f>
        <v>3356221904</v>
      </c>
      <c r="F25" s="53">
        <f>'P6'!I8</f>
        <v>3356221904</v>
      </c>
      <c r="G25" s="53">
        <f>'P6'!J8</f>
        <v>3356221904</v>
      </c>
      <c r="H25" s="53">
        <f>'P6'!K8</f>
        <v>3356221904</v>
      </c>
      <c r="I25" s="53">
        <f>'P6'!L8</f>
        <v>3356221904</v>
      </c>
      <c r="J25" s="53">
        <f>'P6'!M8</f>
        <v>3356221904</v>
      </c>
      <c r="K25" s="53">
        <f>'P6'!N8</f>
        <v>3356221904</v>
      </c>
      <c r="L25" s="53">
        <f>'P6'!O8</f>
        <v>3356221904</v>
      </c>
      <c r="M25" s="53">
        <f>'P6'!P8</f>
        <v>3356221904</v>
      </c>
      <c r="N25" s="53">
        <f>'P6'!Q8</f>
        <v>3356221904</v>
      </c>
      <c r="O25" s="53">
        <f>'P6'!R8</f>
        <v>3356221904</v>
      </c>
      <c r="P25" s="53">
        <f>'P6'!S8</f>
        <v>3356221904</v>
      </c>
      <c r="Q25" s="53">
        <f>'P6'!T8</f>
        <v>3356221904</v>
      </c>
      <c r="R25" s="53">
        <f>'P6'!U8</f>
        <v>3356221904</v>
      </c>
      <c r="S25" s="53">
        <f>'P6'!V8</f>
        <v>3356221904</v>
      </c>
      <c r="T25" s="53">
        <f>'P6'!W8</f>
        <v>3356221904</v>
      </c>
      <c r="U25" s="53">
        <f>'P6'!X8</f>
        <v>3356221904</v>
      </c>
      <c r="V25" s="53">
        <f>'P6'!Y8</f>
        <v>64607271652</v>
      </c>
      <c r="W25" s="205">
        <f t="shared" si="0"/>
        <v>1.6042908021277714E-2</v>
      </c>
    </row>
    <row r="26" spans="1:23" s="194" customFormat="1" x14ac:dyDescent="0.2">
      <c r="A26" s="195" t="str">
        <f>Portafolio_Cadena_Maíz!D82</f>
        <v>6.2. Contribución al incremento del nivel educativo de los actores vinculados a la cadena.</v>
      </c>
      <c r="B26" s="53">
        <f>'P6'!E9</f>
        <v>177009036</v>
      </c>
      <c r="C26" s="53">
        <f>'P6'!F9</f>
        <v>708036144</v>
      </c>
      <c r="D26" s="53">
        <f>'P6'!G9</f>
        <v>708036144</v>
      </c>
      <c r="E26" s="53">
        <f>'P6'!H9</f>
        <v>708036144</v>
      </c>
      <c r="F26" s="53">
        <f>'P6'!I9</f>
        <v>708036144</v>
      </c>
      <c r="G26" s="53">
        <f>'P6'!J9</f>
        <v>708036144</v>
      </c>
      <c r="H26" s="53">
        <f>'P6'!K9</f>
        <v>708036144</v>
      </c>
      <c r="I26" s="53">
        <f>'P6'!L9</f>
        <v>708036144</v>
      </c>
      <c r="J26" s="53">
        <f>'P6'!M9</f>
        <v>708036144</v>
      </c>
      <c r="K26" s="53">
        <f>'P6'!N9</f>
        <v>708036144</v>
      </c>
      <c r="L26" s="53">
        <f>'P6'!O9</f>
        <v>708036144</v>
      </c>
      <c r="M26" s="53">
        <f>'P6'!P9</f>
        <v>708036144</v>
      </c>
      <c r="N26" s="53">
        <f>'P6'!Q9</f>
        <v>708036144</v>
      </c>
      <c r="O26" s="53">
        <f>'P6'!R9</f>
        <v>708036144</v>
      </c>
      <c r="P26" s="53">
        <f>'P6'!S9</f>
        <v>708036144</v>
      </c>
      <c r="Q26" s="53">
        <f>'P6'!T9</f>
        <v>708036144</v>
      </c>
      <c r="R26" s="53">
        <f>'P6'!U9</f>
        <v>708036144</v>
      </c>
      <c r="S26" s="53">
        <f>'P6'!V9</f>
        <v>708036144</v>
      </c>
      <c r="T26" s="53">
        <f>'P6'!W9</f>
        <v>708036144</v>
      </c>
      <c r="U26" s="53">
        <f>'P6'!X9</f>
        <v>708036144</v>
      </c>
      <c r="V26" s="53">
        <f>'P6'!Y9</f>
        <v>13629695772</v>
      </c>
      <c r="W26" s="205">
        <f t="shared" si="0"/>
        <v>3.3844480665579202E-3</v>
      </c>
    </row>
    <row r="27" spans="1:23" s="194" customFormat="1" ht="28.5" x14ac:dyDescent="0.2">
      <c r="A27" s="195" t="str">
        <f>Portafolio_Cadena_Maíz!D86</f>
        <v>6.3. Promoción al  acceso en la seguridad social y mejora en las condiciones laborales a lo largo de la cadena</v>
      </c>
      <c r="B27" s="53">
        <f>'P6'!E10</f>
        <v>616688676.60000002</v>
      </c>
      <c r="C27" s="53">
        <f>'P6'!F10</f>
        <v>2466754706.4000001</v>
      </c>
      <c r="D27" s="53">
        <f>'P6'!G10</f>
        <v>2466754706.4000001</v>
      </c>
      <c r="E27" s="53">
        <f>'P6'!H10</f>
        <v>2466754706.4000001</v>
      </c>
      <c r="F27" s="53">
        <f>'P6'!I10</f>
        <v>2466754706.4000001</v>
      </c>
      <c r="G27" s="53">
        <f>'P6'!J10</f>
        <v>2466754706.4000001</v>
      </c>
      <c r="H27" s="53">
        <f>'P6'!K10</f>
        <v>2466754706.4000001</v>
      </c>
      <c r="I27" s="53">
        <f>'P6'!L10</f>
        <v>2466754706.4000001</v>
      </c>
      <c r="J27" s="53">
        <f>'P6'!M10</f>
        <v>2466754706.4000001</v>
      </c>
      <c r="K27" s="53">
        <f>'P6'!N10</f>
        <v>2466754706.4000001</v>
      </c>
      <c r="L27" s="53">
        <f>'P6'!O10</f>
        <v>2466754706.4000001</v>
      </c>
      <c r="M27" s="53">
        <f>'P6'!P10</f>
        <v>2466754706.4000001</v>
      </c>
      <c r="N27" s="53">
        <f>'P6'!Q10</f>
        <v>2466754706.4000001</v>
      </c>
      <c r="O27" s="53">
        <f>'P6'!R10</f>
        <v>2466754706.4000001</v>
      </c>
      <c r="P27" s="53">
        <f>'P6'!S10</f>
        <v>2466754706.4000001</v>
      </c>
      <c r="Q27" s="53">
        <f>'P6'!T10</f>
        <v>2466754706.4000001</v>
      </c>
      <c r="R27" s="53">
        <f>'P6'!U10</f>
        <v>2466754706.4000001</v>
      </c>
      <c r="S27" s="53">
        <f>'P6'!V10</f>
        <v>2466754706.4000001</v>
      </c>
      <c r="T27" s="53">
        <f>'P6'!W10</f>
        <v>2466754706.4000001</v>
      </c>
      <c r="U27" s="53">
        <f>'P6'!X10</f>
        <v>0</v>
      </c>
      <c r="V27" s="53">
        <f>'P6'!Y10</f>
        <v>45018273391.800011</v>
      </c>
      <c r="W27" s="205">
        <f t="shared" si="0"/>
        <v>1.1178680059290571E-2</v>
      </c>
    </row>
    <row r="28" spans="1:23" s="194" customFormat="1" ht="28.5" x14ac:dyDescent="0.2">
      <c r="A28" s="195" t="str">
        <f>Portafolio_Cadena_Maíz!D90</f>
        <v>6.4. Contribución a la mejora de condiciones de conectividad vial y de servicios públicos, en las regiones maiceras.</v>
      </c>
      <c r="B28" s="53">
        <f>'P6'!E11</f>
        <v>149693671.5</v>
      </c>
      <c r="C28" s="53">
        <f>'P6'!F11</f>
        <v>598774686</v>
      </c>
      <c r="D28" s="53">
        <f>'P6'!G11</f>
        <v>598774686</v>
      </c>
      <c r="E28" s="53">
        <f>'P6'!H11</f>
        <v>0</v>
      </c>
      <c r="F28" s="53">
        <f>'P6'!I11</f>
        <v>0</v>
      </c>
      <c r="G28" s="53">
        <f>'P6'!J11</f>
        <v>0</v>
      </c>
      <c r="H28" s="53">
        <f>'P6'!K11</f>
        <v>598774686</v>
      </c>
      <c r="I28" s="53">
        <f>'P6'!L11</f>
        <v>0</v>
      </c>
      <c r="J28" s="53">
        <f>'P6'!M11</f>
        <v>0</v>
      </c>
      <c r="K28" s="53">
        <f>'P6'!N11</f>
        <v>0</v>
      </c>
      <c r="L28" s="53">
        <f>'P6'!O11</f>
        <v>598774686</v>
      </c>
      <c r="M28" s="53">
        <f>'P6'!P11</f>
        <v>0</v>
      </c>
      <c r="N28" s="53">
        <f>'P6'!Q11</f>
        <v>0</v>
      </c>
      <c r="O28" s="53">
        <f>'P6'!R11</f>
        <v>0</v>
      </c>
      <c r="P28" s="53">
        <f>'P6'!S11</f>
        <v>598774686</v>
      </c>
      <c r="Q28" s="53">
        <f>'P6'!T11</f>
        <v>0</v>
      </c>
      <c r="R28" s="53">
        <f>'P6'!U11</f>
        <v>0</v>
      </c>
      <c r="S28" s="53">
        <f>'P6'!V11</f>
        <v>0</v>
      </c>
      <c r="T28" s="53">
        <f>'P6'!W11</f>
        <v>598774686</v>
      </c>
      <c r="U28" s="53">
        <f>'P6'!X11</f>
        <v>0</v>
      </c>
      <c r="V28" s="53">
        <f>'P6'!Y11</f>
        <v>3742341787.5</v>
      </c>
      <c r="W28" s="205">
        <f t="shared" si="0"/>
        <v>9.2927689942449336E-4</v>
      </c>
    </row>
    <row r="29" spans="1:23" s="194" customFormat="1" ht="15" x14ac:dyDescent="0.2">
      <c r="A29" s="193" t="str">
        <f>Portafolio_Cadena_Maíz!C93</f>
        <v>7. Contribución al ordenamiento productivo y social de la propiedad.</v>
      </c>
      <c r="B29" s="159">
        <f>'P7'!E7</f>
        <v>714210270.5</v>
      </c>
      <c r="C29" s="159">
        <f>'P7'!F7</f>
        <v>2856841082</v>
      </c>
      <c r="D29" s="159">
        <f>'P7'!G7</f>
        <v>2856841082</v>
      </c>
      <c r="E29" s="159">
        <f>'P7'!H7</f>
        <v>2856841082</v>
      </c>
      <c r="F29" s="159">
        <f>'P7'!I7</f>
        <v>2856841082</v>
      </c>
      <c r="G29" s="159">
        <f>'P7'!J7</f>
        <v>2673166650</v>
      </c>
      <c r="H29" s="159">
        <f>'P7'!K7</f>
        <v>2673166650</v>
      </c>
      <c r="I29" s="159">
        <f>'P7'!L7</f>
        <v>2673166650</v>
      </c>
      <c r="J29" s="159">
        <f>'P7'!M7</f>
        <v>2673166650</v>
      </c>
      <c r="K29" s="159">
        <f>'P7'!N7</f>
        <v>2673166650</v>
      </c>
      <c r="L29" s="159">
        <f>'P7'!O7</f>
        <v>2673166650</v>
      </c>
      <c r="M29" s="159">
        <f>'P7'!P7</f>
        <v>2673166650</v>
      </c>
      <c r="N29" s="159">
        <f>'P7'!Q7</f>
        <v>2673166650</v>
      </c>
      <c r="O29" s="159">
        <f>'P7'!R7</f>
        <v>2673166650</v>
      </c>
      <c r="P29" s="159">
        <f>'P7'!S7</f>
        <v>2673166650</v>
      </c>
      <c r="Q29" s="159">
        <f>'P7'!T7</f>
        <v>2673166650</v>
      </c>
      <c r="R29" s="159">
        <f>'P7'!U7</f>
        <v>2673166650</v>
      </c>
      <c r="S29" s="159">
        <f>'P7'!V7</f>
        <v>2673166650</v>
      </c>
      <c r="T29" s="159">
        <f>'P7'!W7</f>
        <v>2673166650</v>
      </c>
      <c r="U29" s="159">
        <f>'P7'!X7</f>
        <v>2673166650</v>
      </c>
      <c r="V29" s="159">
        <f>'P7'!Y7</f>
        <v>52239074348.5</v>
      </c>
      <c r="W29" s="298">
        <f t="shared" ref="W29:W35" si="1">V29/V$42</f>
        <v>1.2971708036269165E-2</v>
      </c>
    </row>
    <row r="30" spans="1:23" s="194" customFormat="1" ht="28.5" x14ac:dyDescent="0.2">
      <c r="A30" s="195" t="str">
        <f>Portafolio_Cadena_Maíz!D93</f>
        <v>7.1. Articulación con las políticas de ordenamiento productivo y social de la propiedad rural para el cultivo de maíz.</v>
      </c>
      <c r="B30" s="53">
        <f>'P7'!E8</f>
        <v>184975747.5</v>
      </c>
      <c r="C30" s="53">
        <f>'P7'!F8</f>
        <v>739902990</v>
      </c>
      <c r="D30" s="53">
        <f>'P7'!G8</f>
        <v>739902990</v>
      </c>
      <c r="E30" s="53">
        <f>'P7'!H8</f>
        <v>739902990</v>
      </c>
      <c r="F30" s="53">
        <f>'P7'!I8</f>
        <v>739902990</v>
      </c>
      <c r="G30" s="53">
        <f>'P7'!J8</f>
        <v>739902990</v>
      </c>
      <c r="H30" s="53">
        <f>'P7'!K8</f>
        <v>739902990</v>
      </c>
      <c r="I30" s="53">
        <f>'P7'!L8</f>
        <v>739902990</v>
      </c>
      <c r="J30" s="53">
        <f>'P7'!M8</f>
        <v>739902990</v>
      </c>
      <c r="K30" s="53">
        <f>'P7'!N8</f>
        <v>739902990</v>
      </c>
      <c r="L30" s="53">
        <f>'P7'!O8</f>
        <v>739902990</v>
      </c>
      <c r="M30" s="53">
        <f>'P7'!P8</f>
        <v>739902990</v>
      </c>
      <c r="N30" s="53">
        <f>'P7'!Q8</f>
        <v>739902990</v>
      </c>
      <c r="O30" s="53">
        <f>'P7'!R8</f>
        <v>739902990</v>
      </c>
      <c r="P30" s="53">
        <f>'P7'!S8</f>
        <v>739902990</v>
      </c>
      <c r="Q30" s="53">
        <f>'P7'!T8</f>
        <v>739902990</v>
      </c>
      <c r="R30" s="53">
        <f>'P7'!U8</f>
        <v>739902990</v>
      </c>
      <c r="S30" s="53">
        <f>'P7'!V8</f>
        <v>739902990</v>
      </c>
      <c r="T30" s="53">
        <f>'P7'!W8</f>
        <v>739902990</v>
      </c>
      <c r="U30" s="53">
        <f>'P7'!X8</f>
        <v>739902990</v>
      </c>
      <c r="V30" s="53">
        <f>'P7'!Y8</f>
        <v>14243132557.5</v>
      </c>
      <c r="W30" s="205">
        <f t="shared" si="1"/>
        <v>3.5367731791188391E-3</v>
      </c>
    </row>
    <row r="31" spans="1:23" s="194" customFormat="1" ht="28.5" x14ac:dyDescent="0.2">
      <c r="A31" s="195" t="str">
        <f>Portafolio_Cadena_Maíz!D99</f>
        <v xml:space="preserve">7.2  Fortalecimiento en el acceso y la seguridad jurídica de los predios e inversiones para el cultivo de maíz. </v>
      </c>
      <c r="B31" s="53">
        <f>'P7'!E9</f>
        <v>529234523</v>
      </c>
      <c r="C31" s="53">
        <f>'P7'!F9</f>
        <v>2116938092</v>
      </c>
      <c r="D31" s="53">
        <f>'P7'!G9</f>
        <v>2116938092</v>
      </c>
      <c r="E31" s="53">
        <f>'P7'!H9</f>
        <v>2116938092</v>
      </c>
      <c r="F31" s="53">
        <f>'P7'!I9</f>
        <v>2116938092</v>
      </c>
      <c r="G31" s="53">
        <f>'P7'!J9</f>
        <v>1933263660</v>
      </c>
      <c r="H31" s="53">
        <f>'P7'!K9</f>
        <v>1933263660</v>
      </c>
      <c r="I31" s="53">
        <f>'P7'!L9</f>
        <v>1933263660</v>
      </c>
      <c r="J31" s="53">
        <f>'P7'!M9</f>
        <v>1933263660</v>
      </c>
      <c r="K31" s="53">
        <f>'P7'!N9</f>
        <v>1933263660</v>
      </c>
      <c r="L31" s="53">
        <f>'P7'!O9</f>
        <v>1933263660</v>
      </c>
      <c r="M31" s="53">
        <f>'P7'!P9</f>
        <v>1933263660</v>
      </c>
      <c r="N31" s="53">
        <f>'P7'!Q9</f>
        <v>1933263660</v>
      </c>
      <c r="O31" s="53">
        <f>'P7'!R9</f>
        <v>1933263660</v>
      </c>
      <c r="P31" s="53">
        <f>'P7'!S9</f>
        <v>1933263660</v>
      </c>
      <c r="Q31" s="53">
        <f>'P7'!T9</f>
        <v>1933263660</v>
      </c>
      <c r="R31" s="53">
        <f>'P7'!U9</f>
        <v>1933263660</v>
      </c>
      <c r="S31" s="53">
        <f>'P7'!V9</f>
        <v>1933263660</v>
      </c>
      <c r="T31" s="53">
        <f>'P7'!W9</f>
        <v>1933263660</v>
      </c>
      <c r="U31" s="53">
        <f>'P7'!X9</f>
        <v>1933263660</v>
      </c>
      <c r="V31" s="53">
        <f>'P7'!Y9</f>
        <v>37995941791</v>
      </c>
      <c r="W31" s="205">
        <f t="shared" si="1"/>
        <v>9.4349348571503271E-3</v>
      </c>
    </row>
    <row r="32" spans="1:23" s="194" customFormat="1" ht="15" x14ac:dyDescent="0.2">
      <c r="A32" s="193" t="str">
        <f>Portafolio_Cadena_Maíz!C103</f>
        <v>8. Fortalecimiento del desarrollo tecnológico y la innovación en la cadena de maíz.</v>
      </c>
      <c r="B32" s="159">
        <f>'P8'!E7</f>
        <v>1372151353.5009999</v>
      </c>
      <c r="C32" s="159">
        <f>'P8'!F7</f>
        <v>4006419856.0019999</v>
      </c>
      <c r="D32" s="159">
        <f>'P8'!G7</f>
        <v>4006419856.0019999</v>
      </c>
      <c r="E32" s="159">
        <f>'P8'!H7</f>
        <v>3375361281.5019999</v>
      </c>
      <c r="F32" s="159">
        <f>'P8'!I7</f>
        <v>1482185558.0020001</v>
      </c>
      <c r="G32" s="159">
        <f>'P8'!J7</f>
        <v>370546389.50050002</v>
      </c>
      <c r="H32" s="159">
        <f>'P8'!K7</f>
        <v>2524234298</v>
      </c>
      <c r="I32" s="159">
        <f>'P8'!L7</f>
        <v>0</v>
      </c>
      <c r="J32" s="159">
        <f>'P8'!M7</f>
        <v>0</v>
      </c>
      <c r="K32" s="159">
        <f>'P8'!N7</f>
        <v>2524234298</v>
      </c>
      <c r="L32" s="159">
        <f>'P8'!O7</f>
        <v>0</v>
      </c>
      <c r="M32" s="159">
        <f>'P8'!P7</f>
        <v>0</v>
      </c>
      <c r="N32" s="159">
        <f>'P8'!Q7</f>
        <v>2524234298</v>
      </c>
      <c r="O32" s="159">
        <f>'P8'!R7</f>
        <v>0</v>
      </c>
      <c r="P32" s="159">
        <f>'P8'!S7</f>
        <v>0</v>
      </c>
      <c r="Q32" s="159">
        <f>'P8'!T7</f>
        <v>2524234298</v>
      </c>
      <c r="R32" s="159">
        <f>'P8'!U7</f>
        <v>0</v>
      </c>
      <c r="S32" s="159">
        <f>'P8'!V7</f>
        <v>0</v>
      </c>
      <c r="T32" s="159">
        <f>'P8'!W7</f>
        <v>2524234298</v>
      </c>
      <c r="U32" s="159">
        <f>'P8'!X7</f>
        <v>0</v>
      </c>
      <c r="V32" s="159">
        <f>'P8'!Y7</f>
        <v>27234255784.509499</v>
      </c>
      <c r="W32" s="298">
        <f t="shared" si="1"/>
        <v>6.762654565143072E-3</v>
      </c>
    </row>
    <row r="33" spans="1:23" s="194" customFormat="1" x14ac:dyDescent="0.2">
      <c r="A33" s="195" t="str">
        <f>Portafolio_Cadena_Maíz!D103</f>
        <v>8.1. Fortalecimiento de los procesos I+D+i para la cadena de maíz y sus derivados.</v>
      </c>
      <c r="B33" s="53">
        <f>'P8'!E8</f>
        <v>741092779.00100005</v>
      </c>
      <c r="C33" s="53">
        <f>'P8'!F8</f>
        <v>1482185558.0020001</v>
      </c>
      <c r="D33" s="53">
        <f>'P8'!G8</f>
        <v>1482185558.0020001</v>
      </c>
      <c r="E33" s="53">
        <f>'P8'!H8</f>
        <v>1482185558.0020001</v>
      </c>
      <c r="F33" s="53">
        <f>'P8'!I8</f>
        <v>1482185558.0020001</v>
      </c>
      <c r="G33" s="53">
        <f>'P8'!J8</f>
        <v>370546389.50050002</v>
      </c>
      <c r="H33" s="53" t="str">
        <f>'P8'!K8</f>
        <v>Por definir</v>
      </c>
      <c r="I33" s="53" t="str">
        <f>'P8'!L8</f>
        <v>Por definir</v>
      </c>
      <c r="J33" s="53" t="str">
        <f>'P8'!M8</f>
        <v>Por definir</v>
      </c>
      <c r="K33" s="53" t="str">
        <f>'P8'!N8</f>
        <v>Por definir</v>
      </c>
      <c r="L33" s="53" t="str">
        <f>'P8'!O8</f>
        <v>Por definir</v>
      </c>
      <c r="M33" s="53" t="str">
        <f>'P8'!P8</f>
        <v>Por definir</v>
      </c>
      <c r="N33" s="53" t="str">
        <f>'P8'!Q8</f>
        <v>Por definir</v>
      </c>
      <c r="O33" s="53" t="str">
        <f>'P8'!R8</f>
        <v>Por definir</v>
      </c>
      <c r="P33" s="53" t="str">
        <f>'P8'!S8</f>
        <v>Por definir</v>
      </c>
      <c r="Q33" s="53" t="str">
        <f>'P8'!T8</f>
        <v>Por definir</v>
      </c>
      <c r="R33" s="53" t="str">
        <f>'P8'!U8</f>
        <v>Por definir</v>
      </c>
      <c r="S33" s="53" t="str">
        <f>'P8'!V8</f>
        <v>Por definir</v>
      </c>
      <c r="T33" s="53" t="str">
        <f>'P8'!W8</f>
        <v>Por definir</v>
      </c>
      <c r="U33" s="53" t="str">
        <f>'P8'!X8</f>
        <v>Por definir</v>
      </c>
      <c r="V33" s="53">
        <f>'P8'!Y8</f>
        <v>7040381400.5094995</v>
      </c>
      <c r="W33" s="205">
        <f t="shared" si="1"/>
        <v>1.7482272251252357E-3</v>
      </c>
    </row>
    <row r="34" spans="1:23" s="194" customFormat="1" x14ac:dyDescent="0.2">
      <c r="A34" s="195" t="str">
        <f>Portafolio_Cadena_Maíz!D111</f>
        <v>8.2. Fortalecimiento del talento humano en I+D+i, y en extensionismo agrícola e industrial.</v>
      </c>
      <c r="B34" s="53">
        <f>'P8'!E9</f>
        <v>631058574.5</v>
      </c>
      <c r="C34" s="53">
        <f>'P8'!F9</f>
        <v>2524234298</v>
      </c>
      <c r="D34" s="53">
        <f>'P8'!G9</f>
        <v>2524234298</v>
      </c>
      <c r="E34" s="53">
        <f>'P8'!H9</f>
        <v>1893175723.5</v>
      </c>
      <c r="F34" s="53" t="str">
        <f>'P8'!I9</f>
        <v>Por definir</v>
      </c>
      <c r="G34" s="53" t="str">
        <f>'P8'!J9</f>
        <v>Por definir</v>
      </c>
      <c r="H34" s="53">
        <f>'P8'!K9</f>
        <v>2524234298</v>
      </c>
      <c r="I34" s="53" t="str">
        <f>'P8'!L9</f>
        <v>Por definir</v>
      </c>
      <c r="J34" s="53" t="str">
        <f>'P8'!M9</f>
        <v>Por definir</v>
      </c>
      <c r="K34" s="53">
        <f>'P8'!N9</f>
        <v>2524234298</v>
      </c>
      <c r="L34" s="53" t="str">
        <f>'P8'!O9</f>
        <v>Por definir</v>
      </c>
      <c r="M34" s="53" t="str">
        <f>'P8'!P9</f>
        <v>Por definir</v>
      </c>
      <c r="N34" s="53">
        <f>'P8'!Q9</f>
        <v>2524234298</v>
      </c>
      <c r="O34" s="53" t="str">
        <f>'P8'!R9</f>
        <v>Por definir</v>
      </c>
      <c r="P34" s="53" t="str">
        <f>'P8'!S9</f>
        <v>Por definir</v>
      </c>
      <c r="Q34" s="53">
        <f>'P8'!T9</f>
        <v>2524234298</v>
      </c>
      <c r="R34" s="53" t="str">
        <f>'P8'!U9</f>
        <v>Por definir</v>
      </c>
      <c r="S34" s="53" t="str">
        <f>'P8'!V9</f>
        <v>Por definir</v>
      </c>
      <c r="T34" s="53">
        <f>'P8'!W9</f>
        <v>2524234298</v>
      </c>
      <c r="U34" s="53" t="str">
        <f>'P8'!X9</f>
        <v>Por definir</v>
      </c>
      <c r="V34" s="53">
        <f>'P8'!Y9</f>
        <v>20193874384</v>
      </c>
      <c r="W34" s="205">
        <f t="shared" si="1"/>
        <v>5.0144273400178361E-3</v>
      </c>
    </row>
    <row r="35" spans="1:23" s="194" customFormat="1" ht="15" x14ac:dyDescent="0.2">
      <c r="A35" s="193" t="str">
        <f>Portafolio_Cadena_Maíz!C118</f>
        <v>9. Fortalecimiento de la gestión institucional de la cadena de maíz</v>
      </c>
      <c r="B35" s="159">
        <f>'P9'!E7</f>
        <v>2881306180</v>
      </c>
      <c r="C35" s="159">
        <f>'P9'!F7</f>
        <v>2504495959.75</v>
      </c>
      <c r="D35" s="159">
        <f>'P9'!G7</f>
        <v>675685534</v>
      </c>
      <c r="E35" s="159">
        <f>'P9'!H7</f>
        <v>0</v>
      </c>
      <c r="F35" s="159">
        <f>'P9'!I7</f>
        <v>0</v>
      </c>
      <c r="G35" s="159">
        <f>'P9'!J7</f>
        <v>1547336232.75</v>
      </c>
      <c r="H35" s="159">
        <f>'P9'!K7</f>
        <v>0</v>
      </c>
      <c r="I35" s="159">
        <f>'P9'!L7</f>
        <v>0</v>
      </c>
      <c r="J35" s="159">
        <f>'P9'!M7</f>
        <v>0</v>
      </c>
      <c r="K35" s="159">
        <f>'P9'!N7</f>
        <v>652978695.75</v>
      </c>
      <c r="L35" s="159">
        <f>'P9'!O7</f>
        <v>894357537</v>
      </c>
      <c r="M35" s="159">
        <f>'P9'!P7</f>
        <v>0</v>
      </c>
      <c r="N35" s="159">
        <f>'P9'!Q7</f>
        <v>0</v>
      </c>
      <c r="O35" s="159">
        <f>'P9'!R7</f>
        <v>0</v>
      </c>
      <c r="P35" s="159">
        <f>'P9'!S7</f>
        <v>652978695.75</v>
      </c>
      <c r="Q35" s="159">
        <f>'P9'!T7</f>
        <v>894357537</v>
      </c>
      <c r="R35" s="159">
        <f>'P9'!U7</f>
        <v>0</v>
      </c>
      <c r="S35" s="159">
        <f>'P9'!V7</f>
        <v>0</v>
      </c>
      <c r="T35" s="159">
        <f>'P9'!W7</f>
        <v>0</v>
      </c>
      <c r="U35" s="159">
        <f>'P9'!X7</f>
        <v>982697615.75</v>
      </c>
      <c r="V35" s="159">
        <f>'P9'!Y7</f>
        <v>11686193987.75</v>
      </c>
      <c r="W35" s="298">
        <f t="shared" si="1"/>
        <v>2.9018488239857154E-3</v>
      </c>
    </row>
    <row r="36" spans="1:23" s="194" customFormat="1" x14ac:dyDescent="0.2">
      <c r="A36" s="195" t="str">
        <f>Portafolio_Cadena_Maíz!D118</f>
        <v>9.1. Fortalecimiento del Sistema de Inspección, Vigilancia y Control para la cadena de maíz.</v>
      </c>
      <c r="B36" s="53">
        <f>'P9'!E8</f>
        <v>881873797.5</v>
      </c>
      <c r="C36" s="53">
        <f>'P9'!F8</f>
        <v>1175831730</v>
      </c>
      <c r="D36" s="53" t="str">
        <f>'P9'!G8</f>
        <v xml:space="preserve">Por definir </v>
      </c>
      <c r="E36" s="53" t="str">
        <f>'P9'!H8</f>
        <v xml:space="preserve">Por definir </v>
      </c>
      <c r="F36" s="53" t="str">
        <f>'P9'!I8</f>
        <v xml:space="preserve">Por definir </v>
      </c>
      <c r="G36" s="53" t="str">
        <f>'P9'!J8</f>
        <v xml:space="preserve">Por definir </v>
      </c>
      <c r="H36" s="53" t="str">
        <f>'P9'!K8</f>
        <v xml:space="preserve">Por definir </v>
      </c>
      <c r="I36" s="53" t="str">
        <f>'P9'!L8</f>
        <v xml:space="preserve">Por definir </v>
      </c>
      <c r="J36" s="53" t="str">
        <f>'P9'!M8</f>
        <v xml:space="preserve">Por definir </v>
      </c>
      <c r="K36" s="53" t="str">
        <f>'P9'!N8</f>
        <v xml:space="preserve">Por definir </v>
      </c>
      <c r="L36" s="53" t="str">
        <f>'P9'!O8</f>
        <v xml:space="preserve">Por definir </v>
      </c>
      <c r="M36" s="53" t="str">
        <f>'P9'!P8</f>
        <v xml:space="preserve">Por definir </v>
      </c>
      <c r="N36" s="53" t="str">
        <f>'P9'!Q8</f>
        <v xml:space="preserve">Por definir </v>
      </c>
      <c r="O36" s="53" t="str">
        <f>'P9'!R8</f>
        <v xml:space="preserve">Por definir </v>
      </c>
      <c r="P36" s="53" t="str">
        <f>'P9'!S8</f>
        <v xml:space="preserve">Por definir </v>
      </c>
      <c r="Q36" s="53" t="str">
        <f>'P9'!T8</f>
        <v xml:space="preserve">Por definir </v>
      </c>
      <c r="R36" s="53" t="str">
        <f>'P9'!U8</f>
        <v xml:space="preserve">Por definir </v>
      </c>
      <c r="S36" s="53" t="str">
        <f>'P9'!V8</f>
        <v xml:space="preserve">Por definir </v>
      </c>
      <c r="T36" s="53" t="str">
        <f>'P9'!W8</f>
        <v xml:space="preserve">Por definir </v>
      </c>
      <c r="U36" s="53" t="str">
        <f>'P9'!X8</f>
        <v xml:space="preserve">Por definir </v>
      </c>
      <c r="V36" s="53">
        <f>'P9'!Y8</f>
        <v>2057705527.5</v>
      </c>
      <c r="W36" s="205">
        <f>V36/V42</f>
        <v>5.1095766263541511E-4</v>
      </c>
    </row>
    <row r="37" spans="1:23" s="194" customFormat="1" ht="28.5" x14ac:dyDescent="0.2">
      <c r="A37" s="195" t="str">
        <f>Portafolio_Cadena_Maíz!D126</f>
        <v>9.2. Diseño y mejora de los instrumentos de financiamiento, comercialización, gestión de riesgos y empresarización para la cadena de maíz.</v>
      </c>
      <c r="B37" s="53">
        <f>'P9'!E9</f>
        <v>247289190</v>
      </c>
      <c r="C37" s="53" t="str">
        <f>'P9'!F9</f>
        <v>Por definir</v>
      </c>
      <c r="D37" s="53" t="str">
        <f>'P9'!G9</f>
        <v xml:space="preserve">Por definir </v>
      </c>
      <c r="E37" s="53" t="str">
        <f>'P9'!H9</f>
        <v xml:space="preserve">Por definir </v>
      </c>
      <c r="F37" s="53" t="str">
        <f>'P9'!I9</f>
        <v xml:space="preserve">Por definir </v>
      </c>
      <c r="G37" s="53">
        <f>'P9'!J9</f>
        <v>329718920</v>
      </c>
      <c r="H37" s="53">
        <f>'P9'!K9</f>
        <v>0</v>
      </c>
      <c r="I37" s="53">
        <f>'P9'!L9</f>
        <v>0</v>
      </c>
      <c r="J37" s="53">
        <f>'P9'!M9</f>
        <v>0</v>
      </c>
      <c r="K37" s="53">
        <f>'P9'!N9</f>
        <v>0</v>
      </c>
      <c r="L37" s="53">
        <f>'P9'!O9</f>
        <v>329718920</v>
      </c>
      <c r="M37" s="53">
        <f>'P9'!P9</f>
        <v>0</v>
      </c>
      <c r="N37" s="53">
        <f>'P9'!Q9</f>
        <v>0</v>
      </c>
      <c r="O37" s="53">
        <f>'P9'!R9</f>
        <v>0</v>
      </c>
      <c r="P37" s="53">
        <f>'P9'!S9</f>
        <v>0</v>
      </c>
      <c r="Q37" s="53">
        <f>'P9'!T9</f>
        <v>329718920</v>
      </c>
      <c r="R37" s="53">
        <f>'P9'!U9</f>
        <v>0</v>
      </c>
      <c r="S37" s="53">
        <f>'P9'!V9</f>
        <v>0</v>
      </c>
      <c r="T37" s="53">
        <f>'P9'!W9</f>
        <v>0</v>
      </c>
      <c r="U37" s="53">
        <f>'P9'!X9</f>
        <v>329718920</v>
      </c>
      <c r="V37" s="53">
        <f>'P9'!Y9</f>
        <v>1566164870</v>
      </c>
      <c r="W37" s="205">
        <f>V37/V42</f>
        <v>3.8890109910388957E-4</v>
      </c>
    </row>
    <row r="38" spans="1:23" s="194" customFormat="1" ht="28.5" x14ac:dyDescent="0.2">
      <c r="A38" s="195" t="str">
        <f>Portafolio_Cadena_Maíz!D134</f>
        <v>9.3. Fortalecimiento de mecanismos institucionales para el impulso a las inversiones en producción de maíz a mediana y gran escala.</v>
      </c>
      <c r="B38" s="53">
        <f>'P9'!E10</f>
        <v>652978695.75</v>
      </c>
      <c r="C38" s="53">
        <f>'P9'!F10</f>
        <v>652978695.75</v>
      </c>
      <c r="D38" s="53" t="str">
        <f>'P9'!G10</f>
        <v xml:space="preserve">Por definir </v>
      </c>
      <c r="E38" s="53" t="str">
        <f>'P9'!H10</f>
        <v xml:space="preserve">Por definir </v>
      </c>
      <c r="F38" s="53" t="str">
        <f>'P9'!I10</f>
        <v>Por definir</v>
      </c>
      <c r="G38" s="53">
        <f>'P9'!J10</f>
        <v>652978695.75</v>
      </c>
      <c r="H38" s="53" t="str">
        <f>'P9'!K10</f>
        <v xml:space="preserve">Por definir </v>
      </c>
      <c r="I38" s="53" t="str">
        <f>'P9'!L10</f>
        <v>Por definir</v>
      </c>
      <c r="J38" s="53" t="str">
        <f>'P9'!M10</f>
        <v xml:space="preserve">Por definir </v>
      </c>
      <c r="K38" s="53">
        <f>'P9'!N10</f>
        <v>652978695.75</v>
      </c>
      <c r="L38" s="53" t="str">
        <f>'P9'!O10</f>
        <v xml:space="preserve">Por definir </v>
      </c>
      <c r="M38" s="53" t="str">
        <f>'P9'!P10</f>
        <v xml:space="preserve">Por definir </v>
      </c>
      <c r="N38" s="53" t="str">
        <f>'P9'!Q10</f>
        <v xml:space="preserve">Por definir </v>
      </c>
      <c r="O38" s="53" t="str">
        <f>'P9'!R10</f>
        <v>Por definir</v>
      </c>
      <c r="P38" s="53">
        <f>'P9'!S10</f>
        <v>652978695.75</v>
      </c>
      <c r="Q38" s="53" t="str">
        <f>'P9'!T10</f>
        <v xml:space="preserve">Por definir </v>
      </c>
      <c r="R38" s="53" t="str">
        <f>'P9'!U10</f>
        <v>Por definir</v>
      </c>
      <c r="S38" s="53" t="str">
        <f>'P9'!V10</f>
        <v xml:space="preserve">Por definir </v>
      </c>
      <c r="T38" s="53" t="str">
        <f>'P9'!W10</f>
        <v xml:space="preserve">Por definir </v>
      </c>
      <c r="U38" s="53">
        <f>'P9'!X10</f>
        <v>652978695.75</v>
      </c>
      <c r="V38" s="53">
        <f>'P9'!Y10</f>
        <v>3917872174.5</v>
      </c>
      <c r="W38" s="205"/>
    </row>
    <row r="39" spans="1:23" s="194" customFormat="1" x14ac:dyDescent="0.2">
      <c r="A39" s="195" t="str">
        <f>Portafolio_Cadena_Maíz!D141</f>
        <v>9.4. Diseño y operación del Sistema nacional de Información para la cadena de maíz.</v>
      </c>
      <c r="B39" s="53">
        <f>'P9'!E11</f>
        <v>423478962.75</v>
      </c>
      <c r="C39" s="53" t="str">
        <f>'P9'!F11</f>
        <v>Por definir</v>
      </c>
      <c r="D39" s="53" t="str">
        <f>'P9'!G11</f>
        <v xml:space="preserve">Por definir </v>
      </c>
      <c r="E39" s="53" t="str">
        <f>'P9'!H11</f>
        <v xml:space="preserve">Por definir </v>
      </c>
      <c r="F39" s="53" t="str">
        <f>'P9'!I11</f>
        <v>Por definir</v>
      </c>
      <c r="G39" s="53">
        <f>'P9'!J11</f>
        <v>564638617</v>
      </c>
      <c r="H39" s="53" t="str">
        <f>'P9'!K11</f>
        <v xml:space="preserve">Por definir </v>
      </c>
      <c r="I39" s="53" t="str">
        <f>'P9'!L11</f>
        <v>Por definir</v>
      </c>
      <c r="J39" s="53" t="str">
        <f>'P9'!M11</f>
        <v xml:space="preserve">Por definir </v>
      </c>
      <c r="K39" s="53" t="str">
        <f>'P9'!N11</f>
        <v xml:space="preserve">Por definir </v>
      </c>
      <c r="L39" s="53">
        <f>'P9'!O11</f>
        <v>564638617</v>
      </c>
      <c r="M39" s="53" t="str">
        <f>'P9'!P11</f>
        <v xml:space="preserve">Por definir </v>
      </c>
      <c r="N39" s="53" t="str">
        <f>'P9'!Q11</f>
        <v xml:space="preserve">Por definir </v>
      </c>
      <c r="O39" s="53" t="str">
        <f>'P9'!R11</f>
        <v>Por definir</v>
      </c>
      <c r="P39" s="53" t="str">
        <f>'P9'!S11</f>
        <v xml:space="preserve">Por definir </v>
      </c>
      <c r="Q39" s="53">
        <f>'P9'!T11</f>
        <v>564638617</v>
      </c>
      <c r="R39" s="53" t="str">
        <f>'P9'!U11</f>
        <v>Por definir</v>
      </c>
      <c r="S39" s="53" t="str">
        <f>'P9'!V11</f>
        <v xml:space="preserve">Por definir </v>
      </c>
      <c r="T39" s="53" t="str">
        <f>'P9'!W11</f>
        <v xml:space="preserve">Por definir </v>
      </c>
      <c r="U39" s="53" t="str">
        <f>'P9'!X11</f>
        <v xml:space="preserve">Por definir </v>
      </c>
      <c r="V39" s="53">
        <f>'P9'!Y11</f>
        <v>2117394813.75</v>
      </c>
      <c r="W39" s="205">
        <f>V39/V42</f>
        <v>5.2577936466181277E-4</v>
      </c>
    </row>
    <row r="40" spans="1:23" s="194" customFormat="1" x14ac:dyDescent="0.2">
      <c r="A40" s="197" t="str">
        <f>Portafolio_Cadena_Maíz!D145</f>
        <v>9.5. Constitución y fortalecimiento de la Organización de Cadena de maíz.</v>
      </c>
      <c r="B40" s="53">
        <f>'P9'!E12</f>
        <v>320314491</v>
      </c>
      <c r="C40" s="53">
        <f>'P9'!F12</f>
        <v>320314491</v>
      </c>
      <c r="D40" s="53">
        <f>'P9'!G12</f>
        <v>320314491</v>
      </c>
      <c r="E40" s="53" t="str">
        <f>'P9'!H12</f>
        <v xml:space="preserve">Por definir </v>
      </c>
      <c r="F40" s="53" t="str">
        <f>'P9'!I12</f>
        <v xml:space="preserve">Por definir </v>
      </c>
      <c r="G40" s="53" t="str">
        <f>'P9'!J12</f>
        <v xml:space="preserve">Por definir </v>
      </c>
      <c r="H40" s="53" t="str">
        <f>'P9'!K12</f>
        <v xml:space="preserve">Por definir </v>
      </c>
      <c r="I40" s="53" t="str">
        <f>'P9'!L12</f>
        <v xml:space="preserve">Por definir </v>
      </c>
      <c r="J40" s="53" t="str">
        <f>'P9'!M12</f>
        <v xml:space="preserve">Por definir </v>
      </c>
      <c r="K40" s="53" t="str">
        <f>'P9'!N12</f>
        <v xml:space="preserve">Por definir </v>
      </c>
      <c r="L40" s="53" t="str">
        <f>'P9'!O12</f>
        <v xml:space="preserve">Por definir </v>
      </c>
      <c r="M40" s="53" t="str">
        <f>'P9'!P12</f>
        <v xml:space="preserve">Por definir </v>
      </c>
      <c r="N40" s="53" t="str">
        <f>'P9'!Q12</f>
        <v xml:space="preserve">Por definir </v>
      </c>
      <c r="O40" s="53" t="str">
        <f>'P9'!R12</f>
        <v xml:space="preserve">Por definir </v>
      </c>
      <c r="P40" s="53" t="str">
        <f>'P9'!S12</f>
        <v xml:space="preserve">Por definir </v>
      </c>
      <c r="Q40" s="53" t="str">
        <f>'P9'!T12</f>
        <v xml:space="preserve">Por definir </v>
      </c>
      <c r="R40" s="53" t="str">
        <f>'P9'!U12</f>
        <v xml:space="preserve">Por definir </v>
      </c>
      <c r="S40" s="53" t="str">
        <f>'P9'!V12</f>
        <v xml:space="preserve">Por definir </v>
      </c>
      <c r="T40" s="53" t="str">
        <f>'P9'!W12</f>
        <v xml:space="preserve">Por definir </v>
      </c>
      <c r="U40" s="53" t="str">
        <f>'P9'!X12</f>
        <v xml:space="preserve">Por definir </v>
      </c>
      <c r="V40" s="53">
        <f>'P9'!Y12</f>
        <v>960943473</v>
      </c>
      <c r="W40" s="205">
        <f>V40/V42</f>
        <v>2.3861598480778644E-4</v>
      </c>
    </row>
    <row r="41" spans="1:23" s="194" customFormat="1" x14ac:dyDescent="0.2">
      <c r="A41" s="197" t="str">
        <f>Portafolio_Cadena_Maíz!D150</f>
        <v>9.6. Adopción, promoción y monitoreo de la política pública para la cadena de maíz.</v>
      </c>
      <c r="B41" s="53">
        <f>'P9'!E13</f>
        <v>355371043</v>
      </c>
      <c r="C41" s="53">
        <f>'P9'!F13</f>
        <v>355371043</v>
      </c>
      <c r="D41" s="53">
        <f>'P9'!G13</f>
        <v>355371043</v>
      </c>
      <c r="E41" s="53" t="str">
        <f>'P9'!H13</f>
        <v xml:space="preserve">Por definir </v>
      </c>
      <c r="F41" s="53" t="str">
        <f>'P9'!I13</f>
        <v xml:space="preserve">Por definir </v>
      </c>
      <c r="G41" s="53" t="str">
        <f>'P9'!J13</f>
        <v xml:space="preserve">Por definir </v>
      </c>
      <c r="H41" s="53" t="str">
        <f>'P9'!K13</f>
        <v xml:space="preserve">Por definir </v>
      </c>
      <c r="I41" s="53" t="str">
        <f>'P9'!L13</f>
        <v xml:space="preserve">Por definir </v>
      </c>
      <c r="J41" s="53" t="str">
        <f>'P9'!M13</f>
        <v xml:space="preserve">Por definir </v>
      </c>
      <c r="K41" s="53" t="str">
        <f>'P9'!N13</f>
        <v xml:space="preserve">Por definir </v>
      </c>
      <c r="L41" s="53" t="str">
        <f>'P9'!O13</f>
        <v xml:space="preserve">Por definir </v>
      </c>
      <c r="M41" s="53" t="str">
        <f>'P9'!P13</f>
        <v xml:space="preserve">Por definir </v>
      </c>
      <c r="N41" s="53" t="str">
        <f>'P9'!Q13</f>
        <v xml:space="preserve">Por definir </v>
      </c>
      <c r="O41" s="53" t="str">
        <f>'P9'!R13</f>
        <v xml:space="preserve">Por definir </v>
      </c>
      <c r="P41" s="53" t="str">
        <f>'P9'!S13</f>
        <v xml:space="preserve">Por definir </v>
      </c>
      <c r="Q41" s="53" t="str">
        <f>'P9'!T13</f>
        <v xml:space="preserve">Por definir </v>
      </c>
      <c r="R41" s="53" t="str">
        <f>'P9'!U13</f>
        <v xml:space="preserve">Por definir </v>
      </c>
      <c r="S41" s="53" t="str">
        <f>'P9'!V13</f>
        <v xml:space="preserve">Por definir </v>
      </c>
      <c r="T41" s="53" t="str">
        <f>'P9'!W13</f>
        <v xml:space="preserve">Por definir </v>
      </c>
      <c r="U41" s="53" t="str">
        <f>'P9'!X13</f>
        <v xml:space="preserve">Por definir </v>
      </c>
      <c r="V41" s="53">
        <f>'P9'!Y13</f>
        <v>1066113129</v>
      </c>
      <c r="W41" s="205">
        <f>V41/V42</f>
        <v>2.6473111201708082E-4</v>
      </c>
    </row>
    <row r="42" spans="1:23" s="199" customFormat="1" ht="15.75" x14ac:dyDescent="0.2">
      <c r="A42" s="198" t="s">
        <v>263</v>
      </c>
      <c r="B42" s="161">
        <f t="shared" ref="B42:W42" si="2">B6+B9+B13+B19+B22+B24+B29+B32+B35</f>
        <v>13307810191.508999</v>
      </c>
      <c r="C42" s="161">
        <f t="shared" si="2"/>
        <v>157754973417.79254</v>
      </c>
      <c r="D42" s="161">
        <f t="shared" si="2"/>
        <v>174377239671.95856</v>
      </c>
      <c r="E42" s="161">
        <f t="shared" si="2"/>
        <v>191705670454.97589</v>
      </c>
      <c r="F42" s="161">
        <f t="shared" si="2"/>
        <v>213529779279.4216</v>
      </c>
      <c r="G42" s="161">
        <f t="shared" si="2"/>
        <v>241050660429.13171</v>
      </c>
      <c r="H42" s="161">
        <f t="shared" si="2"/>
        <v>289317330650.94147</v>
      </c>
      <c r="I42" s="161">
        <f t="shared" si="2"/>
        <v>325619067285.35193</v>
      </c>
      <c r="J42" s="161">
        <f t="shared" si="2"/>
        <v>384324641115.51709</v>
      </c>
      <c r="K42" s="161">
        <f t="shared" si="2"/>
        <v>461135926641.57825</v>
      </c>
      <c r="L42" s="161">
        <f t="shared" si="2"/>
        <v>384322339045.93176</v>
      </c>
      <c r="M42" s="161">
        <f t="shared" si="2"/>
        <v>232503373153.28323</v>
      </c>
      <c r="N42" s="161">
        <f t="shared" si="2"/>
        <v>198468451466.80374</v>
      </c>
      <c r="O42" s="161">
        <f t="shared" si="2"/>
        <v>162027801921.07629</v>
      </c>
      <c r="P42" s="161">
        <f t="shared" si="2"/>
        <v>138173777995.78802</v>
      </c>
      <c r="Q42" s="161">
        <f t="shared" si="2"/>
        <v>122587815882.49734</v>
      </c>
      <c r="R42" s="161">
        <f t="shared" si="2"/>
        <v>99648003543.022568</v>
      </c>
      <c r="S42" s="161">
        <f t="shared" si="2"/>
        <v>87124376650.946915</v>
      </c>
      <c r="T42" s="161">
        <f t="shared" si="2"/>
        <v>82778625284.140274</v>
      </c>
      <c r="U42" s="161">
        <f t="shared" si="2"/>
        <v>67396986827.715744</v>
      </c>
      <c r="V42" s="161">
        <f t="shared" si="2"/>
        <v>4027154650909.3838</v>
      </c>
      <c r="W42" s="299">
        <f t="shared" si="2"/>
        <v>0.99999999999999989</v>
      </c>
    </row>
    <row r="43" spans="1:23" s="160" customFormat="1" x14ac:dyDescent="0.2">
      <c r="W43" s="300"/>
    </row>
  </sheetData>
  <sheetProtection algorithmName="SHA-512" hashValue="t/WVklg2V4PJPYu5Z6SxJIzrz3kgzMsS5csOKn7uexZtwjQKZWfJH7BZT8HmUzke6BSmXdMjcothg5Q+wc4tkA==" saltValue="l1/V+BwaGHK2gP6XaqDFAw==" spinCount="100000" sheet="1" objects="1" scenarios="1"/>
  <mergeCells count="2">
    <mergeCell ref="A1:W1"/>
    <mergeCell ref="A2:W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zoomScale="80" zoomScaleNormal="80" workbookViewId="0">
      <selection sqref="A1:E1"/>
    </sheetView>
  </sheetViews>
  <sheetFormatPr baseColWidth="10" defaultColWidth="10.85546875" defaultRowHeight="14.25" x14ac:dyDescent="0.25"/>
  <cols>
    <col min="1" max="1" width="100.42578125" style="185" customWidth="1"/>
    <col min="2" max="2" width="23.85546875" style="185" customWidth="1"/>
    <col min="3" max="5" width="21.5703125" style="185" customWidth="1"/>
    <col min="6" max="16384" width="10.85546875" style="185"/>
  </cols>
  <sheetData>
    <row r="1" spans="1:7" ht="18.600000000000001" customHeight="1" x14ac:dyDescent="0.25">
      <c r="A1" s="849" t="s">
        <v>264</v>
      </c>
      <c r="B1" s="849"/>
      <c r="C1" s="849"/>
      <c r="D1" s="849"/>
      <c r="E1" s="849"/>
    </row>
    <row r="2" spans="1:7" ht="18" x14ac:dyDescent="0.25">
      <c r="A2" s="849" t="s">
        <v>332</v>
      </c>
      <c r="B2" s="849"/>
      <c r="C2" s="849"/>
      <c r="D2" s="849"/>
      <c r="E2" s="849"/>
    </row>
    <row r="3" spans="1:7" ht="18.75" x14ac:dyDescent="0.25">
      <c r="A3" s="736"/>
      <c r="B3" s="737"/>
      <c r="C3" s="737"/>
      <c r="D3" s="737"/>
      <c r="E3" s="737"/>
    </row>
    <row r="4" spans="1:7" ht="18.75" x14ac:dyDescent="0.25">
      <c r="A4" s="736"/>
      <c r="B4" s="737"/>
      <c r="C4" s="737"/>
      <c r="D4" s="737"/>
      <c r="E4" s="737"/>
    </row>
    <row r="5" spans="1:7" hidden="1" x14ac:dyDescent="0.25">
      <c r="B5" s="185">
        <v>1000000</v>
      </c>
    </row>
    <row r="6" spans="1:7" ht="36.75" customHeight="1" x14ac:dyDescent="0.25">
      <c r="A6" s="727" t="s">
        <v>262</v>
      </c>
      <c r="B6" s="727" t="s">
        <v>304</v>
      </c>
      <c r="C6" s="727" t="s">
        <v>306</v>
      </c>
      <c r="D6" s="727" t="s">
        <v>305</v>
      </c>
      <c r="E6" s="727" t="s">
        <v>24</v>
      </c>
    </row>
    <row r="7" spans="1:7" s="738" customFormat="1" ht="15" x14ac:dyDescent="0.25">
      <c r="A7" s="730" t="str">
        <f>'Estimación anualizada '!A6</f>
        <v>1. Incremento del consumo de maíz nacional.</v>
      </c>
      <c r="B7" s="731">
        <f>'Estimación anualizada '!V6/$B$5</f>
        <v>121882.81065498418</v>
      </c>
      <c r="C7" s="731">
        <f>SUM('Estimación anualizada '!B6:E6)/$B$5</f>
        <v>25381.331001357499</v>
      </c>
      <c r="D7" s="731">
        <f>SUM('Estimación anualizada '!F6:M6)/$B$5</f>
        <v>58721.376870026703</v>
      </c>
      <c r="E7" s="731">
        <f>SUM('Estimación anualizada '!N6:U6)/$B$5</f>
        <v>37780.102783599999</v>
      </c>
      <c r="F7" s="185"/>
      <c r="G7" s="185"/>
    </row>
    <row r="8" spans="1:7" s="738" customFormat="1" ht="27.75" customHeight="1" x14ac:dyDescent="0.25">
      <c r="A8" s="732" t="str">
        <f>'Estimación anualizada '!A7</f>
        <v>1.1. Aumento de la participación del maíz nacional en el mercado de consumo animal.</v>
      </c>
      <c r="B8" s="733">
        <f>'Estimación anualizada '!V7/$B$5</f>
        <v>70744.26371569671</v>
      </c>
      <c r="C8" s="733">
        <f>SUM('Estimación anualizada '!B7:E7)/$B$5</f>
        <v>16747.550349269997</v>
      </c>
      <c r="D8" s="733">
        <f>SUM('Estimación anualizada '!F7:M7)/$B$5</f>
        <v>37468.993726426714</v>
      </c>
      <c r="E8" s="733">
        <f>SUM('Estimación anualizada '!N7:U7)/$B$5</f>
        <v>16527.719639999999</v>
      </c>
      <c r="F8" s="185"/>
      <c r="G8" s="185"/>
    </row>
    <row r="9" spans="1:7" s="738" customFormat="1" ht="33.75" customHeight="1" x14ac:dyDescent="0.25">
      <c r="A9" s="732" t="str">
        <f>'Estimación anualizada '!A8</f>
        <v>1.2. Posicionamiento de la oferta del maíz nacional y sus derivados, para alimentación humana y otros usos.</v>
      </c>
      <c r="B9" s="733">
        <f>'Estimación anualizada '!V8/$B$5</f>
        <v>51138.54693928748</v>
      </c>
      <c r="C9" s="733">
        <f>SUM('Estimación anualizada '!B8:E8)/$B$5</f>
        <v>8633.7806520875001</v>
      </c>
      <c r="D9" s="733">
        <f>SUM('Estimación anualizada '!F8:M8)/$B$5</f>
        <v>21252.383143600004</v>
      </c>
      <c r="E9" s="733">
        <f>SUM('Estimación anualizada '!N8:U8)/$B$5</f>
        <v>21252.383143600004</v>
      </c>
      <c r="F9" s="185"/>
      <c r="G9" s="185"/>
    </row>
    <row r="10" spans="1:7" s="738" customFormat="1" ht="15" x14ac:dyDescent="0.25">
      <c r="A10" s="730" t="str">
        <f>'Estimación anualizada '!A9</f>
        <v>2. Mejoramiento productivo del cultivo de maíz.</v>
      </c>
      <c r="B10" s="731">
        <f>'Estimación anualizada '!V9/$B$5</f>
        <v>1389747.2401470947</v>
      </c>
      <c r="C10" s="731">
        <f>SUM('Estimación anualizada '!B9:E9)/$B$5</f>
        <v>187074.81527731335</v>
      </c>
      <c r="D10" s="731">
        <f>SUM('Estimación anualizada '!F9:M9)/$B$5</f>
        <v>963466.90650512325</v>
      </c>
      <c r="E10" s="731">
        <f>SUM('Estimación anualizada '!N9:U9)/$B$5</f>
        <v>239205.51836465823</v>
      </c>
      <c r="F10" s="185"/>
      <c r="G10" s="185"/>
    </row>
    <row r="11" spans="1:7" s="738" customFormat="1" ht="40.5" customHeight="1" x14ac:dyDescent="0.25">
      <c r="A11" s="732" t="str">
        <f>'Estimación anualizada '!A10</f>
        <v>2.1. Fortalecimiento de la extensión agrícola y asistencia técnica a los productores del sistema tradicional.</v>
      </c>
      <c r="B11" s="733">
        <f>'Estimación anualizada '!V10/$B$5</f>
        <v>82225.694130594784</v>
      </c>
      <c r="C11" s="733">
        <f>SUM('Estimación anualizada '!B10:E10)/$B$5</f>
        <v>16746.203588313332</v>
      </c>
      <c r="D11" s="733">
        <f>SUM('Estimación anualizada '!F10:M10)/$B$5</f>
        <v>36180.688560123228</v>
      </c>
      <c r="E11" s="733">
        <f>SUM('Estimación anualizada '!N10:U10)/$B$5</f>
        <v>29298.801982158227</v>
      </c>
      <c r="F11" s="185"/>
      <c r="G11" s="185"/>
    </row>
    <row r="12" spans="1:7" s="738" customFormat="1" ht="20.25" customHeight="1" x14ac:dyDescent="0.25">
      <c r="A12" s="732" t="str">
        <f>'Estimación anualizada '!A11</f>
        <v>2.2. Implementación efectiva de asistencia técnica profesional, en sistemas tecnificados de maíz.</v>
      </c>
      <c r="B12" s="733">
        <f>'Estimación anualizada '!V11/$B$5</f>
        <v>1300005.8144985</v>
      </c>
      <c r="C12" s="733">
        <f>SUM('Estimación anualizada '!B11:E11)/$B$5</f>
        <v>168901.57405900001</v>
      </c>
      <c r="D12" s="733">
        <f>SUM('Estimación anualizada '!F11:M11)/$B$5</f>
        <v>924241.87100100005</v>
      </c>
      <c r="E12" s="733">
        <f>SUM('Estimación anualizada '!N11:U11)/$B$5</f>
        <v>206862.3694385</v>
      </c>
      <c r="F12" s="185"/>
      <c r="G12" s="185"/>
    </row>
    <row r="13" spans="1:7" s="738" customFormat="1" ht="18" customHeight="1" x14ac:dyDescent="0.25">
      <c r="A13" s="732" t="str">
        <f>'Estimación anualizada '!A12</f>
        <v xml:space="preserve">2.3. Impulso a la producción de maíz a mediana y gran escala.  </v>
      </c>
      <c r="B13" s="733">
        <f>'Estimación anualizada '!V12/$B$5</f>
        <v>7515.7315179999996</v>
      </c>
      <c r="C13" s="733">
        <f>SUM('Estimación anualizada '!B12:E12)/$B$5</f>
        <v>1427.03763</v>
      </c>
      <c r="D13" s="733">
        <f>SUM('Estimación anualizada '!F12:M12)/$B$5</f>
        <v>3044.3469439999999</v>
      </c>
      <c r="E13" s="733">
        <f>SUM('Estimación anualizada '!N12:U12)/$B$5</f>
        <v>3044.3469439999999</v>
      </c>
      <c r="F13" s="185"/>
      <c r="G13" s="185"/>
    </row>
    <row r="14" spans="1:7" s="738" customFormat="1" ht="21" customHeight="1" x14ac:dyDescent="0.25">
      <c r="A14" s="730" t="str">
        <f>'Estimación anualizada '!A13</f>
        <v xml:space="preserve">3. Generación y consolidación de encadenamientos regionales para la cadena de maíz. </v>
      </c>
      <c r="B14" s="731">
        <f>'Estimación anualizada '!V13/$B$5</f>
        <v>2158210.4753019316</v>
      </c>
      <c r="C14" s="731">
        <f>SUM('Estimación anualizada '!B13:E13)/$B$5</f>
        <v>248651.00520812845</v>
      </c>
      <c r="D14" s="731">
        <f>SUM('Estimación anualizada '!F13:M13)/$B$5</f>
        <v>1347473.5863147532</v>
      </c>
      <c r="E14" s="731">
        <f>SUM('Estimación anualizada '!N13:U13)/$B$5</f>
        <v>562085.88377904985</v>
      </c>
      <c r="F14" s="185"/>
      <c r="G14" s="185"/>
    </row>
    <row r="15" spans="1:7" s="738" customFormat="1" ht="24" customHeight="1" x14ac:dyDescent="0.25">
      <c r="A15" s="732" t="str">
        <f>'Estimación anualizada '!A14</f>
        <v>3.1. Promoción y fortalecimiento de organizaciones de economía solidaria en la cadena de maíz.</v>
      </c>
      <c r="B15" s="733">
        <f>'Estimación anualizada '!V14/$B$5</f>
        <v>24061.173910000001</v>
      </c>
      <c r="C15" s="733">
        <f>SUM('Estimación anualizada '!B14:E14)/$B$5</f>
        <v>3112.60079</v>
      </c>
      <c r="D15" s="733">
        <f>SUM('Estimación anualizada '!F14:M14)/$B$5</f>
        <v>10286.78656</v>
      </c>
      <c r="E15" s="733">
        <f>SUM('Estimación anualizada '!N14:U14)/$B$5</f>
        <v>10661.78656</v>
      </c>
      <c r="F15" s="185"/>
      <c r="G15" s="185"/>
    </row>
    <row r="16" spans="1:7" s="738" customFormat="1" ht="18" customHeight="1" x14ac:dyDescent="0.25">
      <c r="A16" s="732" t="str">
        <f>'Estimación anualizada '!A15</f>
        <v>3.2. Promoción de la integración y las alianzas estratégicas regionales en la cadena de maíz.</v>
      </c>
      <c r="B16" s="733">
        <f>'Estimación anualizada '!V15/$B$5</f>
        <v>37997.628165499998</v>
      </c>
      <c r="C16" s="733">
        <f>SUM('Estimación anualizada '!B15:E15)/$B$5</f>
        <v>7870.9887294999999</v>
      </c>
      <c r="D16" s="733">
        <f>SUM('Estimación anualizada '!F15:M15)/$B$5</f>
        <v>15350.747836</v>
      </c>
      <c r="E16" s="733">
        <f>SUM('Estimación anualizada '!N15:U15)/$B$5</f>
        <v>14775.891600000001</v>
      </c>
      <c r="F16" s="185"/>
      <c r="G16" s="185"/>
    </row>
    <row r="17" spans="1:7" s="738" customFormat="1" ht="34.5" customHeight="1" x14ac:dyDescent="0.25">
      <c r="A17" s="732" t="str">
        <f>'Estimación anualizada '!A16</f>
        <v>3.3. Aumento de la capacidad instalada regional para el secamiento, almacenamiento, y procesamiento agroindustrial de maíz.</v>
      </c>
      <c r="B17" s="733">
        <f>'Estimación anualizada '!V16/$B$5</f>
        <v>2055072.6567460415</v>
      </c>
      <c r="C17" s="733">
        <f>SUM('Estimación anualizada '!B16:E16)/$B$5</f>
        <v>228186.32404905444</v>
      </c>
      <c r="D17" s="733">
        <f>SUM('Estimación anualizada '!F16:M16)/$B$5</f>
        <v>1302210.0997428971</v>
      </c>
      <c r="E17" s="733">
        <f>SUM('Estimación anualizada '!N16:U16)/$B$5</f>
        <v>524676.23295408976</v>
      </c>
      <c r="F17" s="185"/>
      <c r="G17" s="185"/>
    </row>
    <row r="18" spans="1:7" s="738" customFormat="1" ht="20.25" customHeight="1" x14ac:dyDescent="0.25">
      <c r="A18" s="732" t="str">
        <f>'Estimación anualizada '!A17</f>
        <v xml:space="preserve">3.4. Fortalecimiento de la oferta de insumos y servicios asociados a la cadena. </v>
      </c>
      <c r="B18" s="733">
        <f>'Estimación anualizada '!V17/$B$5</f>
        <v>30338.487270195987</v>
      </c>
      <c r="C18" s="733">
        <f>SUM('Estimación anualizada '!B17:E17)/$B$5</f>
        <v>7231.2304364040001</v>
      </c>
      <c r="D18" s="733">
        <f>SUM('Estimación anualizada '!F17:M17)/$B$5</f>
        <v>15301.422472832</v>
      </c>
      <c r="E18" s="733">
        <f>SUM('Estimación anualizada '!N17:U17)/$B$5</f>
        <v>7805.8343609599997</v>
      </c>
      <c r="F18" s="185"/>
      <c r="G18" s="185"/>
    </row>
    <row r="19" spans="1:7" s="738" customFormat="1" ht="20.25" customHeight="1" x14ac:dyDescent="0.25">
      <c r="A19" s="732" t="str">
        <f>'Estimación anualizada '!A18</f>
        <v>3.5. Mejora del entorno productivo para las grandes inversiones en las regiones maiceras.</v>
      </c>
      <c r="B19" s="733">
        <f>'Estimación anualizada '!V18/$B$5</f>
        <v>10740.529210193999</v>
      </c>
      <c r="C19" s="733">
        <f>SUM('Estimación anualizada '!B18:E18)/$B$5</f>
        <v>2249.86120317</v>
      </c>
      <c r="D19" s="733">
        <f>SUM('Estimación anualizada '!F18:M18)/$B$5</f>
        <v>4324.5297030239999</v>
      </c>
      <c r="E19" s="733">
        <f>SUM('Estimación anualizada '!N18:U18)/$B$5</f>
        <v>4166.1383040000001</v>
      </c>
      <c r="F19" s="185"/>
      <c r="G19" s="185"/>
    </row>
    <row r="20" spans="1:7" s="738" customFormat="1" ht="15" x14ac:dyDescent="0.25">
      <c r="A20" s="730" t="str">
        <f>'Estimación anualizada '!A19</f>
        <v xml:space="preserve">4. Mejora de la gestión del agua y del suelo en el cultivo de maíz. </v>
      </c>
      <c r="B20" s="731">
        <f>'Estimación anualizada '!V19/$B$5</f>
        <v>117563.78773325002</v>
      </c>
      <c r="C20" s="731">
        <f>SUM('Estimación anualizada '!B19:E19)/$B$5</f>
        <v>17261.472836355668</v>
      </c>
      <c r="D20" s="731">
        <f>SUM('Estimación anualizada '!F19:M19)/$B$5</f>
        <v>71732.408276035436</v>
      </c>
      <c r="E20" s="731">
        <f>SUM('Estimación anualizada '!N19:U19)/$B$5</f>
        <v>28569.90662085891</v>
      </c>
      <c r="F20" s="185"/>
      <c r="G20" s="185"/>
    </row>
    <row r="21" spans="1:7" s="738" customFormat="1" ht="21.75" customHeight="1" x14ac:dyDescent="0.25">
      <c r="A21" s="732" t="str">
        <f>'Estimación anualizada '!A20</f>
        <v>4.1. Contribución a la gestión del ordenamiento ambiental, fuera de la frontera agrícola.</v>
      </c>
      <c r="B21" s="733">
        <f>'Estimación anualizada '!V20/$B$5</f>
        <v>3089.5396350000001</v>
      </c>
      <c r="C21" s="733">
        <f>SUM('Estimación anualizada '!B20:E20)/$B$5</f>
        <v>2265.6623989999998</v>
      </c>
      <c r="D21" s="733">
        <f>SUM('Estimación anualizada '!F20:M20)/$B$5</f>
        <v>823.87723600000004</v>
      </c>
      <c r="E21" s="733">
        <f>SUM('Estimación anualizada '!N20:U20)/$B$5</f>
        <v>0</v>
      </c>
      <c r="F21" s="185"/>
      <c r="G21" s="185"/>
    </row>
    <row r="22" spans="1:7" s="738" customFormat="1" ht="22.5" customHeight="1" x14ac:dyDescent="0.25">
      <c r="A22" s="732" t="str">
        <f>'Estimación anualizada '!A21</f>
        <v>4.2. Promoción del manejo eficiente del suelo y del agua, en la producción de maíz.</v>
      </c>
      <c r="B22" s="733">
        <f>'Estimación anualizada '!V21/$B$5</f>
        <v>114474.24809825001</v>
      </c>
      <c r="C22" s="733">
        <f>SUM('Estimación anualizada '!B21:E21)/$B$5</f>
        <v>14995.810437355667</v>
      </c>
      <c r="D22" s="733">
        <f>SUM('Estimación anualizada '!F21:M21)/$B$5</f>
        <v>70908.531040035436</v>
      </c>
      <c r="E22" s="733">
        <f>SUM('Estimación anualizada '!N21:U21)/$B$5</f>
        <v>28569.90662085891</v>
      </c>
      <c r="F22" s="185"/>
      <c r="G22" s="185"/>
    </row>
    <row r="23" spans="1:7" s="738" customFormat="1" ht="22.5" customHeight="1" x14ac:dyDescent="0.25">
      <c r="A23" s="730" t="str">
        <f>'Estimación anualizada '!A22</f>
        <v>5. Fortalecimiento de la gestión ambiental en la cadena maicera.</v>
      </c>
      <c r="B23" s="731">
        <f>'Estimación anualizada '!V22/$B$5</f>
        <v>21593.230348064</v>
      </c>
      <c r="C23" s="731">
        <f>SUM('Estimación anualizada '!B22:E22)/$B$5</f>
        <v>8097.4613805240015</v>
      </c>
      <c r="D23" s="731">
        <f>SUM('Estimación anualizada '!F22:M22)/$B$5</f>
        <v>5398.307587016001</v>
      </c>
      <c r="E23" s="731">
        <f>SUM('Estimación anualizada '!N22:U22)/$B$5</f>
        <v>8097.4613805240015</v>
      </c>
      <c r="F23" s="185"/>
      <c r="G23" s="185"/>
    </row>
    <row r="24" spans="1:7" s="738" customFormat="1" ht="21" customHeight="1" x14ac:dyDescent="0.25">
      <c r="A24" s="732" t="str">
        <f>'Estimación anualizada '!A23</f>
        <v>5.1. Mejora del desempeño ambiental de la cadena de maíz.</v>
      </c>
      <c r="B24" s="733">
        <f>'Estimación anualizada '!V23/$B$5</f>
        <v>21593.230348064</v>
      </c>
      <c r="C24" s="733">
        <f>SUM('Estimación anualizada '!B23:E23)/$B$5</f>
        <v>8097.4613805240015</v>
      </c>
      <c r="D24" s="733">
        <f>SUM('Estimación anualizada '!F23:M23)/$B$5</f>
        <v>5398.307587016001</v>
      </c>
      <c r="E24" s="733">
        <f>SUM('Estimación anualizada '!N23:U23)/$B$5</f>
        <v>8097.4613805240015</v>
      </c>
      <c r="F24" s="185"/>
      <c r="G24" s="185"/>
    </row>
    <row r="25" spans="1:7" s="738" customFormat="1" ht="30" x14ac:dyDescent="0.25">
      <c r="A25" s="730" t="str">
        <f>'Estimación anualizada '!A24</f>
        <v xml:space="preserve">6. Contribución al mejoramiento en las condiciones de vida de la población vinculada a la cadena de maíz. </v>
      </c>
      <c r="B25" s="731">
        <f>'Estimación anualizada '!V24/$B$5</f>
        <v>126997.58260330002</v>
      </c>
      <c r="C25" s="731">
        <f>SUM('Estimación anualizada '!B24:E24)/$B$5</f>
        <v>22573.034495299999</v>
      </c>
      <c r="D25" s="731">
        <f>SUM('Estimación anualizada '!F24:M24)/$B$5</f>
        <v>53445.651407200006</v>
      </c>
      <c r="E25" s="731">
        <f>SUM('Estimación anualizada '!N24:U24)/$B$5</f>
        <v>50978.896700800004</v>
      </c>
      <c r="F25" s="185"/>
      <c r="G25" s="185"/>
    </row>
    <row r="26" spans="1:7" s="738" customFormat="1" ht="25.5" customHeight="1" x14ac:dyDescent="0.25">
      <c r="A26" s="732" t="str">
        <f>'Estimación anualizada '!A25</f>
        <v>6.1  Promoción de la atención de las necesidades básicas de los actores vinculados a la cadena.</v>
      </c>
      <c r="B26" s="733">
        <f>'Estimación anualizada '!V25/$B$5</f>
        <v>64607.271652000003</v>
      </c>
      <c r="C26" s="733">
        <f>SUM('Estimación anualizada '!B25:E25)/$B$5</f>
        <v>10907.721188</v>
      </c>
      <c r="D26" s="733">
        <f>SUM('Estimación anualizada '!F25:M25)/$B$5</f>
        <v>26849.775232</v>
      </c>
      <c r="E26" s="733">
        <f>SUM('Estimación anualizada '!N25:U25)/$B$5</f>
        <v>26849.775232</v>
      </c>
      <c r="F26" s="185"/>
      <c r="G26" s="185"/>
    </row>
    <row r="27" spans="1:7" s="738" customFormat="1" ht="25.5" customHeight="1" x14ac:dyDescent="0.25">
      <c r="A27" s="732" t="str">
        <f>'Estimación anualizada '!A26</f>
        <v>6.2. Contribución al incremento del nivel educativo de los actores vinculados a la cadena.</v>
      </c>
      <c r="B27" s="733">
        <f>'Estimación anualizada '!V26/$B$5</f>
        <v>13629.695771999999</v>
      </c>
      <c r="C27" s="733">
        <f>SUM('Estimación anualizada '!B26:E26)/$B$5</f>
        <v>2301.1174679999999</v>
      </c>
      <c r="D27" s="733">
        <f>SUM('Estimación anualizada '!F26:M26)/$B$5</f>
        <v>5664.2891520000003</v>
      </c>
      <c r="E27" s="733">
        <f>SUM('Estimación anualizada '!N26:U26)/$B$5</f>
        <v>5664.2891520000003</v>
      </c>
      <c r="F27" s="185"/>
      <c r="G27" s="185"/>
    </row>
    <row r="28" spans="1:7" s="738" customFormat="1" ht="39.75" customHeight="1" x14ac:dyDescent="0.25">
      <c r="A28" s="732" t="str">
        <f>'Estimación anualizada '!A27</f>
        <v>6.3. Promoción al  acceso en la seguridad social y mejora en las condiciones laborales a lo largo de la cadena</v>
      </c>
      <c r="B28" s="733">
        <f>'Estimación anualizada '!V27/$B$5</f>
        <v>45018.273391800009</v>
      </c>
      <c r="C28" s="733">
        <f>SUM('Estimación anualizada '!B27:E27)/$B$5</f>
        <v>8016.952795799999</v>
      </c>
      <c r="D28" s="733">
        <f>SUM('Estimación anualizada '!F27:M27)/$B$5</f>
        <v>19734.0376512</v>
      </c>
      <c r="E28" s="733">
        <f>SUM('Estimación anualizada '!N27:U27)/$B$5</f>
        <v>17267.282944799997</v>
      </c>
      <c r="F28" s="185"/>
      <c r="G28" s="185"/>
    </row>
    <row r="29" spans="1:7" s="738" customFormat="1" ht="34.5" customHeight="1" x14ac:dyDescent="0.25">
      <c r="A29" s="732" t="str">
        <f>'Estimación anualizada '!A28</f>
        <v>6.4. Contribución a la mejora de condiciones de conectividad vial y de servicios públicos, en las regiones maiceras.</v>
      </c>
      <c r="B29" s="733">
        <f>'Estimación anualizada '!V28/$B$5</f>
        <v>3742.3417875</v>
      </c>
      <c r="C29" s="733">
        <f>SUM('Estimación anualizada '!B28:E28)/$B$5</f>
        <v>1347.2430435000001</v>
      </c>
      <c r="D29" s="733">
        <f>SUM('Estimación anualizada '!F28:M28)/$B$5</f>
        <v>1197.5493719999999</v>
      </c>
      <c r="E29" s="733">
        <f>SUM('Estimación anualizada '!N28:U28)/$B$5</f>
        <v>1197.5493719999999</v>
      </c>
      <c r="F29" s="185"/>
      <c r="G29" s="185"/>
    </row>
    <row r="30" spans="1:7" s="738" customFormat="1" ht="15" x14ac:dyDescent="0.25">
      <c r="A30" s="730" t="str">
        <f>'Estimación anualizada '!A29</f>
        <v>7. Contribución al ordenamiento productivo y social de la propiedad.</v>
      </c>
      <c r="B30" s="731">
        <f>'Estimación anualizada '!V29/$B$5</f>
        <v>52239.074348499998</v>
      </c>
      <c r="C30" s="731">
        <f>SUM('Estimación anualizada '!B29:E29)/$B$5</f>
        <v>9284.7335165000004</v>
      </c>
      <c r="D30" s="731">
        <f>SUM('Estimación anualizada '!F29:M29)/$B$5</f>
        <v>21569.007632000001</v>
      </c>
      <c r="E30" s="731">
        <f>SUM('Estimación anualizada '!N29:U29)/$B$5</f>
        <v>21385.333200000001</v>
      </c>
      <c r="F30" s="185"/>
      <c r="G30" s="185"/>
    </row>
    <row r="31" spans="1:7" s="738" customFormat="1" ht="42" customHeight="1" x14ac:dyDescent="0.25">
      <c r="A31" s="732" t="str">
        <f>'Estimación anualizada '!A30</f>
        <v>7.1. Articulación con las políticas de ordenamiento productivo y social de la propiedad rural para el cultivo de maíz.</v>
      </c>
      <c r="B31" s="733">
        <f>'Estimación anualizada '!V30/$B$5</f>
        <v>14243.132557499999</v>
      </c>
      <c r="C31" s="733">
        <f>SUM('Estimación anualizada '!B30:E30)/$B$5</f>
        <v>2404.6847174999998</v>
      </c>
      <c r="D31" s="733">
        <f>SUM('Estimación anualizada '!F30:M30)/$B$5</f>
        <v>5919.2239200000004</v>
      </c>
      <c r="E31" s="733">
        <f>SUM('Estimación anualizada '!N30:U30)/$B$5</f>
        <v>5919.2239200000004</v>
      </c>
      <c r="F31" s="185"/>
      <c r="G31" s="185"/>
    </row>
    <row r="32" spans="1:7" s="738" customFormat="1" ht="32.25" customHeight="1" x14ac:dyDescent="0.25">
      <c r="A32" s="732" t="str">
        <f>'Estimación anualizada '!A31</f>
        <v xml:space="preserve">7.2  Fortalecimiento en el acceso y la seguridad jurídica de los predios e inversiones para el cultivo de maíz. </v>
      </c>
      <c r="B32" s="733">
        <f>'Estimación anualizada '!V31/$B$5</f>
        <v>37995.941790999997</v>
      </c>
      <c r="C32" s="733">
        <f>SUM('Estimación anualizada '!B31:E31)/$B$5</f>
        <v>6880.0487990000001</v>
      </c>
      <c r="D32" s="733">
        <f>SUM('Estimación anualizada '!F31:M31)/$B$5</f>
        <v>15649.783712</v>
      </c>
      <c r="E32" s="733">
        <f>SUM('Estimación anualizada '!N31:U31)/$B$5</f>
        <v>15466.109280000001</v>
      </c>
      <c r="F32" s="185"/>
      <c r="G32" s="185"/>
    </row>
    <row r="33" spans="1:7" s="738" customFormat="1" ht="15" x14ac:dyDescent="0.25">
      <c r="A33" s="730" t="str">
        <f>'Estimación anualizada '!A32</f>
        <v>8. Fortalecimiento del desarrollo tecnológico y la innovación en la cadena de maíz.</v>
      </c>
      <c r="B33" s="731">
        <f>'Estimación anualizada '!V32/$B$5</f>
        <v>27234.2557845095</v>
      </c>
      <c r="C33" s="731">
        <f>SUM('Estimación anualizada '!B32:E32)/$B$5</f>
        <v>12760.352347006999</v>
      </c>
      <c r="D33" s="731">
        <f>SUM('Estimación anualizada '!F32:M32)/$B$5</f>
        <v>6901.2005435025003</v>
      </c>
      <c r="E33" s="731">
        <f>SUM('Estimación anualizada '!N32:U32)/$B$5</f>
        <v>7572.702894</v>
      </c>
      <c r="F33" s="185"/>
      <c r="G33" s="185"/>
    </row>
    <row r="34" spans="1:7" s="738" customFormat="1" ht="24.75" customHeight="1" x14ac:dyDescent="0.25">
      <c r="A34" s="732" t="str">
        <f>'Estimación anualizada '!A33</f>
        <v>8.1. Fortalecimiento de los procesos I+D+i para la cadena de maíz y sus derivados.</v>
      </c>
      <c r="B34" s="733">
        <f>'Estimación anualizada '!V33/$B$5</f>
        <v>7040.3814005094991</v>
      </c>
      <c r="C34" s="733">
        <f>SUM('Estimación anualizada '!B33:E33)/$B$5</f>
        <v>5187.6494530070004</v>
      </c>
      <c r="D34" s="733">
        <f>SUM('Estimación anualizada '!F33:M33)/$B$5</f>
        <v>1852.7319475025001</v>
      </c>
      <c r="E34" s="733">
        <f>SUM('Estimación anualizada '!N33:U33)/$B$5</f>
        <v>0</v>
      </c>
      <c r="F34" s="185"/>
      <c r="G34" s="185"/>
    </row>
    <row r="35" spans="1:7" s="738" customFormat="1" ht="18.75" customHeight="1" x14ac:dyDescent="0.25">
      <c r="A35" s="732" t="str">
        <f>'Estimación anualizada '!A34</f>
        <v>8.2. Fortalecimiento del talento humano en I+D+i, y en extensionismo agrícola e industrial.</v>
      </c>
      <c r="B35" s="733">
        <f>'Estimación anualizada '!V34/$B$5</f>
        <v>20193.874383999999</v>
      </c>
      <c r="C35" s="733">
        <f>SUM('Estimación anualizada '!B34:E34)/$B$5</f>
        <v>7572.702894</v>
      </c>
      <c r="D35" s="733">
        <f>SUM('Estimación anualizada '!F34:M34)/$B$5</f>
        <v>5048.4685959999997</v>
      </c>
      <c r="E35" s="733">
        <f>SUM('Estimación anualizada '!N34:U34)/$B$5</f>
        <v>7572.702894</v>
      </c>
      <c r="F35" s="185"/>
      <c r="G35" s="185"/>
    </row>
    <row r="36" spans="1:7" s="738" customFormat="1" ht="15" x14ac:dyDescent="0.25">
      <c r="A36" s="730" t="str">
        <f>'Estimación anualizada '!A35</f>
        <v>9. Fortalecimiento de la gestión institucional de la cadena de maíz</v>
      </c>
      <c r="B36" s="731">
        <f>'Estimación anualizada '!V35/$B$5</f>
        <v>11686.193987750001</v>
      </c>
      <c r="C36" s="731">
        <f>SUM('Estimación anualizada '!B35:E35)/$B$5</f>
        <v>6061.4876737499999</v>
      </c>
      <c r="D36" s="731">
        <f>SUM('Estimación anualizada '!F35:M35)/$B$5</f>
        <v>3094.6724654999998</v>
      </c>
      <c r="E36" s="731">
        <f>SUM('Estimación anualizada '!N35:U35)/$B$5</f>
        <v>2530.0338485000002</v>
      </c>
      <c r="F36" s="185"/>
      <c r="G36" s="185"/>
    </row>
    <row r="37" spans="1:7" s="738" customFormat="1" ht="18.75" customHeight="1" x14ac:dyDescent="0.25">
      <c r="A37" s="732" t="str">
        <f>'Estimación anualizada '!A36</f>
        <v>9.1. Fortalecimiento del Sistema de Inspección, Vigilancia y Control para la cadena de maíz.</v>
      </c>
      <c r="B37" s="733">
        <f>'Estimación anualizada '!V36/$B$5</f>
        <v>2057.7055274999998</v>
      </c>
      <c r="C37" s="733">
        <f>SUM('Estimación anualizada '!B36:E36)/$B$5</f>
        <v>2057.7055274999998</v>
      </c>
      <c r="D37" s="733">
        <f>SUM('Estimación anualizada '!F36:M36)/$B$5</f>
        <v>0</v>
      </c>
      <c r="E37" s="733">
        <f>SUM('Estimación anualizada '!N36:U36)/$B$5</f>
        <v>0</v>
      </c>
      <c r="F37" s="185"/>
      <c r="G37" s="185"/>
    </row>
    <row r="38" spans="1:7" s="738" customFormat="1" ht="36" customHeight="1" x14ac:dyDescent="0.25">
      <c r="A38" s="732" t="str">
        <f>'Estimación anualizada '!A37</f>
        <v>9.2. Diseño y mejora de los instrumentos de financiamiento, comercialización, gestión de riesgos y empresarización para la cadena de maíz.</v>
      </c>
      <c r="B38" s="733">
        <f>'Estimación anualizada '!V37/$B$5</f>
        <v>1566.1648700000001</v>
      </c>
      <c r="C38" s="733">
        <f>SUM('Estimación anualizada '!B37:E37)/$B$5</f>
        <v>247.28918999999999</v>
      </c>
      <c r="D38" s="733">
        <f>SUM('Estimación anualizada '!F37:M37)/$B$5</f>
        <v>659.43784000000005</v>
      </c>
      <c r="E38" s="733">
        <f>SUM('Estimación anualizada '!N37:U37)/$B$5</f>
        <v>659.43784000000005</v>
      </c>
      <c r="F38" s="185"/>
      <c r="G38" s="185"/>
    </row>
    <row r="39" spans="1:7" s="738" customFormat="1" ht="39.75" customHeight="1" x14ac:dyDescent="0.25">
      <c r="A39" s="732" t="str">
        <f>'Estimación anualizada '!A38</f>
        <v>9.3. Fortalecimiento de mecanismos institucionales para el impulso a las inversiones en producción de maíz a mediana y gran escala.</v>
      </c>
      <c r="B39" s="733">
        <f>'Estimación anualizada '!V38/$B$5</f>
        <v>3917.8721744999998</v>
      </c>
      <c r="C39" s="733">
        <f>SUM('Estimación anualizada '!B38:E38)/$B$5</f>
        <v>1305.9573915000001</v>
      </c>
      <c r="D39" s="733">
        <f>SUM('Estimación anualizada '!F38:M38)/$B$5</f>
        <v>1305.9573915000001</v>
      </c>
      <c r="E39" s="733">
        <f>SUM('Estimación anualizada '!N38:U38)/$B$5</f>
        <v>1305.9573915000001</v>
      </c>
      <c r="F39" s="185"/>
      <c r="G39" s="185"/>
    </row>
    <row r="40" spans="1:7" s="738" customFormat="1" ht="18.75" customHeight="1" x14ac:dyDescent="0.25">
      <c r="A40" s="732" t="str">
        <f>'Estimación anualizada '!A39</f>
        <v>9.4. Diseño y operación del Sistema nacional de Información para la cadena de maíz.</v>
      </c>
      <c r="B40" s="733">
        <f>'Estimación anualizada '!V39/$B$5</f>
        <v>2117.3948137500001</v>
      </c>
      <c r="C40" s="733">
        <f>SUM('Estimación anualizada '!B39:E39)/$B$5</f>
        <v>423.47896274999999</v>
      </c>
      <c r="D40" s="733">
        <f>SUM('Estimación anualizada '!F39:M39)/$B$5</f>
        <v>1129.2772339999999</v>
      </c>
      <c r="E40" s="733">
        <f>SUM('Estimación anualizada '!N39:U39)/$B$5</f>
        <v>564.63861699999995</v>
      </c>
      <c r="F40" s="185"/>
      <c r="G40" s="185"/>
    </row>
    <row r="41" spans="1:7" s="738" customFormat="1" ht="16.5" customHeight="1" x14ac:dyDescent="0.25">
      <c r="A41" s="734" t="str">
        <f>'Estimación anualizada '!A40</f>
        <v>9.5. Constitución y fortalecimiento de la Organización de Cadena de maíz.</v>
      </c>
      <c r="B41" s="735">
        <f>'Estimación anualizada '!V40/$B$5</f>
        <v>960.94347300000004</v>
      </c>
      <c r="C41" s="735">
        <f>SUM('Estimación anualizada '!B40:E40)/$B$5</f>
        <v>960.94347300000004</v>
      </c>
      <c r="D41" s="735">
        <f>SUM('Estimación anualizada '!F40:M40)/$B$5</f>
        <v>0</v>
      </c>
      <c r="E41" s="735">
        <f>SUM('Estimación anualizada '!N40:U40)/$B$5</f>
        <v>0</v>
      </c>
      <c r="F41" s="185"/>
      <c r="G41" s="185"/>
    </row>
    <row r="42" spans="1:7" s="738" customFormat="1" ht="18" customHeight="1" x14ac:dyDescent="0.25">
      <c r="A42" s="734" t="str">
        <f>'Estimación anualizada '!A41</f>
        <v>9.6. Adopción, promoción y monitoreo de la política pública para la cadena de maíz.</v>
      </c>
      <c r="B42" s="735">
        <f>'Estimación anualizada '!V41/$B$5</f>
        <v>1066.1131290000001</v>
      </c>
      <c r="C42" s="735">
        <f>SUM('Estimación anualizada '!B41:E41)/$B$5</f>
        <v>1066.1131290000001</v>
      </c>
      <c r="D42" s="735">
        <f>SUM('Estimación anualizada '!F41:M41)/$B$5</f>
        <v>0</v>
      </c>
      <c r="E42" s="735">
        <f>SUM('Estimación anualizada '!N41:U41)/$B$5</f>
        <v>0</v>
      </c>
      <c r="F42" s="185"/>
      <c r="G42" s="185"/>
    </row>
    <row r="43" spans="1:7" s="739" customFormat="1" ht="15" x14ac:dyDescent="0.25">
      <c r="A43" s="726" t="s">
        <v>263</v>
      </c>
      <c r="B43" s="728">
        <f>'Estimación anualizada '!V42/$B$5</f>
        <v>4027154.6509093838</v>
      </c>
      <c r="C43" s="728">
        <f>SUM('Estimación anualizada '!B42:E42)/$B$5</f>
        <v>537145.69373623608</v>
      </c>
      <c r="D43" s="728">
        <f>SUM('Estimación anualizada '!F42:M42)/$B$5</f>
        <v>2531803.1176011567</v>
      </c>
      <c r="E43" s="728">
        <f>SUM('Estimación anualizada '!N42:U42)/$B$5</f>
        <v>958205.83957199089</v>
      </c>
      <c r="F43" s="185"/>
      <c r="G43" s="185"/>
    </row>
    <row r="44" spans="1:7" s="740" customFormat="1" ht="15" x14ac:dyDescent="0.25">
      <c r="C44" s="729">
        <f>C43/B43</f>
        <v>0.13338094518295732</v>
      </c>
      <c r="D44" s="729">
        <f>D43/B43</f>
        <v>0.6286828634776771</v>
      </c>
      <c r="E44" s="729">
        <f>E43/B43</f>
        <v>0.23793619133936553</v>
      </c>
      <c r="F44" s="185"/>
      <c r="G44" s="185"/>
    </row>
  </sheetData>
  <sheetProtection algorithmName="SHA-512" hashValue="QULjxDFd8HAGRyTu/E1AUNZMUNK6KLh/hTUZ2/o/5ZxXxX9kLw8A8KkpIkA9P6TpFFPR1pgNfFs3Fk/fajeT8A==" saltValue="MubYw2Aq0SgmkfkDiT44JA==" spinCount="100000" sheet="1" objects="1" scenarios="1"/>
  <mergeCells count="2">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zoomScale="70" zoomScaleNormal="70" workbookViewId="0">
      <selection sqref="A1:P1"/>
    </sheetView>
  </sheetViews>
  <sheetFormatPr baseColWidth="10" defaultColWidth="10.85546875" defaultRowHeight="14.25" x14ac:dyDescent="0.2"/>
  <cols>
    <col min="1" max="1" width="84.140625" style="338" customWidth="1"/>
    <col min="2" max="2" width="28.42578125" style="52" customWidth="1"/>
    <col min="3" max="3" width="10.42578125" style="52" customWidth="1"/>
    <col min="4" max="4" width="10.7109375" style="52" customWidth="1"/>
    <col min="5" max="5" width="16.7109375" style="52" customWidth="1"/>
    <col min="6" max="6" width="18.5703125" style="52" customWidth="1"/>
    <col min="7" max="7" width="16.85546875" style="52" customWidth="1"/>
    <col min="8" max="8" width="15.7109375" style="52" customWidth="1"/>
    <col min="9" max="9" width="25.5703125" style="52" customWidth="1"/>
    <col min="10" max="10" width="21.28515625" style="52" bestFit="1" customWidth="1"/>
    <col min="11" max="11" width="16.42578125" style="52" customWidth="1"/>
    <col min="12" max="12" width="17.85546875" style="52" customWidth="1"/>
    <col min="13" max="13" width="19.5703125" style="52" customWidth="1"/>
    <col min="14" max="14" width="15.7109375" style="52" customWidth="1"/>
    <col min="15" max="15" width="16.7109375" style="52" customWidth="1"/>
    <col min="16" max="16" width="23.28515625" style="52" customWidth="1"/>
    <col min="17" max="17" width="23.140625" style="52" bestFit="1" customWidth="1"/>
    <col min="18" max="16384" width="10.85546875" style="52"/>
  </cols>
  <sheetData>
    <row r="1" spans="1:17" ht="18.600000000000001" customHeight="1" x14ac:dyDescent="0.25">
      <c r="A1" s="847" t="s">
        <v>373</v>
      </c>
      <c r="B1" s="847"/>
      <c r="C1" s="847"/>
      <c r="D1" s="847"/>
      <c r="E1" s="847"/>
      <c r="F1" s="848"/>
      <c r="G1" s="848"/>
      <c r="H1" s="848"/>
      <c r="I1" s="848"/>
      <c r="J1" s="848"/>
      <c r="K1" s="848"/>
      <c r="L1" s="848"/>
      <c r="M1" s="848"/>
      <c r="N1" s="848"/>
      <c r="O1" s="848"/>
      <c r="P1" s="848"/>
    </row>
    <row r="2" spans="1:17" ht="18" customHeight="1" x14ac:dyDescent="0.25">
      <c r="A2" s="847" t="s">
        <v>374</v>
      </c>
      <c r="B2" s="847"/>
      <c r="C2" s="847"/>
      <c r="D2" s="847"/>
      <c r="E2" s="847"/>
      <c r="F2" s="848"/>
      <c r="G2" s="848"/>
      <c r="H2" s="848"/>
      <c r="I2" s="848"/>
      <c r="J2" s="848"/>
      <c r="K2" s="848"/>
      <c r="L2" s="848"/>
      <c r="M2" s="848"/>
      <c r="N2" s="848"/>
      <c r="O2" s="848"/>
      <c r="P2" s="848"/>
    </row>
    <row r="3" spans="1:17" ht="18.75" x14ac:dyDescent="0.3">
      <c r="A3" s="336"/>
      <c r="B3" s="684"/>
      <c r="C3" s="210"/>
      <c r="D3" s="210"/>
      <c r="E3" s="210"/>
    </row>
    <row r="5" spans="1:17" ht="69" customHeight="1" x14ac:dyDescent="0.2">
      <c r="A5" s="337" t="s">
        <v>262</v>
      </c>
      <c r="B5" s="685" t="s">
        <v>304</v>
      </c>
      <c r="C5" s="339" t="s">
        <v>359</v>
      </c>
      <c r="D5" s="341" t="s">
        <v>360</v>
      </c>
      <c r="E5" s="328" t="s">
        <v>361</v>
      </c>
      <c r="F5" s="339" t="s">
        <v>362</v>
      </c>
      <c r="G5" s="341" t="s">
        <v>363</v>
      </c>
      <c r="H5" s="328" t="s">
        <v>364</v>
      </c>
      <c r="I5" s="339" t="s">
        <v>365</v>
      </c>
      <c r="J5" s="339" t="s">
        <v>366</v>
      </c>
      <c r="K5" s="339" t="s">
        <v>367</v>
      </c>
      <c r="L5" s="339" t="s">
        <v>368</v>
      </c>
      <c r="M5" s="347" t="s">
        <v>369</v>
      </c>
      <c r="N5" s="347" t="s">
        <v>370</v>
      </c>
      <c r="O5" s="347" t="s">
        <v>371</v>
      </c>
      <c r="P5" s="347" t="s">
        <v>372</v>
      </c>
    </row>
    <row r="6" spans="1:17" s="330" customFormat="1" ht="15" x14ac:dyDescent="0.25">
      <c r="A6" s="691" t="str">
        <f>'Estimación por período'!A7</f>
        <v>1. Incremento del consumo de maíz nacional.</v>
      </c>
      <c r="B6" s="691">
        <f>'Estimación por período'!B7</f>
        <v>121882.81065498418</v>
      </c>
      <c r="C6" s="692">
        <f>F6/B6</f>
        <v>0.77097857223035604</v>
      </c>
      <c r="D6" s="692">
        <f>G6/B6</f>
        <v>0.22902142776964415</v>
      </c>
      <c r="E6" s="692">
        <f>H6/B6</f>
        <v>0</v>
      </c>
      <c r="F6" s="693">
        <f>F7+F8</f>
        <v>93969.035338202521</v>
      </c>
      <c r="G6" s="693">
        <f t="shared" ref="G6:H6" si="0">G7+G8</f>
        <v>27913.775316781674</v>
      </c>
      <c r="H6" s="693">
        <f t="shared" si="0"/>
        <v>0</v>
      </c>
      <c r="I6" s="692">
        <f>M6/$F$6</f>
        <v>0.48707301805150693</v>
      </c>
      <c r="J6" s="692">
        <f t="shared" ref="J6:L6" si="1">N6/$F$6</f>
        <v>0</v>
      </c>
      <c r="K6" s="692">
        <f t="shared" si="1"/>
        <v>0.31292698194849311</v>
      </c>
      <c r="L6" s="692">
        <f t="shared" si="1"/>
        <v>0.2</v>
      </c>
      <c r="M6" s="693">
        <f>M7+M8</f>
        <v>45769.781645567011</v>
      </c>
      <c r="N6" s="693">
        <f t="shared" ref="N6:P6" si="2">N7+N8</f>
        <v>0</v>
      </c>
      <c r="O6" s="693">
        <f t="shared" si="2"/>
        <v>29405.446624995013</v>
      </c>
      <c r="P6" s="693">
        <f t="shared" si="2"/>
        <v>18793.807067640504</v>
      </c>
      <c r="Q6" s="340"/>
    </row>
    <row r="7" spans="1:17" s="329" customFormat="1" x14ac:dyDescent="0.2">
      <c r="A7" s="195" t="str">
        <f>'Estimación por período'!A8</f>
        <v>1.1. Aumento de la participación del maíz nacional en el mercado de consumo animal.</v>
      </c>
      <c r="B7" s="681">
        <f>'Estimación por período'!B8</f>
        <v>70744.26371569671</v>
      </c>
      <c r="C7" s="333">
        <v>0.75</v>
      </c>
      <c r="D7" s="333">
        <v>0.25</v>
      </c>
      <c r="E7" s="333"/>
      <c r="F7" s="332">
        <f>B7*C7</f>
        <v>53058.197786772536</v>
      </c>
      <c r="G7" s="332">
        <f>B7*D7</f>
        <v>17686.065928924178</v>
      </c>
      <c r="H7" s="332">
        <f>B7*E7</f>
        <v>0</v>
      </c>
      <c r="I7" s="334">
        <v>0.4</v>
      </c>
      <c r="J7" s="334"/>
      <c r="K7" s="334">
        <v>0.4</v>
      </c>
      <c r="L7" s="334">
        <v>0.2</v>
      </c>
      <c r="M7" s="332">
        <f>$F7*I7</f>
        <v>21223.279114709017</v>
      </c>
      <c r="N7" s="332">
        <f>F7*J7</f>
        <v>0</v>
      </c>
      <c r="O7" s="332">
        <f>F7*K7</f>
        <v>21223.279114709017</v>
      </c>
      <c r="P7" s="332">
        <f>F7*L7</f>
        <v>10611.639557354509</v>
      </c>
      <c r="Q7" s="686"/>
    </row>
    <row r="8" spans="1:17" s="329" customFormat="1" ht="28.5" x14ac:dyDescent="0.2">
      <c r="A8" s="195" t="str">
        <f>'Estimación por período'!A9</f>
        <v>1.2. Posicionamiento de la oferta del maíz nacional y sus derivados, para alimentación humana y otros usos.</v>
      </c>
      <c r="B8" s="681">
        <f>'Estimación por período'!B9</f>
        <v>51138.54693928748</v>
      </c>
      <c r="C8" s="333">
        <v>0.8</v>
      </c>
      <c r="D8" s="333">
        <v>0.2</v>
      </c>
      <c r="E8" s="333"/>
      <c r="F8" s="332">
        <f>B8*C8</f>
        <v>40910.837551429984</v>
      </c>
      <c r="G8" s="332">
        <f>B8*D8</f>
        <v>10227.709387857496</v>
      </c>
      <c r="H8" s="332">
        <f>B8*E8</f>
        <v>0</v>
      </c>
      <c r="I8" s="334">
        <v>0.6</v>
      </c>
      <c r="J8" s="335"/>
      <c r="K8" s="334">
        <v>0.2</v>
      </c>
      <c r="L8" s="334">
        <v>0.2</v>
      </c>
      <c r="M8" s="332">
        <f t="shared" ref="M8:M41" si="3">$F8*I8</f>
        <v>24546.50253085799</v>
      </c>
      <c r="N8" s="332">
        <f t="shared" ref="N8:N41" si="4">F8*J8</f>
        <v>0</v>
      </c>
      <c r="O8" s="332">
        <f t="shared" ref="O8:O41" si="5">F8*K8</f>
        <v>8182.1675102859972</v>
      </c>
      <c r="P8" s="332">
        <f t="shared" ref="P8:P41" si="6">F8*L8</f>
        <v>8182.1675102859972</v>
      </c>
      <c r="Q8" s="686"/>
    </row>
    <row r="9" spans="1:17" s="330" customFormat="1" ht="15" x14ac:dyDescent="0.25">
      <c r="A9" s="691" t="str">
        <f>'Estimación por período'!A10</f>
        <v>2. Mejoramiento productivo del cultivo de maíz.</v>
      </c>
      <c r="B9" s="691">
        <f>'Estimación por período'!B10</f>
        <v>1389747.2401470947</v>
      </c>
      <c r="C9" s="692">
        <f>F9/B9</f>
        <v>0.94327220888039331</v>
      </c>
      <c r="D9" s="692">
        <f>G9/B9</f>
        <v>3.5060972775493471E-2</v>
      </c>
      <c r="E9" s="692">
        <f>H9/B9</f>
        <v>2.166681834411318E-2</v>
      </c>
      <c r="F9" s="694">
        <f>SUM(F10:F12)</f>
        <v>1310909.9489989805</v>
      </c>
      <c r="G9" s="694">
        <f t="shared" ref="G9:H9" si="7">SUM(G10:G12)</f>
        <v>48725.890151614476</v>
      </c>
      <c r="H9" s="694">
        <f t="shared" si="7"/>
        <v>30111.400996499739</v>
      </c>
      <c r="I9" s="692">
        <f>M9/F9</f>
        <v>0.87683916419022812</v>
      </c>
      <c r="J9" s="692">
        <f>N9/F9</f>
        <v>0</v>
      </c>
      <c r="K9" s="692">
        <f>O9/F9</f>
        <v>0.11668264078868372</v>
      </c>
      <c r="L9" s="692">
        <f>P9/F9</f>
        <v>6.4781950210884868E-3</v>
      </c>
      <c r="M9" s="695">
        <f>M11+M12+M10</f>
        <v>1149457.1840089206</v>
      </c>
      <c r="N9" s="695">
        <f t="shared" ref="N9:P9" si="8">N11+N12+N10</f>
        <v>0</v>
      </c>
      <c r="O9" s="695">
        <f t="shared" si="8"/>
        <v>152960.43468535974</v>
      </c>
      <c r="P9" s="695">
        <f t="shared" si="8"/>
        <v>8492.3303047005575</v>
      </c>
      <c r="Q9" s="686"/>
    </row>
    <row r="10" spans="1:17" s="330" customFormat="1" ht="28.5" x14ac:dyDescent="0.25">
      <c r="A10" s="195" t="str">
        <f>'Estimación por período'!A11</f>
        <v>2.1. Fortalecimiento de la extensión agrícola y asistencia técnica a los productores del sistema tradicional.</v>
      </c>
      <c r="B10" s="681">
        <f>'Estimación por período'!B11</f>
        <v>82225.694130594784</v>
      </c>
      <c r="C10" s="333">
        <v>0.85</v>
      </c>
      <c r="D10" s="333">
        <v>0.1</v>
      </c>
      <c r="E10" s="333">
        <v>0.05</v>
      </c>
      <c r="F10" s="332">
        <f>B10*C10</f>
        <v>69891.840011005566</v>
      </c>
      <c r="G10" s="332">
        <f>B10*D10</f>
        <v>8222.5694130594784</v>
      </c>
      <c r="H10" s="332">
        <f>B10*E10</f>
        <v>4111.2847065297392</v>
      </c>
      <c r="I10" s="334">
        <v>0.5</v>
      </c>
      <c r="J10" s="335"/>
      <c r="K10" s="334">
        <v>0.4</v>
      </c>
      <c r="L10" s="334">
        <v>0.1</v>
      </c>
      <c r="M10" s="332">
        <f t="shared" ref="M10" si="9">$F10*I10</f>
        <v>34945.920005502783</v>
      </c>
      <c r="N10" s="332">
        <f t="shared" ref="N10" si="10">F10*J10</f>
        <v>0</v>
      </c>
      <c r="O10" s="332">
        <f t="shared" ref="O10" si="11">F10*K10</f>
        <v>27956.736004402228</v>
      </c>
      <c r="P10" s="332">
        <f t="shared" ref="P10" si="12">F10*L10</f>
        <v>6989.184001100557</v>
      </c>
      <c r="Q10" s="686"/>
    </row>
    <row r="11" spans="1:17" s="329" customFormat="1" ht="28.5" x14ac:dyDescent="0.2">
      <c r="A11" s="195" t="str">
        <f>'Estimación por período'!A12</f>
        <v>2.2. Implementación efectiva de asistencia técnica profesional, en sistemas tecnificados de maíz.</v>
      </c>
      <c r="B11" s="681">
        <f>'Estimación por período'!B12</f>
        <v>1300005.8144985</v>
      </c>
      <c r="C11" s="333">
        <v>0.95</v>
      </c>
      <c r="D11" s="333">
        <v>0.03</v>
      </c>
      <c r="E11" s="333">
        <v>0.02</v>
      </c>
      <c r="F11" s="332">
        <f>B11*C11</f>
        <v>1235005.523773575</v>
      </c>
      <c r="G11" s="332">
        <f>B11*D11</f>
        <v>39000.174434954999</v>
      </c>
      <c r="H11" s="332">
        <f>B11*E11</f>
        <v>26000.116289969999</v>
      </c>
      <c r="I11" s="334">
        <v>0.9</v>
      </c>
      <c r="J11" s="335"/>
      <c r="K11" s="334">
        <v>0.1</v>
      </c>
      <c r="L11" s="334"/>
      <c r="M11" s="332">
        <f t="shared" si="3"/>
        <v>1111504.9713962176</v>
      </c>
      <c r="N11" s="332">
        <f t="shared" si="4"/>
        <v>0</v>
      </c>
      <c r="O11" s="332">
        <f t="shared" si="5"/>
        <v>123500.5523773575</v>
      </c>
      <c r="P11" s="332">
        <f t="shared" si="6"/>
        <v>0</v>
      </c>
      <c r="Q11" s="686"/>
    </row>
    <row r="12" spans="1:17" s="329" customFormat="1" x14ac:dyDescent="0.2">
      <c r="A12" s="195" t="str">
        <f>'Estimación por período'!A13</f>
        <v xml:space="preserve">2.3. Impulso a la producción de maíz a mediana y gran escala.  </v>
      </c>
      <c r="B12" s="681">
        <f>'Estimación por período'!B13</f>
        <v>7515.7315179999996</v>
      </c>
      <c r="C12" s="333">
        <v>0.8</v>
      </c>
      <c r="D12" s="333">
        <v>0.2</v>
      </c>
      <c r="E12" s="333"/>
      <c r="F12" s="332">
        <f>B12*C12</f>
        <v>6012.5852144</v>
      </c>
      <c r="G12" s="332">
        <f>B12*D12</f>
        <v>1503.1463036</v>
      </c>
      <c r="H12" s="332">
        <f t="shared" ref="H12:H41" si="13">B12*E12</f>
        <v>0</v>
      </c>
      <c r="I12" s="334">
        <v>0.5</v>
      </c>
      <c r="J12" s="335"/>
      <c r="K12" s="334">
        <v>0.25</v>
      </c>
      <c r="L12" s="334">
        <v>0.25</v>
      </c>
      <c r="M12" s="332">
        <f t="shared" si="3"/>
        <v>3006.2926072</v>
      </c>
      <c r="N12" s="332">
        <f t="shared" si="4"/>
        <v>0</v>
      </c>
      <c r="O12" s="332">
        <f t="shared" si="5"/>
        <v>1503.1463036</v>
      </c>
      <c r="P12" s="332">
        <f t="shared" si="6"/>
        <v>1503.1463036</v>
      </c>
      <c r="Q12" s="686"/>
    </row>
    <row r="13" spans="1:17" s="330" customFormat="1" ht="30" x14ac:dyDescent="0.25">
      <c r="A13" s="691" t="str">
        <f>'Estimación por período'!A14</f>
        <v xml:space="preserve">3. Generación y consolidación de encadenamientos regionales para la cadena de maíz. </v>
      </c>
      <c r="B13" s="691">
        <f>'Estimación por período'!B14</f>
        <v>2158210.4753019316</v>
      </c>
      <c r="C13" s="692">
        <f>F13/B13</f>
        <v>0.98464393514032378</v>
      </c>
      <c r="D13" s="692">
        <f>G13/B13</f>
        <v>1.4798631416892109E-2</v>
      </c>
      <c r="E13" s="692">
        <f>H13/B13</f>
        <v>5.5743344278397743E-4</v>
      </c>
      <c r="F13" s="694">
        <f>F14+F15+F16+F17+F18</f>
        <v>2125068.8552623624</v>
      </c>
      <c r="G13" s="694">
        <f t="shared" ref="G13:H13" si="14">G14+G15+G16+G17+G18</f>
        <v>31938.561344068818</v>
      </c>
      <c r="H13" s="694">
        <f t="shared" si="14"/>
        <v>1203.0586955000001</v>
      </c>
      <c r="I13" s="692">
        <f>M13/F13</f>
        <v>0.94239873868974444</v>
      </c>
      <c r="J13" s="692">
        <f>N13/F13</f>
        <v>0</v>
      </c>
      <c r="K13" s="692">
        <f>O13/F13</f>
        <v>5.7120053424382852E-2</v>
      </c>
      <c r="L13" s="692">
        <f>P13/F13</f>
        <v>4.8120788587283179E-4</v>
      </c>
      <c r="M13" s="695">
        <f>M14+M15+M16+M17+M18</f>
        <v>2002662.2088281093</v>
      </c>
      <c r="N13" s="695">
        <f t="shared" ref="N13:P13" si="15">N14+N15+N16+N17+N18</f>
        <v>0</v>
      </c>
      <c r="O13" s="695">
        <f t="shared" si="15"/>
        <v>121384.04654307825</v>
      </c>
      <c r="P13" s="695">
        <f t="shared" si="15"/>
        <v>1022.5998911750002</v>
      </c>
      <c r="Q13" s="686"/>
    </row>
    <row r="14" spans="1:17" s="329" customFormat="1" ht="28.5" x14ac:dyDescent="0.2">
      <c r="A14" s="195" t="str">
        <f>'Estimación por período'!A15</f>
        <v>3.1. Promoción y fortalecimiento de organizaciones de economía solidaria en la cadena de maíz.</v>
      </c>
      <c r="B14" s="681">
        <f>'Estimación por período'!B15</f>
        <v>24061.173910000001</v>
      </c>
      <c r="C14" s="333">
        <v>0.85</v>
      </c>
      <c r="D14" s="333">
        <v>0.1</v>
      </c>
      <c r="E14" s="333">
        <v>0.05</v>
      </c>
      <c r="F14" s="332">
        <f>B14*C14</f>
        <v>20451.997823500002</v>
      </c>
      <c r="G14" s="332">
        <f>B14*D14</f>
        <v>2406.1173910000002</v>
      </c>
      <c r="H14" s="332">
        <f>B14*E14</f>
        <v>1203.0586955000001</v>
      </c>
      <c r="I14" s="334">
        <v>0.75</v>
      </c>
      <c r="J14" s="335"/>
      <c r="K14" s="334">
        <v>0.2</v>
      </c>
      <c r="L14" s="334">
        <v>0.05</v>
      </c>
      <c r="M14" s="332">
        <f t="shared" si="3"/>
        <v>15338.998367625001</v>
      </c>
      <c r="N14" s="332">
        <f t="shared" si="4"/>
        <v>0</v>
      </c>
      <c r="O14" s="332">
        <f t="shared" si="5"/>
        <v>4090.3995647000006</v>
      </c>
      <c r="P14" s="332">
        <f t="shared" si="6"/>
        <v>1022.5998911750002</v>
      </c>
      <c r="Q14" s="686"/>
    </row>
    <row r="15" spans="1:17" s="329" customFormat="1" ht="28.5" x14ac:dyDescent="0.2">
      <c r="A15" s="195" t="str">
        <f>'Estimación por período'!A16</f>
        <v>3.2. Promoción de la integración y las alianzas estratégicas regionales en la cadena de maíz.</v>
      </c>
      <c r="B15" s="681">
        <f>'Estimación por período'!B16</f>
        <v>37997.628165499998</v>
      </c>
      <c r="C15" s="333">
        <v>0.9</v>
      </c>
      <c r="D15" s="333">
        <v>0.1</v>
      </c>
      <c r="E15" s="333"/>
      <c r="F15" s="332">
        <f>B15*C15</f>
        <v>34197.865348949999</v>
      </c>
      <c r="G15" s="332">
        <f>B15*D15</f>
        <v>3799.76281655</v>
      </c>
      <c r="H15" s="332">
        <f t="shared" si="13"/>
        <v>0</v>
      </c>
      <c r="I15" s="334">
        <v>0.7</v>
      </c>
      <c r="J15" s="335"/>
      <c r="K15" s="334">
        <v>0.3</v>
      </c>
      <c r="L15" s="334"/>
      <c r="M15" s="332">
        <f t="shared" si="3"/>
        <v>23938.505744265</v>
      </c>
      <c r="N15" s="332">
        <f t="shared" si="4"/>
        <v>0</v>
      </c>
      <c r="O15" s="332">
        <f t="shared" si="5"/>
        <v>10259.359604685</v>
      </c>
      <c r="P15" s="332">
        <f t="shared" si="6"/>
        <v>0</v>
      </c>
      <c r="Q15" s="686"/>
    </row>
    <row r="16" spans="1:17" s="329" customFormat="1" ht="28.5" x14ac:dyDescent="0.2">
      <c r="A16" s="196" t="str">
        <f>'Estimación por período'!A17</f>
        <v>3.3. Aumento de la capacidad instalada regional para el secamiento, almacenamiento, y procesamiento agroindustrial de maíz.</v>
      </c>
      <c r="B16" s="682">
        <f>'Estimación por período'!B17</f>
        <v>2055072.6567460415</v>
      </c>
      <c r="C16" s="333">
        <v>0.99</v>
      </c>
      <c r="D16" s="333">
        <v>0.01</v>
      </c>
      <c r="E16" s="333"/>
      <c r="F16" s="332">
        <f>B16*C16</f>
        <v>2034521.930178581</v>
      </c>
      <c r="G16" s="332">
        <f>B16*D16</f>
        <v>20550.726567460417</v>
      </c>
      <c r="H16" s="332">
        <f t="shared" si="13"/>
        <v>0</v>
      </c>
      <c r="I16" s="334">
        <v>0.95</v>
      </c>
      <c r="J16" s="335"/>
      <c r="K16" s="334">
        <v>0.05</v>
      </c>
      <c r="L16" s="334"/>
      <c r="M16" s="332">
        <f t="shared" si="3"/>
        <v>1932795.833669652</v>
      </c>
      <c r="N16" s="332">
        <f t="shared" si="4"/>
        <v>0</v>
      </c>
      <c r="O16" s="332">
        <f t="shared" si="5"/>
        <v>101726.09650892905</v>
      </c>
      <c r="P16" s="332">
        <f t="shared" si="6"/>
        <v>0</v>
      </c>
      <c r="Q16" s="686"/>
    </row>
    <row r="17" spans="1:17" s="329" customFormat="1" x14ac:dyDescent="0.2">
      <c r="A17" s="196" t="str">
        <f>'Estimación por período'!A18</f>
        <v xml:space="preserve">3.4. Fortalecimiento de la oferta de insumos y servicios asociados a la cadena. </v>
      </c>
      <c r="B17" s="682">
        <f>'Estimación por período'!B18</f>
        <v>30338.487270195987</v>
      </c>
      <c r="C17" s="333">
        <v>0.9</v>
      </c>
      <c r="D17" s="333">
        <v>0.1</v>
      </c>
      <c r="E17" s="333"/>
      <c r="F17" s="332">
        <f t="shared" ref="F17:F41" si="16">B17*C17</f>
        <v>27304.638543176388</v>
      </c>
      <c r="G17" s="332">
        <f t="shared" ref="G17:G41" si="17">B17*D17</f>
        <v>3033.8487270195988</v>
      </c>
      <c r="H17" s="332">
        <f t="shared" si="13"/>
        <v>0</v>
      </c>
      <c r="I17" s="334">
        <v>0.9</v>
      </c>
      <c r="J17" s="335"/>
      <c r="K17" s="334">
        <v>0.1</v>
      </c>
      <c r="L17" s="334"/>
      <c r="M17" s="332">
        <f t="shared" si="3"/>
        <v>24574.174688858751</v>
      </c>
      <c r="N17" s="332">
        <f t="shared" si="4"/>
        <v>0</v>
      </c>
      <c r="O17" s="332">
        <f t="shared" si="5"/>
        <v>2730.4638543176388</v>
      </c>
      <c r="P17" s="332">
        <f t="shared" si="6"/>
        <v>0</v>
      </c>
      <c r="Q17" s="686"/>
    </row>
    <row r="18" spans="1:17" s="329" customFormat="1" ht="28.5" x14ac:dyDescent="0.2">
      <c r="A18" s="196" t="str">
        <f>'Estimación por período'!A19</f>
        <v>3.5. Mejora del entorno productivo para las grandes inversiones en las regiones maiceras.</v>
      </c>
      <c r="B18" s="682">
        <f>'Estimación por período'!B19</f>
        <v>10740.529210193999</v>
      </c>
      <c r="C18" s="333">
        <v>0.8</v>
      </c>
      <c r="D18" s="333">
        <v>0.2</v>
      </c>
      <c r="E18" s="333"/>
      <c r="F18" s="332">
        <f t="shared" si="16"/>
        <v>8592.4233681551996</v>
      </c>
      <c r="G18" s="332">
        <f t="shared" si="17"/>
        <v>2148.1058420387999</v>
      </c>
      <c r="H18" s="332">
        <f t="shared" si="13"/>
        <v>0</v>
      </c>
      <c r="I18" s="334">
        <v>0.7</v>
      </c>
      <c r="J18" s="335"/>
      <c r="K18" s="334">
        <v>0.3</v>
      </c>
      <c r="L18" s="334"/>
      <c r="M18" s="332">
        <f t="shared" si="3"/>
        <v>6014.696357708639</v>
      </c>
      <c r="N18" s="332">
        <f t="shared" si="4"/>
        <v>0</v>
      </c>
      <c r="O18" s="332">
        <f t="shared" si="5"/>
        <v>2577.7270104465597</v>
      </c>
      <c r="P18" s="332">
        <f t="shared" si="6"/>
        <v>0</v>
      </c>
      <c r="Q18" s="686"/>
    </row>
    <row r="19" spans="1:17" s="330" customFormat="1" ht="15" x14ac:dyDescent="0.25">
      <c r="A19" s="696" t="str">
        <f>'Estimación por período'!A20</f>
        <v xml:space="preserve">4. Mejora de la gestión del agua y del suelo en el cultivo de maíz. </v>
      </c>
      <c r="B19" s="691">
        <f>'Estimación por período'!B20</f>
        <v>117563.78773325002</v>
      </c>
      <c r="C19" s="692">
        <f>F19/B19</f>
        <v>0.69999999999999984</v>
      </c>
      <c r="D19" s="692">
        <f>G19/B19</f>
        <v>0.2</v>
      </c>
      <c r="E19" s="692">
        <f>H19/B19</f>
        <v>0.1</v>
      </c>
      <c r="F19" s="694">
        <f>F20+F21</f>
        <v>82294.651413275002</v>
      </c>
      <c r="G19" s="694">
        <f t="shared" ref="G19:H19" si="18">G20+G21</f>
        <v>23512.757546650006</v>
      </c>
      <c r="H19" s="694">
        <f t="shared" si="18"/>
        <v>11756.378773325003</v>
      </c>
      <c r="I19" s="697">
        <f>M19/F19</f>
        <v>0.29999999999999993</v>
      </c>
      <c r="J19" s="697">
        <f>N19/F19</f>
        <v>0.35</v>
      </c>
      <c r="K19" s="697">
        <f>O19/F19</f>
        <v>0.35</v>
      </c>
      <c r="L19" s="697">
        <f>P19/F19</f>
        <v>0</v>
      </c>
      <c r="M19" s="695">
        <f>M20+M21</f>
        <v>24688.395423982496</v>
      </c>
      <c r="N19" s="695">
        <f t="shared" ref="N19:P19" si="19">N20+N21</f>
        <v>28803.127994646249</v>
      </c>
      <c r="O19" s="695">
        <f t="shared" si="19"/>
        <v>28803.127994646249</v>
      </c>
      <c r="P19" s="695">
        <f t="shared" si="19"/>
        <v>0</v>
      </c>
      <c r="Q19" s="686"/>
    </row>
    <row r="20" spans="1:17" s="329" customFormat="1" x14ac:dyDescent="0.2">
      <c r="A20" s="195" t="str">
        <f>'Estimación por período'!A21</f>
        <v>4.1. Contribución a la gestión del ordenamiento ambiental, fuera de la frontera agrícola.</v>
      </c>
      <c r="B20" s="681">
        <f>'Estimación por período'!B21</f>
        <v>3089.5396350000001</v>
      </c>
      <c r="C20" s="333">
        <v>0.7</v>
      </c>
      <c r="D20" s="333">
        <v>0.2</v>
      </c>
      <c r="E20" s="333">
        <v>0.1</v>
      </c>
      <c r="F20" s="332">
        <f t="shared" si="16"/>
        <v>2162.6777444999998</v>
      </c>
      <c r="G20" s="332">
        <f t="shared" si="17"/>
        <v>617.90792700000009</v>
      </c>
      <c r="H20" s="332">
        <f t="shared" si="13"/>
        <v>308.95396350000004</v>
      </c>
      <c r="I20" s="334">
        <v>0.3</v>
      </c>
      <c r="J20" s="335">
        <v>0.35</v>
      </c>
      <c r="K20" s="334">
        <v>0.35</v>
      </c>
      <c r="L20" s="334"/>
      <c r="M20" s="332">
        <f t="shared" si="3"/>
        <v>648.80332334999991</v>
      </c>
      <c r="N20" s="332">
        <f t="shared" si="4"/>
        <v>756.93721057499988</v>
      </c>
      <c r="O20" s="332">
        <f t="shared" si="5"/>
        <v>756.93721057499988</v>
      </c>
      <c r="P20" s="332">
        <f t="shared" si="6"/>
        <v>0</v>
      </c>
      <c r="Q20" s="686"/>
    </row>
    <row r="21" spans="1:17" s="329" customFormat="1" x14ac:dyDescent="0.2">
      <c r="A21" s="195" t="str">
        <f>'Estimación por período'!A22</f>
        <v>4.2. Promoción del manejo eficiente del suelo y del agua, en la producción de maíz.</v>
      </c>
      <c r="B21" s="681">
        <f>'Estimación por período'!B22</f>
        <v>114474.24809825001</v>
      </c>
      <c r="C21" s="333">
        <v>0.7</v>
      </c>
      <c r="D21" s="333">
        <v>0.2</v>
      </c>
      <c r="E21" s="333">
        <v>0.1</v>
      </c>
      <c r="F21" s="332">
        <f t="shared" si="16"/>
        <v>80131.973668774997</v>
      </c>
      <c r="G21" s="332">
        <f t="shared" si="17"/>
        <v>22894.849619650005</v>
      </c>
      <c r="H21" s="332">
        <f t="shared" si="13"/>
        <v>11447.424809825003</v>
      </c>
      <c r="I21" s="334">
        <v>0.3</v>
      </c>
      <c r="J21" s="335">
        <v>0.35</v>
      </c>
      <c r="K21" s="334">
        <v>0.35</v>
      </c>
      <c r="L21" s="334"/>
      <c r="M21" s="332">
        <f t="shared" si="3"/>
        <v>24039.592100632497</v>
      </c>
      <c r="N21" s="332">
        <f t="shared" si="4"/>
        <v>28046.190784071248</v>
      </c>
      <c r="O21" s="332">
        <f t="shared" si="5"/>
        <v>28046.190784071248</v>
      </c>
      <c r="P21" s="332">
        <f t="shared" si="6"/>
        <v>0</v>
      </c>
      <c r="Q21" s="686"/>
    </row>
    <row r="22" spans="1:17" s="330" customFormat="1" ht="15" x14ac:dyDescent="0.25">
      <c r="A22" s="696" t="str">
        <f>'Estimación por período'!A23</f>
        <v>5. Fortalecimiento de la gestión ambiental en la cadena maicera.</v>
      </c>
      <c r="B22" s="691">
        <f>'Estimación por período'!B23</f>
        <v>21593.230348064</v>
      </c>
      <c r="C22" s="692">
        <f>F22/B22</f>
        <v>0.7</v>
      </c>
      <c r="D22" s="692">
        <f>G22/B22</f>
        <v>0.20000000000000004</v>
      </c>
      <c r="E22" s="692">
        <f>H22/B22</f>
        <v>0.10000000000000002</v>
      </c>
      <c r="F22" s="694">
        <f>F23</f>
        <v>15115.2612436448</v>
      </c>
      <c r="G22" s="694">
        <f>G23</f>
        <v>4318.6460696128006</v>
      </c>
      <c r="H22" s="694">
        <f>H23</f>
        <v>2159.3230348064003</v>
      </c>
      <c r="I22" s="697">
        <f>M22/F22</f>
        <v>0.5</v>
      </c>
      <c r="J22" s="697">
        <f>N22/F22</f>
        <v>0.25</v>
      </c>
      <c r="K22" s="697">
        <f>O22/F22</f>
        <v>0.25</v>
      </c>
      <c r="L22" s="697">
        <f>P22/F22</f>
        <v>0</v>
      </c>
      <c r="M22" s="695">
        <f>M23</f>
        <v>7557.6306218223999</v>
      </c>
      <c r="N22" s="695">
        <f t="shared" ref="N22:P22" si="20">N23</f>
        <v>3778.8153109112</v>
      </c>
      <c r="O22" s="695">
        <f t="shared" si="20"/>
        <v>3778.8153109112</v>
      </c>
      <c r="P22" s="695">
        <f t="shared" si="20"/>
        <v>0</v>
      </c>
      <c r="Q22" s="686"/>
    </row>
    <row r="23" spans="1:17" s="329" customFormat="1" x14ac:dyDescent="0.2">
      <c r="A23" s="195" t="str">
        <f>'Estimación por período'!A24</f>
        <v>5.1. Mejora del desempeño ambiental de la cadena de maíz.</v>
      </c>
      <c r="B23" s="681">
        <f>'Estimación por período'!B24</f>
        <v>21593.230348064</v>
      </c>
      <c r="C23" s="333">
        <v>0.7</v>
      </c>
      <c r="D23" s="333">
        <v>0.2</v>
      </c>
      <c r="E23" s="333">
        <v>0.1</v>
      </c>
      <c r="F23" s="332">
        <f t="shared" si="16"/>
        <v>15115.2612436448</v>
      </c>
      <c r="G23" s="332">
        <f t="shared" si="17"/>
        <v>4318.6460696128006</v>
      </c>
      <c r="H23" s="332">
        <f t="shared" si="13"/>
        <v>2159.3230348064003</v>
      </c>
      <c r="I23" s="334">
        <v>0.5</v>
      </c>
      <c r="J23" s="335">
        <v>0.25</v>
      </c>
      <c r="K23" s="334">
        <v>0.25</v>
      </c>
      <c r="L23" s="334">
        <v>0</v>
      </c>
      <c r="M23" s="332">
        <f t="shared" si="3"/>
        <v>7557.6306218223999</v>
      </c>
      <c r="N23" s="332">
        <f t="shared" si="4"/>
        <v>3778.8153109112</v>
      </c>
      <c r="O23" s="332">
        <f t="shared" si="5"/>
        <v>3778.8153109112</v>
      </c>
      <c r="P23" s="332">
        <f t="shared" si="6"/>
        <v>0</v>
      </c>
      <c r="Q23" s="686"/>
    </row>
    <row r="24" spans="1:17" s="330" customFormat="1" ht="30" x14ac:dyDescent="0.25">
      <c r="A24" s="696" t="str">
        <f>'Estimación por período'!A25</f>
        <v xml:space="preserve">6. Contribución al mejoramiento en las condiciones de vida de la población vinculada a la cadena de maíz. </v>
      </c>
      <c r="B24" s="691">
        <f>'Estimación por período'!B25</f>
        <v>126997.58260330002</v>
      </c>
      <c r="C24" s="692">
        <f>F24/B24</f>
        <v>0.84852660904609889</v>
      </c>
      <c r="D24" s="692">
        <f>G24/B24</f>
        <v>0.10294678190780204</v>
      </c>
      <c r="E24" s="692">
        <f>H24/B24</f>
        <v>4.8526609046098984E-2</v>
      </c>
      <c r="F24" s="694">
        <f>SUM(F25:F28)</f>
        <v>107760.82812343001</v>
      </c>
      <c r="G24" s="694">
        <f t="shared" ref="G24:H24" si="21">SUM(G25:G28)</f>
        <v>13073.992439080002</v>
      </c>
      <c r="H24" s="694">
        <f t="shared" si="21"/>
        <v>6162.7620407900013</v>
      </c>
      <c r="I24" s="697">
        <f>M24/F24</f>
        <v>0.5</v>
      </c>
      <c r="J24" s="697">
        <f>N24/F24</f>
        <v>5.0961171940232891E-2</v>
      </c>
      <c r="K24" s="697">
        <f>O24/F24</f>
        <v>0.35181708569024006</v>
      </c>
      <c r="L24" s="697">
        <f>P24/F24</f>
        <v>9.7221742369527089E-2</v>
      </c>
      <c r="M24" s="695">
        <f>SUM(M25:M28)</f>
        <v>53880.414061715004</v>
      </c>
      <c r="N24" s="695">
        <f t="shared" ref="N24:P24" si="22">SUM(N25:N28)</f>
        <v>5491.618090420001</v>
      </c>
      <c r="O24" s="695">
        <f t="shared" si="22"/>
        <v>37912.100501952009</v>
      </c>
      <c r="P24" s="695">
        <f t="shared" si="22"/>
        <v>10476.695469343002</v>
      </c>
      <c r="Q24" s="686"/>
    </row>
    <row r="25" spans="1:17" s="329" customFormat="1" ht="28.5" x14ac:dyDescent="0.2">
      <c r="A25" s="195" t="str">
        <f>'Estimación por período'!A26</f>
        <v>6.1  Promoción de la atención de las necesidades básicas de los actores vinculados a la cadena.</v>
      </c>
      <c r="B25" s="681">
        <f>'Estimación por período'!B26</f>
        <v>64607.271652000003</v>
      </c>
      <c r="C25" s="333">
        <v>0.85</v>
      </c>
      <c r="D25" s="333">
        <v>0.1</v>
      </c>
      <c r="E25" s="333">
        <v>0.05</v>
      </c>
      <c r="F25" s="332">
        <f>B25*C25</f>
        <v>54916.180904200002</v>
      </c>
      <c r="G25" s="332">
        <f>B25*D25</f>
        <v>6460.7271652000009</v>
      </c>
      <c r="H25" s="332">
        <f>B25*E25</f>
        <v>3230.3635826000004</v>
      </c>
      <c r="I25" s="334">
        <v>0.5</v>
      </c>
      <c r="J25" s="335">
        <v>0.1</v>
      </c>
      <c r="K25" s="334">
        <v>0.3</v>
      </c>
      <c r="L25" s="334">
        <v>0.1</v>
      </c>
      <c r="M25" s="332">
        <f t="shared" si="3"/>
        <v>27458.090452100001</v>
      </c>
      <c r="N25" s="332">
        <f t="shared" si="4"/>
        <v>5491.618090420001</v>
      </c>
      <c r="O25" s="332">
        <f t="shared" si="5"/>
        <v>16474.854271259999</v>
      </c>
      <c r="P25" s="332">
        <f t="shared" si="6"/>
        <v>5491.618090420001</v>
      </c>
      <c r="Q25" s="686"/>
    </row>
    <row r="26" spans="1:17" s="329" customFormat="1" ht="28.5" x14ac:dyDescent="0.2">
      <c r="A26" s="195" t="str">
        <f>'Estimación por período'!A27</f>
        <v>6.2. Contribución al incremento del nivel educativo de los actores vinculados a la cadena.</v>
      </c>
      <c r="B26" s="681">
        <f>'Estimación por período'!B27</f>
        <v>13629.695771999999</v>
      </c>
      <c r="C26" s="333">
        <v>0.85</v>
      </c>
      <c r="D26" s="333">
        <v>0.1</v>
      </c>
      <c r="E26" s="333">
        <v>0.05</v>
      </c>
      <c r="F26" s="332">
        <f t="shared" si="16"/>
        <v>11585.241406199999</v>
      </c>
      <c r="G26" s="332">
        <f t="shared" si="17"/>
        <v>1362.9695772</v>
      </c>
      <c r="H26" s="332">
        <f t="shared" si="13"/>
        <v>681.4847886</v>
      </c>
      <c r="I26" s="334">
        <v>0.5</v>
      </c>
      <c r="J26" s="335"/>
      <c r="K26" s="334">
        <v>0.4</v>
      </c>
      <c r="L26" s="334">
        <v>0.1</v>
      </c>
      <c r="M26" s="332">
        <f t="shared" si="3"/>
        <v>5792.6207030999994</v>
      </c>
      <c r="N26" s="332">
        <f t="shared" si="4"/>
        <v>0</v>
      </c>
      <c r="O26" s="332">
        <f t="shared" si="5"/>
        <v>4634.0965624800001</v>
      </c>
      <c r="P26" s="332">
        <f t="shared" si="6"/>
        <v>1158.52414062</v>
      </c>
      <c r="Q26" s="686"/>
    </row>
    <row r="27" spans="1:17" s="329" customFormat="1" ht="28.5" x14ac:dyDescent="0.2">
      <c r="A27" s="195" t="str">
        <f>'Estimación por período'!A28</f>
        <v>6.3. Promoción al  acceso en la seguridad social y mejora en las condiciones laborales a lo largo de la cadena</v>
      </c>
      <c r="B27" s="681">
        <f>'Estimación por período'!B28</f>
        <v>45018.273391800009</v>
      </c>
      <c r="C27" s="333">
        <v>0.85</v>
      </c>
      <c r="D27" s="333">
        <v>0.1</v>
      </c>
      <c r="E27" s="333">
        <v>0.05</v>
      </c>
      <c r="F27" s="332">
        <f t="shared" si="16"/>
        <v>38265.532383030004</v>
      </c>
      <c r="G27" s="332">
        <f t="shared" si="17"/>
        <v>4501.8273391800012</v>
      </c>
      <c r="H27" s="332">
        <f t="shared" si="13"/>
        <v>2250.9136695900006</v>
      </c>
      <c r="I27" s="334">
        <v>0.5</v>
      </c>
      <c r="J27" s="335"/>
      <c r="K27" s="334">
        <v>0.4</v>
      </c>
      <c r="L27" s="334">
        <v>0.1</v>
      </c>
      <c r="M27" s="332">
        <f t="shared" si="3"/>
        <v>19132.766191515002</v>
      </c>
      <c r="N27" s="332">
        <f t="shared" si="4"/>
        <v>0</v>
      </c>
      <c r="O27" s="332">
        <f t="shared" si="5"/>
        <v>15306.212953212002</v>
      </c>
      <c r="P27" s="332">
        <f t="shared" si="6"/>
        <v>3826.5532383030004</v>
      </c>
      <c r="Q27" s="686"/>
    </row>
    <row r="28" spans="1:17" s="329" customFormat="1" ht="28.5" x14ac:dyDescent="0.2">
      <c r="A28" s="195" t="str">
        <f>'Estimación por período'!A29</f>
        <v>6.4. Contribución a la mejora de condiciones de conectividad vial y de servicios públicos, en las regiones maiceras.</v>
      </c>
      <c r="B28" s="681">
        <f>'Estimación por período'!B29</f>
        <v>3742.3417875</v>
      </c>
      <c r="C28" s="333">
        <v>0.8</v>
      </c>
      <c r="D28" s="333">
        <v>0.2</v>
      </c>
      <c r="E28" s="333"/>
      <c r="F28" s="332">
        <f t="shared" si="16"/>
        <v>2993.8734300000001</v>
      </c>
      <c r="G28" s="332">
        <f t="shared" si="17"/>
        <v>748.46835750000002</v>
      </c>
      <c r="H28" s="332">
        <f t="shared" si="13"/>
        <v>0</v>
      </c>
      <c r="I28" s="334">
        <v>0.5</v>
      </c>
      <c r="J28" s="335"/>
      <c r="K28" s="334">
        <v>0.5</v>
      </c>
      <c r="L28" s="334"/>
      <c r="M28" s="332">
        <f t="shared" si="3"/>
        <v>1496.936715</v>
      </c>
      <c r="N28" s="332">
        <f t="shared" si="4"/>
        <v>0</v>
      </c>
      <c r="O28" s="332">
        <f t="shared" si="5"/>
        <v>1496.936715</v>
      </c>
      <c r="P28" s="332">
        <f t="shared" si="6"/>
        <v>0</v>
      </c>
      <c r="Q28" s="686"/>
    </row>
    <row r="29" spans="1:17" s="330" customFormat="1" ht="15" x14ac:dyDescent="0.25">
      <c r="A29" s="696" t="str">
        <f>'Estimación por período'!A30</f>
        <v>7. Contribución al ordenamiento productivo y social de la propiedad.</v>
      </c>
      <c r="B29" s="691">
        <f>'Estimación por período'!B30</f>
        <v>52239.074348499998</v>
      </c>
      <c r="C29" s="692">
        <f>F29/B29</f>
        <v>0.8</v>
      </c>
      <c r="D29" s="692">
        <f>G29/B29</f>
        <v>0.2</v>
      </c>
      <c r="E29" s="692"/>
      <c r="F29" s="694">
        <f>F30+F31</f>
        <v>41791.259478799999</v>
      </c>
      <c r="G29" s="694">
        <f t="shared" ref="G29:H29" si="23">G30+G31</f>
        <v>10447.8148697</v>
      </c>
      <c r="H29" s="694">
        <f t="shared" si="23"/>
        <v>0</v>
      </c>
      <c r="I29" s="694">
        <f>M29/C29</f>
        <v>31343.444609099995</v>
      </c>
      <c r="J29" s="698"/>
      <c r="K29" s="698">
        <f>O29/F29</f>
        <v>0.4</v>
      </c>
      <c r="L29" s="698"/>
      <c r="M29" s="695">
        <f>M30+M31</f>
        <v>25074.755687279998</v>
      </c>
      <c r="N29" s="695">
        <f t="shared" ref="N29:P29" si="24">N30+N31</f>
        <v>0</v>
      </c>
      <c r="O29" s="695">
        <f t="shared" si="24"/>
        <v>16716.503791520001</v>
      </c>
      <c r="P29" s="695">
        <f t="shared" si="24"/>
        <v>0</v>
      </c>
      <c r="Q29" s="686"/>
    </row>
    <row r="30" spans="1:17" s="329" customFormat="1" ht="28.5" x14ac:dyDescent="0.2">
      <c r="A30" s="195" t="str">
        <f>'Estimación por período'!A31</f>
        <v>7.1. Articulación con las políticas de ordenamiento productivo y social de la propiedad rural para el cultivo de maíz.</v>
      </c>
      <c r="B30" s="681">
        <f>'Estimación por período'!B31</f>
        <v>14243.132557499999</v>
      </c>
      <c r="C30" s="333">
        <v>0.8</v>
      </c>
      <c r="D30" s="333">
        <v>0.2</v>
      </c>
      <c r="E30" s="333"/>
      <c r="F30" s="332">
        <f t="shared" si="16"/>
        <v>11394.506046</v>
      </c>
      <c r="G30" s="332">
        <f t="shared" si="17"/>
        <v>2848.6265115000001</v>
      </c>
      <c r="H30" s="332">
        <f t="shared" si="13"/>
        <v>0</v>
      </c>
      <c r="I30" s="334">
        <v>0.6</v>
      </c>
      <c r="J30" s="335"/>
      <c r="K30" s="334">
        <v>0.4</v>
      </c>
      <c r="L30" s="334"/>
      <c r="M30" s="332">
        <f t="shared" si="3"/>
        <v>6836.7036275999999</v>
      </c>
      <c r="N30" s="332">
        <f t="shared" si="4"/>
        <v>0</v>
      </c>
      <c r="O30" s="332">
        <f t="shared" si="5"/>
        <v>4557.8024184000005</v>
      </c>
      <c r="P30" s="332">
        <f t="shared" si="6"/>
        <v>0</v>
      </c>
      <c r="Q30" s="686"/>
    </row>
    <row r="31" spans="1:17" s="329" customFormat="1" ht="28.5" x14ac:dyDescent="0.2">
      <c r="A31" s="195" t="str">
        <f>'Estimación por período'!A32</f>
        <v xml:space="preserve">7.2  Fortalecimiento en el acceso y la seguridad jurídica de los predios e inversiones para el cultivo de maíz. </v>
      </c>
      <c r="B31" s="681">
        <f>'Estimación por período'!B32</f>
        <v>37995.941790999997</v>
      </c>
      <c r="C31" s="333">
        <v>0.8</v>
      </c>
      <c r="D31" s="333">
        <v>0.2</v>
      </c>
      <c r="E31" s="333"/>
      <c r="F31" s="332">
        <f t="shared" si="16"/>
        <v>30396.7534328</v>
      </c>
      <c r="G31" s="332">
        <f t="shared" si="17"/>
        <v>7599.1883582</v>
      </c>
      <c r="H31" s="332">
        <f t="shared" si="13"/>
        <v>0</v>
      </c>
      <c r="I31" s="334">
        <v>0.6</v>
      </c>
      <c r="J31" s="335"/>
      <c r="K31" s="334">
        <v>0.4</v>
      </c>
      <c r="L31" s="334"/>
      <c r="M31" s="332">
        <f t="shared" si="3"/>
        <v>18238.052059679998</v>
      </c>
      <c r="N31" s="332">
        <f t="shared" si="4"/>
        <v>0</v>
      </c>
      <c r="O31" s="332">
        <f t="shared" si="5"/>
        <v>12158.70137312</v>
      </c>
      <c r="P31" s="332">
        <f t="shared" si="6"/>
        <v>0</v>
      </c>
      <c r="Q31" s="686"/>
    </row>
    <row r="32" spans="1:17" s="330" customFormat="1" ht="30" x14ac:dyDescent="0.25">
      <c r="A32" s="696" t="str">
        <f>'Estimación por período'!A33</f>
        <v>8. Fortalecimiento del desarrollo tecnológico y la innovación en la cadena de maíz.</v>
      </c>
      <c r="B32" s="691">
        <f>'Estimación por período'!B33</f>
        <v>27234.2557845095</v>
      </c>
      <c r="C32" s="692">
        <f>F32/B32</f>
        <v>0.64999999999999991</v>
      </c>
      <c r="D32" s="692">
        <f>G32/B32</f>
        <v>0.29999999999999993</v>
      </c>
      <c r="E32" s="692">
        <f>H32/B32</f>
        <v>0.05</v>
      </c>
      <c r="F32" s="694">
        <f>F33+F34</f>
        <v>17702.266259931173</v>
      </c>
      <c r="G32" s="694">
        <f t="shared" ref="G32:H32" si="25">G33+G34</f>
        <v>8170.2767353528488</v>
      </c>
      <c r="H32" s="694">
        <f t="shared" si="25"/>
        <v>1361.712789225475</v>
      </c>
      <c r="I32" s="697">
        <f>M32/F32</f>
        <v>0.39999999999999997</v>
      </c>
      <c r="J32" s="697">
        <f>N32/F32</f>
        <v>0.3</v>
      </c>
      <c r="K32" s="697">
        <f>O32/F32</f>
        <v>0.3</v>
      </c>
      <c r="L32" s="697"/>
      <c r="M32" s="695">
        <f>M33+M34</f>
        <v>7080.9065039724692</v>
      </c>
      <c r="N32" s="695">
        <f t="shared" ref="N32:P32" si="26">N33+N34</f>
        <v>5310.6798779793517</v>
      </c>
      <c r="O32" s="695">
        <f t="shared" si="26"/>
        <v>5310.6798779793517</v>
      </c>
      <c r="P32" s="695">
        <f t="shared" si="26"/>
        <v>0</v>
      </c>
      <c r="Q32" s="686"/>
    </row>
    <row r="33" spans="1:17" s="329" customFormat="1" x14ac:dyDescent="0.2">
      <c r="A33" s="195" t="str">
        <f>'Estimación por período'!A34</f>
        <v>8.1. Fortalecimiento de los procesos I+D+i para la cadena de maíz y sus derivados.</v>
      </c>
      <c r="B33" s="681">
        <f>'Estimación por período'!B34</f>
        <v>7040.3814005094991</v>
      </c>
      <c r="C33" s="333">
        <v>0.65</v>
      </c>
      <c r="D33" s="333">
        <v>0.3</v>
      </c>
      <c r="E33" s="333">
        <v>0.05</v>
      </c>
      <c r="F33" s="332">
        <f t="shared" si="16"/>
        <v>4576.2479103311744</v>
      </c>
      <c r="G33" s="332">
        <f t="shared" si="17"/>
        <v>2112.1144201528496</v>
      </c>
      <c r="H33" s="332">
        <f t="shared" si="13"/>
        <v>352.019070025475</v>
      </c>
      <c r="I33" s="334">
        <v>0.4</v>
      </c>
      <c r="J33" s="335">
        <v>0.3</v>
      </c>
      <c r="K33" s="334">
        <v>0.3</v>
      </c>
      <c r="L33" s="334"/>
      <c r="M33" s="332">
        <f t="shared" si="3"/>
        <v>1830.4991641324698</v>
      </c>
      <c r="N33" s="332">
        <f t="shared" si="4"/>
        <v>1372.8743730993522</v>
      </c>
      <c r="O33" s="332">
        <f t="shared" si="5"/>
        <v>1372.8743730993522</v>
      </c>
      <c r="P33" s="332">
        <f t="shared" si="6"/>
        <v>0</v>
      </c>
      <c r="Q33" s="686"/>
    </row>
    <row r="34" spans="1:17" s="329" customFormat="1" ht="28.5" x14ac:dyDescent="0.2">
      <c r="A34" s="195" t="str">
        <f>'Estimación por período'!A35</f>
        <v>8.2. Fortalecimiento del talento humano en I+D+i, y en extensionismo agrícola e industrial.</v>
      </c>
      <c r="B34" s="681">
        <f>'Estimación por período'!B35</f>
        <v>20193.874383999999</v>
      </c>
      <c r="C34" s="333">
        <v>0.65</v>
      </c>
      <c r="D34" s="333">
        <v>0.3</v>
      </c>
      <c r="E34" s="333">
        <v>0.05</v>
      </c>
      <c r="F34" s="332">
        <f t="shared" si="16"/>
        <v>13126.018349599999</v>
      </c>
      <c r="G34" s="332">
        <f t="shared" si="17"/>
        <v>6058.1623151999993</v>
      </c>
      <c r="H34" s="332">
        <f t="shared" si="13"/>
        <v>1009.6937192</v>
      </c>
      <c r="I34" s="334">
        <v>0.4</v>
      </c>
      <c r="J34" s="335">
        <v>0.3</v>
      </c>
      <c r="K34" s="334">
        <v>0.3</v>
      </c>
      <c r="L34" s="334"/>
      <c r="M34" s="332">
        <f t="shared" si="3"/>
        <v>5250.4073398399996</v>
      </c>
      <c r="N34" s="332">
        <f t="shared" si="4"/>
        <v>3937.8055048799997</v>
      </c>
      <c r="O34" s="332">
        <f t="shared" si="5"/>
        <v>3937.8055048799997</v>
      </c>
      <c r="P34" s="332">
        <f t="shared" si="6"/>
        <v>0</v>
      </c>
      <c r="Q34" s="686"/>
    </row>
    <row r="35" spans="1:17" s="330" customFormat="1" ht="15" x14ac:dyDescent="0.25">
      <c r="A35" s="696" t="str">
        <f>'Estimación por período'!A36</f>
        <v>9. Fortalecimiento de la gestión institucional de la cadena de maíz</v>
      </c>
      <c r="B35" s="691">
        <f>'Estimación por período'!B36</f>
        <v>11686.193987750001</v>
      </c>
      <c r="C35" s="692">
        <f>F35/B35</f>
        <v>0.84246677393064984</v>
      </c>
      <c r="D35" s="692">
        <f>G35/B35</f>
        <v>0.11209464756431047</v>
      </c>
      <c r="E35" s="692">
        <f>H35/B35</f>
        <v>4.5438578505039587E-2</v>
      </c>
      <c r="F35" s="694">
        <f>F36+F37+F38+F39+F40+F41</f>
        <v>9845.2301483874999</v>
      </c>
      <c r="G35" s="694">
        <f t="shared" ref="G35:H35" si="27">G36+G37+G38+G39+G40+G41</f>
        <v>1309.9597964250001</v>
      </c>
      <c r="H35" s="694">
        <f t="shared" si="27"/>
        <v>531.0040429375</v>
      </c>
      <c r="I35" s="697">
        <f>M35/F35</f>
        <v>0.79538738108804519</v>
      </c>
      <c r="J35" s="697">
        <f>N35/F35</f>
        <v>0</v>
      </c>
      <c r="K35" s="697">
        <f>O35/F35</f>
        <v>0.10461261891195482</v>
      </c>
      <c r="L35" s="697">
        <f>P35/F35</f>
        <v>0.10000000000000002</v>
      </c>
      <c r="M35" s="695">
        <f>M36+M37+M38+M39+M40+M41</f>
        <v>7830.7718239349997</v>
      </c>
      <c r="N35" s="695">
        <f t="shared" ref="N35:P35" si="28">N36+N37+N38+N39+N40+N41</f>
        <v>0</v>
      </c>
      <c r="O35" s="695">
        <f t="shared" si="28"/>
        <v>1029.93530961375</v>
      </c>
      <c r="P35" s="695">
        <f t="shared" si="28"/>
        <v>984.52301483875021</v>
      </c>
      <c r="Q35" s="686"/>
    </row>
    <row r="36" spans="1:17" s="329" customFormat="1" ht="28.5" x14ac:dyDescent="0.2">
      <c r="A36" s="195" t="str">
        <f>'Estimación por período'!A37</f>
        <v>9.1. Fortalecimiento del Sistema de Inspección, Vigilancia y Control para la cadena de maíz.</v>
      </c>
      <c r="B36" s="681">
        <f>'Estimación por período'!B37</f>
        <v>2057.7055274999998</v>
      </c>
      <c r="C36" s="333">
        <v>0.95</v>
      </c>
      <c r="D36" s="333"/>
      <c r="E36" s="333">
        <v>0.05</v>
      </c>
      <c r="F36" s="332">
        <f>B36*C36</f>
        <v>1954.8202511249997</v>
      </c>
      <c r="G36" s="332">
        <f t="shared" si="17"/>
        <v>0</v>
      </c>
      <c r="H36" s="332">
        <f t="shared" si="13"/>
        <v>102.88527637499999</v>
      </c>
      <c r="I36" s="334">
        <v>0.9</v>
      </c>
      <c r="J36" s="335"/>
      <c r="K36" s="334"/>
      <c r="L36" s="334">
        <v>0.1</v>
      </c>
      <c r="M36" s="332">
        <f t="shared" si="3"/>
        <v>1759.3382260124997</v>
      </c>
      <c r="N36" s="332">
        <f t="shared" si="4"/>
        <v>0</v>
      </c>
      <c r="O36" s="332">
        <f t="shared" si="5"/>
        <v>0</v>
      </c>
      <c r="P36" s="332">
        <f t="shared" si="6"/>
        <v>195.48202511249997</v>
      </c>
      <c r="Q36" s="686"/>
    </row>
    <row r="37" spans="1:17" s="329" customFormat="1" ht="28.5" x14ac:dyDescent="0.2">
      <c r="A37" s="195" t="str">
        <f>'Estimación por período'!A38</f>
        <v>9.2. Diseño y mejora de los instrumentos de financiamiento, comercialización, gestión de riesgos y empresarización para la cadena de maíz.</v>
      </c>
      <c r="B37" s="681">
        <f>'Estimación por período'!B38</f>
        <v>1566.1648700000001</v>
      </c>
      <c r="C37" s="333">
        <v>0.95</v>
      </c>
      <c r="D37" s="333"/>
      <c r="E37" s="333">
        <v>0.05</v>
      </c>
      <c r="F37" s="332">
        <f>B37*C37</f>
        <v>1487.8566264999999</v>
      </c>
      <c r="G37" s="332">
        <f t="shared" si="17"/>
        <v>0</v>
      </c>
      <c r="H37" s="332">
        <f>B37*E37</f>
        <v>78.308243500000003</v>
      </c>
      <c r="I37" s="334">
        <v>0.9</v>
      </c>
      <c r="J37" s="335"/>
      <c r="K37" s="334"/>
      <c r="L37" s="334">
        <v>0.1</v>
      </c>
      <c r="M37" s="332">
        <f t="shared" si="3"/>
        <v>1339.07096385</v>
      </c>
      <c r="N37" s="332">
        <f t="shared" si="4"/>
        <v>0</v>
      </c>
      <c r="O37" s="332">
        <f t="shared" si="5"/>
        <v>0</v>
      </c>
      <c r="P37" s="332">
        <f t="shared" si="6"/>
        <v>148.78566265000001</v>
      </c>
      <c r="Q37" s="686"/>
    </row>
    <row r="38" spans="1:17" s="329" customFormat="1" ht="28.5" x14ac:dyDescent="0.2">
      <c r="A38" s="195" t="str">
        <f>'Estimación por período'!A39</f>
        <v>9.3. Fortalecimiento de mecanismos institucionales para el impulso a las inversiones en producción de maíz a mediana y gran escala.</v>
      </c>
      <c r="B38" s="681">
        <f>'Estimación por período'!B39</f>
        <v>3917.8721744999998</v>
      </c>
      <c r="C38" s="333">
        <v>0.8</v>
      </c>
      <c r="D38" s="333">
        <v>0.15</v>
      </c>
      <c r="E38" s="333">
        <v>0.05</v>
      </c>
      <c r="F38" s="332">
        <f>B38*C38</f>
        <v>3134.2977396000001</v>
      </c>
      <c r="G38" s="332">
        <f t="shared" si="17"/>
        <v>587.68082617499999</v>
      </c>
      <c r="H38" s="332">
        <f t="shared" si="13"/>
        <v>195.89360872500001</v>
      </c>
      <c r="I38" s="334">
        <v>0.8</v>
      </c>
      <c r="J38" s="335"/>
      <c r="K38" s="334">
        <v>0.1</v>
      </c>
      <c r="L38" s="334">
        <v>0.1</v>
      </c>
      <c r="M38" s="332">
        <f t="shared" si="3"/>
        <v>2507.4381916800003</v>
      </c>
      <c r="N38" s="332">
        <f t="shared" si="4"/>
        <v>0</v>
      </c>
      <c r="O38" s="332">
        <f t="shared" si="5"/>
        <v>313.42977396000003</v>
      </c>
      <c r="P38" s="332">
        <f t="shared" si="6"/>
        <v>313.42977396000003</v>
      </c>
      <c r="Q38" s="686"/>
    </row>
    <row r="39" spans="1:17" s="329" customFormat="1" x14ac:dyDescent="0.2">
      <c r="A39" s="195" t="str">
        <f>'Estimación por período'!A40</f>
        <v>9.4. Diseño y operación del Sistema nacional de Información para la cadena de maíz.</v>
      </c>
      <c r="B39" s="681">
        <f>'Estimación por período'!B40</f>
        <v>2117.3948137500001</v>
      </c>
      <c r="C39" s="333">
        <v>0.75</v>
      </c>
      <c r="D39" s="333">
        <v>0.2</v>
      </c>
      <c r="E39" s="333">
        <v>0.05</v>
      </c>
      <c r="F39" s="332">
        <f t="shared" si="16"/>
        <v>1588.0461103125001</v>
      </c>
      <c r="G39" s="332">
        <f t="shared" si="17"/>
        <v>423.47896275000005</v>
      </c>
      <c r="H39" s="332">
        <f t="shared" si="13"/>
        <v>105.86974068750001</v>
      </c>
      <c r="I39" s="334">
        <v>0.6</v>
      </c>
      <c r="J39" s="335"/>
      <c r="K39" s="334">
        <v>0.3</v>
      </c>
      <c r="L39" s="334">
        <v>0.1</v>
      </c>
      <c r="M39" s="332">
        <f t="shared" si="3"/>
        <v>952.82766618749997</v>
      </c>
      <c r="N39" s="332">
        <f t="shared" si="4"/>
        <v>0</v>
      </c>
      <c r="O39" s="332">
        <f t="shared" si="5"/>
        <v>476.41383309374999</v>
      </c>
      <c r="P39" s="332">
        <f t="shared" si="6"/>
        <v>158.80461103125003</v>
      </c>
      <c r="Q39" s="686"/>
    </row>
    <row r="40" spans="1:17" s="329" customFormat="1" x14ac:dyDescent="0.2">
      <c r="A40" s="197" t="str">
        <f>'Estimación por período'!A41</f>
        <v>9.5. Constitución y fortalecimiento de la Organización de Cadena de maíz.</v>
      </c>
      <c r="B40" s="683">
        <f>'Estimación por período'!B41</f>
        <v>960.94347300000004</v>
      </c>
      <c r="C40" s="333">
        <v>0.75</v>
      </c>
      <c r="D40" s="333">
        <v>0.2</v>
      </c>
      <c r="E40" s="333">
        <v>0.05</v>
      </c>
      <c r="F40" s="332">
        <f t="shared" si="16"/>
        <v>720.70760474999997</v>
      </c>
      <c r="G40" s="332">
        <f t="shared" si="17"/>
        <v>192.18869460000002</v>
      </c>
      <c r="H40" s="332">
        <f t="shared" si="13"/>
        <v>48.047173650000005</v>
      </c>
      <c r="I40" s="334">
        <v>0.7</v>
      </c>
      <c r="J40" s="335"/>
      <c r="K40" s="334">
        <v>0.2</v>
      </c>
      <c r="L40" s="334">
        <v>0.1</v>
      </c>
      <c r="M40" s="332">
        <f t="shared" si="3"/>
        <v>504.49532332499996</v>
      </c>
      <c r="N40" s="332">
        <f t="shared" si="4"/>
        <v>0</v>
      </c>
      <c r="O40" s="332">
        <f t="shared" si="5"/>
        <v>144.14152095</v>
      </c>
      <c r="P40" s="332">
        <f t="shared" si="6"/>
        <v>72.070760475</v>
      </c>
      <c r="Q40" s="686"/>
    </row>
    <row r="41" spans="1:17" s="329" customFormat="1" x14ac:dyDescent="0.2">
      <c r="A41" s="197" t="str">
        <f>'Estimación por período'!A42</f>
        <v>9.6. Adopción, promoción y monitoreo de la política pública para la cadena de maíz.</v>
      </c>
      <c r="B41" s="683">
        <f>'Estimación por período'!B42</f>
        <v>1066.1131290000001</v>
      </c>
      <c r="C41" s="333">
        <v>0.9</v>
      </c>
      <c r="D41" s="333">
        <v>0.1</v>
      </c>
      <c r="E41" s="333"/>
      <c r="F41" s="332">
        <f t="shared" si="16"/>
        <v>959.50181610000004</v>
      </c>
      <c r="G41" s="332">
        <f t="shared" si="17"/>
        <v>106.61131290000002</v>
      </c>
      <c r="H41" s="332">
        <f t="shared" si="13"/>
        <v>0</v>
      </c>
      <c r="I41" s="334">
        <v>0.8</v>
      </c>
      <c r="J41" s="335"/>
      <c r="K41" s="334">
        <v>0.1</v>
      </c>
      <c r="L41" s="334">
        <v>0.1</v>
      </c>
      <c r="M41" s="332">
        <f t="shared" si="3"/>
        <v>767.60145288000012</v>
      </c>
      <c r="N41" s="332">
        <f t="shared" si="4"/>
        <v>0</v>
      </c>
      <c r="O41" s="332">
        <f t="shared" si="5"/>
        <v>95.950181610000016</v>
      </c>
      <c r="P41" s="332">
        <f t="shared" si="6"/>
        <v>95.950181610000016</v>
      </c>
      <c r="Q41" s="686"/>
    </row>
    <row r="42" spans="1:17" s="331" customFormat="1" ht="15.75" x14ac:dyDescent="0.25">
      <c r="A42" s="161" t="str">
        <f>'Estimación por período'!A43</f>
        <v>TOTAL</v>
      </c>
      <c r="B42" s="161">
        <f>'Estimación por período'!B43</f>
        <v>4027154.6509093838</v>
      </c>
      <c r="C42" s="348">
        <f>F42/B42</f>
        <v>0.94470107707632167</v>
      </c>
      <c r="D42" s="349">
        <f>G42/B42</f>
        <v>4.2067337600514121E-2</v>
      </c>
      <c r="E42" s="350">
        <f>H42/B42</f>
        <v>1.3231585323163968E-2</v>
      </c>
      <c r="F42" s="342">
        <f>F6+F9+F13+F19+F22+F24+F32+F35+F29</f>
        <v>3804457.3362670131</v>
      </c>
      <c r="G42" s="343">
        <f>G6+G9+G13+G19+G22+G24+G32+G35+G29</f>
        <v>169411.67426928564</v>
      </c>
      <c r="H42" s="344">
        <f>H6+H9+H13+H19+H22+H24+H32+H35+H29</f>
        <v>53285.640373084119</v>
      </c>
      <c r="I42" s="348">
        <f>M42/F42</f>
        <v>0.87371253106674662</v>
      </c>
      <c r="J42" s="348">
        <f>N42/F42</f>
        <v>1.1403529449623433E-2</v>
      </c>
      <c r="K42" s="348">
        <f>O42/F42</f>
        <v>0.10443042345426667</v>
      </c>
      <c r="L42" s="348">
        <f>P42/F42</f>
        <v>1.045351602936377E-2</v>
      </c>
      <c r="M42" s="345">
        <f>M6+M9+M13+M19+M22+M24+M32+M35+M29</f>
        <v>3324002.0486053047</v>
      </c>
      <c r="N42" s="345">
        <f>N6+N9+N13+N19+N22+N24+N32+N35+N29</f>
        <v>43384.241273956803</v>
      </c>
      <c r="O42" s="345">
        <f>O6+O9+O13+O19+O22+O24+O32+O35+O29</f>
        <v>397301.0906400556</v>
      </c>
      <c r="P42" s="345">
        <f>P6+P9+P13+P19+P22+P24+P32+P35+P29</f>
        <v>39769.955747697808</v>
      </c>
      <c r="Q42" s="686"/>
    </row>
    <row r="43" spans="1:17" s="160" customFormat="1" ht="15.75" x14ac:dyDescent="0.2">
      <c r="A43" s="696" t="s">
        <v>380</v>
      </c>
      <c r="B43" s="52"/>
      <c r="C43" s="52"/>
      <c r="D43" s="52"/>
      <c r="E43" s="52"/>
      <c r="F43" s="342">
        <f>F42/20</f>
        <v>190222.86681335064</v>
      </c>
      <c r="G43" s="343">
        <f>G42/20</f>
        <v>8470.5837134642825</v>
      </c>
      <c r="H43" s="344">
        <f>H42/20</f>
        <v>2664.2820186542058</v>
      </c>
      <c r="M43" s="345">
        <f>M42/20</f>
        <v>166200.10243026522</v>
      </c>
      <c r="N43" s="345">
        <f>N42/20</f>
        <v>2169.2120636978402</v>
      </c>
      <c r="O43" s="345">
        <f>O42/20</f>
        <v>19865.054532002781</v>
      </c>
      <c r="P43" s="345">
        <f>P42/20</f>
        <v>1988.4977873848904</v>
      </c>
      <c r="Q43" s="686">
        <f t="shared" ref="Q43" si="29">C43+D43+E43</f>
        <v>0</v>
      </c>
    </row>
  </sheetData>
  <sheetProtection algorithmName="SHA-512" hashValue="2Iphmh2THDCm0fwh9rBUzms7R6OM/Na5tSz0GwRFciSYao1q3ZhLk9QazousFahD3Ao1swWYA1nDKUOQR4V3TA==" saltValue="0dcRabXIgI6bhqEm+hEneQ==" spinCount="100000" sheet="1" objects="1" scenarios="1"/>
  <mergeCells count="2">
    <mergeCell ref="A1:P1"/>
    <mergeCell ref="A2:P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92"/>
  <sheetViews>
    <sheetView showGridLines="0" zoomScale="70" zoomScaleNormal="70" workbookViewId="0">
      <selection activeCell="E68" sqref="E68:E69"/>
    </sheetView>
  </sheetViews>
  <sheetFormatPr baseColWidth="10" defaultColWidth="10.7109375" defaultRowHeight="14.25" x14ac:dyDescent="0.2"/>
  <cols>
    <col min="1" max="1" width="13.42578125" style="37" customWidth="1"/>
    <col min="2" max="2" width="67.42578125" style="37" customWidth="1"/>
    <col min="3" max="3" width="26.5703125" style="37" customWidth="1"/>
    <col min="4" max="4" width="27.140625" style="37" customWidth="1"/>
    <col min="5" max="5" width="22.42578125" style="37" customWidth="1"/>
    <col min="6" max="7" width="19.7109375" style="37" bestFit="1" customWidth="1"/>
    <col min="8" max="8" width="21.5703125" style="37" customWidth="1"/>
    <col min="9" max="9" width="19.7109375" style="37" customWidth="1"/>
    <col min="10" max="11" width="19.7109375" style="37" bestFit="1" customWidth="1"/>
    <col min="12" max="12" width="19.140625" style="37" bestFit="1" customWidth="1"/>
    <col min="13" max="22" width="19.7109375" style="37" bestFit="1" customWidth="1"/>
    <col min="23" max="23" width="20.42578125" style="37" bestFit="1" customWidth="1"/>
    <col min="24" max="24" width="25.42578125" style="37" customWidth="1"/>
    <col min="25" max="25" width="22.28515625" style="37" bestFit="1" customWidth="1"/>
    <col min="26" max="26" width="19.140625" style="37" bestFit="1" customWidth="1"/>
    <col min="27" max="27" width="17" style="37" bestFit="1" customWidth="1"/>
    <col min="28" max="28" width="17.85546875" style="37" customWidth="1"/>
    <col min="29" max="16384" width="10.7109375" style="37"/>
  </cols>
  <sheetData>
    <row r="2" spans="1:26" ht="15" x14ac:dyDescent="0.25">
      <c r="A2" s="57" t="s">
        <v>87</v>
      </c>
    </row>
    <row r="3" spans="1:26" s="38" customFormat="1" ht="15" x14ac:dyDescent="0.25">
      <c r="A3" s="49"/>
    </row>
    <row r="4" spans="1:26" ht="21.6" customHeight="1" x14ac:dyDescent="0.25">
      <c r="A4" s="58"/>
      <c r="B4" s="59" t="str">
        <f>Portafolio_Cadena_Maíz!C2</f>
        <v>1. Incremento del consumo de maíz nacional.</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37"/>
      <c r="B7" s="63" t="s">
        <v>28</v>
      </c>
      <c r="C7" s="64" t="s">
        <v>66</v>
      </c>
      <c r="D7" s="64" t="s">
        <v>160</v>
      </c>
      <c r="E7" s="65">
        <f t="shared" ref="E7" si="0">SUM(E8:E9)</f>
        <v>1180628211.9875</v>
      </c>
      <c r="F7" s="65">
        <f>SUM(F8:F9)</f>
        <v>4722512847.9499998</v>
      </c>
      <c r="G7" s="65">
        <f t="shared" ref="G7:X7" si="1">SUM(G8:G9)</f>
        <v>9398987708.1499977</v>
      </c>
      <c r="H7" s="65">
        <f t="shared" si="1"/>
        <v>10079202233.27</v>
      </c>
      <c r="I7" s="65">
        <f t="shared" si="1"/>
        <v>10815747023.751499</v>
      </c>
      <c r="J7" s="65">
        <f t="shared" si="1"/>
        <v>11612554569.817848</v>
      </c>
      <c r="K7" s="65">
        <f t="shared" si="1"/>
        <v>12680511036.707367</v>
      </c>
      <c r="L7" s="65">
        <f t="shared" si="1"/>
        <v>4722512847.9499998</v>
      </c>
      <c r="M7" s="65">
        <f t="shared" si="1"/>
        <v>4722512847.9499998</v>
      </c>
      <c r="N7" s="65">
        <f t="shared" si="1"/>
        <v>4722512847.9499998</v>
      </c>
      <c r="O7" s="65">
        <f t="shared" si="1"/>
        <v>4722512847.9499998</v>
      </c>
      <c r="P7" s="65">
        <f t="shared" si="1"/>
        <v>4722512847.9499998</v>
      </c>
      <c r="Q7" s="65">
        <f t="shared" si="1"/>
        <v>4722512847.9499998</v>
      </c>
      <c r="R7" s="65">
        <f t="shared" si="1"/>
        <v>4722512847.9499998</v>
      </c>
      <c r="S7" s="65">
        <f t="shared" si="1"/>
        <v>4722512847.9499998</v>
      </c>
      <c r="T7" s="65">
        <f t="shared" si="1"/>
        <v>4722512847.9499998</v>
      </c>
      <c r="U7" s="65">
        <f t="shared" si="1"/>
        <v>4722512847.9499998</v>
      </c>
      <c r="V7" s="65">
        <f t="shared" si="1"/>
        <v>4722512847.9499998</v>
      </c>
      <c r="W7" s="65">
        <f t="shared" si="1"/>
        <v>4722512847.9499998</v>
      </c>
      <c r="X7" s="65">
        <f t="shared" si="1"/>
        <v>4722512847.9499998</v>
      </c>
      <c r="Y7" s="65">
        <f>SUM(E7:X7)</f>
        <v>121882810654.98418</v>
      </c>
    </row>
    <row r="8" spans="1:26" s="70" customFormat="1" ht="60" customHeight="1" x14ac:dyDescent="0.2">
      <c r="A8" s="67"/>
      <c r="B8" s="68" t="str">
        <f>Portafolio_Cadena_Maíz!D2</f>
        <v>1.1. Aumento de la participación del maíz nacional en el mercado de consumo animal.</v>
      </c>
      <c r="C8" s="113" t="s">
        <v>375</v>
      </c>
      <c r="D8" s="113" t="s">
        <v>161</v>
      </c>
      <c r="E8" s="69">
        <f>I46*3</f>
        <v>516491238.75</v>
      </c>
      <c r="F8" s="69">
        <f>H46</f>
        <v>2065964955</v>
      </c>
      <c r="G8" s="69">
        <f>F8+J48</f>
        <v>6742439815.1999989</v>
      </c>
      <c r="H8" s="69">
        <f>F8+K48</f>
        <v>7422654340.3199997</v>
      </c>
      <c r="I8" s="69">
        <f>H46+L48</f>
        <v>8159199130.8014994</v>
      </c>
      <c r="J8" s="69">
        <f>H46+M48</f>
        <v>8956006676.8678493</v>
      </c>
      <c r="K8" s="69">
        <f>H46+N48</f>
        <v>10023963143.757366</v>
      </c>
      <c r="L8" s="69">
        <f>F8</f>
        <v>2065964955</v>
      </c>
      <c r="M8" s="69">
        <f t="shared" ref="M8:W8" si="2">L8</f>
        <v>2065964955</v>
      </c>
      <c r="N8" s="69">
        <f t="shared" si="2"/>
        <v>2065964955</v>
      </c>
      <c r="O8" s="69">
        <f t="shared" si="2"/>
        <v>2065964955</v>
      </c>
      <c r="P8" s="69">
        <f t="shared" si="2"/>
        <v>2065964955</v>
      </c>
      <c r="Q8" s="69">
        <f t="shared" si="2"/>
        <v>2065964955</v>
      </c>
      <c r="R8" s="69">
        <f t="shared" si="2"/>
        <v>2065964955</v>
      </c>
      <c r="S8" s="69">
        <f t="shared" si="2"/>
        <v>2065964955</v>
      </c>
      <c r="T8" s="69">
        <f t="shared" si="2"/>
        <v>2065964955</v>
      </c>
      <c r="U8" s="69">
        <f t="shared" si="2"/>
        <v>2065964955</v>
      </c>
      <c r="V8" s="69">
        <f t="shared" si="2"/>
        <v>2065964955</v>
      </c>
      <c r="W8" s="69">
        <f t="shared" si="2"/>
        <v>2065964955</v>
      </c>
      <c r="X8" s="69">
        <f>W8</f>
        <v>2065964955</v>
      </c>
      <c r="Y8" s="69">
        <f>SUM(E8:X8)</f>
        <v>70744263715.696716</v>
      </c>
    </row>
    <row r="9" spans="1:26" s="70" customFormat="1" ht="42.95" customHeight="1" x14ac:dyDescent="0.2">
      <c r="A9" s="67"/>
      <c r="B9" s="68" t="str">
        <f>Portafolio_Cadena_Maíz!D8</f>
        <v>1.2. Posicionamiento de la oferta del maíz nacional y sus derivados, para alimentación humana y otros usos.</v>
      </c>
      <c r="C9" s="113" t="s">
        <v>215</v>
      </c>
      <c r="D9" s="113" t="s">
        <v>161</v>
      </c>
      <c r="E9" s="69">
        <f>I89*3</f>
        <v>664136973.23749995</v>
      </c>
      <c r="F9" s="69">
        <f>H89</f>
        <v>2656547892.9499998</v>
      </c>
      <c r="G9" s="69">
        <f>H89</f>
        <v>2656547892.9499998</v>
      </c>
      <c r="H9" s="69">
        <f t="shared" ref="H9:X9" si="3">G9</f>
        <v>2656547892.9499998</v>
      </c>
      <c r="I9" s="69">
        <f t="shared" si="3"/>
        <v>2656547892.9499998</v>
      </c>
      <c r="J9" s="69">
        <f t="shared" si="3"/>
        <v>2656547892.9499998</v>
      </c>
      <c r="K9" s="69">
        <f t="shared" si="3"/>
        <v>2656547892.9499998</v>
      </c>
      <c r="L9" s="69">
        <f t="shared" si="3"/>
        <v>2656547892.9499998</v>
      </c>
      <c r="M9" s="69">
        <f t="shared" si="3"/>
        <v>2656547892.9499998</v>
      </c>
      <c r="N9" s="69">
        <f t="shared" si="3"/>
        <v>2656547892.9499998</v>
      </c>
      <c r="O9" s="69">
        <f t="shared" si="3"/>
        <v>2656547892.9499998</v>
      </c>
      <c r="P9" s="69">
        <f t="shared" si="3"/>
        <v>2656547892.9499998</v>
      </c>
      <c r="Q9" s="69">
        <f t="shared" si="3"/>
        <v>2656547892.9499998</v>
      </c>
      <c r="R9" s="69">
        <f t="shared" si="3"/>
        <v>2656547892.9499998</v>
      </c>
      <c r="S9" s="69">
        <f t="shared" si="3"/>
        <v>2656547892.9499998</v>
      </c>
      <c r="T9" s="69">
        <f t="shared" si="3"/>
        <v>2656547892.9499998</v>
      </c>
      <c r="U9" s="69">
        <f t="shared" si="3"/>
        <v>2656547892.9499998</v>
      </c>
      <c r="V9" s="69">
        <f t="shared" si="3"/>
        <v>2656547892.9499998</v>
      </c>
      <c r="W9" s="69">
        <f t="shared" si="3"/>
        <v>2656547892.9499998</v>
      </c>
      <c r="X9" s="69">
        <f t="shared" si="3"/>
        <v>2656547892.9499998</v>
      </c>
      <c r="Y9" s="69">
        <f>SUM(E9:X9)</f>
        <v>51138546939.287483</v>
      </c>
    </row>
    <row r="10" spans="1:26" s="40" customFormat="1" ht="24.6" customHeight="1" x14ac:dyDescent="0.25">
      <c r="A10" s="37"/>
      <c r="B10" s="63" t="s">
        <v>32</v>
      </c>
      <c r="C10" s="63"/>
      <c r="D10" s="63"/>
      <c r="E10" s="71">
        <f>E8+E9</f>
        <v>1180628211.9875</v>
      </c>
      <c r="F10" s="71">
        <f t="shared" ref="F10:X10" si="4">F8+F9</f>
        <v>4722512847.9499998</v>
      </c>
      <c r="G10" s="71">
        <f t="shared" si="4"/>
        <v>9398987708.1499977</v>
      </c>
      <c r="H10" s="71">
        <f t="shared" si="4"/>
        <v>10079202233.27</v>
      </c>
      <c r="I10" s="71">
        <f t="shared" si="4"/>
        <v>10815747023.751499</v>
      </c>
      <c r="J10" s="71">
        <f t="shared" si="4"/>
        <v>11612554569.817848</v>
      </c>
      <c r="K10" s="71">
        <f t="shared" si="4"/>
        <v>12680511036.707367</v>
      </c>
      <c r="L10" s="71">
        <f t="shared" si="4"/>
        <v>4722512847.9499998</v>
      </c>
      <c r="M10" s="71">
        <f t="shared" si="4"/>
        <v>4722512847.9499998</v>
      </c>
      <c r="N10" s="71">
        <f t="shared" si="4"/>
        <v>4722512847.9499998</v>
      </c>
      <c r="O10" s="71">
        <f t="shared" si="4"/>
        <v>4722512847.9499998</v>
      </c>
      <c r="P10" s="71">
        <f t="shared" si="4"/>
        <v>4722512847.9499998</v>
      </c>
      <c r="Q10" s="71">
        <f t="shared" si="4"/>
        <v>4722512847.9499998</v>
      </c>
      <c r="R10" s="71">
        <f t="shared" si="4"/>
        <v>4722512847.9499998</v>
      </c>
      <c r="S10" s="71">
        <f t="shared" si="4"/>
        <v>4722512847.9499998</v>
      </c>
      <c r="T10" s="71">
        <f t="shared" si="4"/>
        <v>4722512847.9499998</v>
      </c>
      <c r="U10" s="71">
        <f t="shared" si="4"/>
        <v>4722512847.9499998</v>
      </c>
      <c r="V10" s="71">
        <f t="shared" si="4"/>
        <v>4722512847.9499998</v>
      </c>
      <c r="W10" s="71">
        <f t="shared" si="4"/>
        <v>4722512847.9499998</v>
      </c>
      <c r="X10" s="71">
        <f t="shared" si="4"/>
        <v>4722512847.9499998</v>
      </c>
      <c r="Y10" s="71">
        <f>Y8+Y9</f>
        <v>121882810654.98419</v>
      </c>
    </row>
    <row r="11" spans="1:26" s="75" customFormat="1" ht="24.6" customHeight="1" x14ac:dyDescent="0.25">
      <c r="A11" s="38"/>
      <c r="B11" s="72"/>
      <c r="C11" s="72"/>
      <c r="D11" s="72"/>
      <c r="E11" s="72"/>
      <c r="F11" s="73"/>
      <c r="G11" s="74"/>
      <c r="H11" s="73"/>
      <c r="I11" s="73"/>
      <c r="J11" s="73"/>
      <c r="K11" s="73"/>
      <c r="L11" s="73"/>
      <c r="M11" s="73"/>
      <c r="N11" s="73"/>
      <c r="O11" s="73"/>
      <c r="P11" s="73"/>
      <c r="Q11" s="73"/>
      <c r="R11" s="73"/>
      <c r="S11" s="73"/>
      <c r="T11" s="73"/>
      <c r="U11" s="73"/>
      <c r="V11" s="73"/>
      <c r="W11" s="73"/>
      <c r="X11" s="73"/>
      <c r="Y11" s="73"/>
      <c r="Z11" s="73"/>
    </row>
    <row r="13" spans="1:26" s="38" customFormat="1" ht="14.45" customHeight="1" x14ac:dyDescent="0.25">
      <c r="B13" s="850" t="str">
        <f>B8</f>
        <v>1.1. Aumento de la participación del maíz nacional en el mercado de consumo animal.</v>
      </c>
      <c r="C13" s="851"/>
      <c r="D13" s="851"/>
      <c r="E13" s="851"/>
      <c r="F13" s="851"/>
      <c r="G13" s="851"/>
      <c r="H13" s="851"/>
      <c r="I13" s="76"/>
      <c r="X13" s="77"/>
    </row>
    <row r="14" spans="1:26" s="38" customFormat="1" ht="14.45" customHeight="1" x14ac:dyDescent="0.25">
      <c r="B14" s="852"/>
      <c r="C14" s="852"/>
      <c r="D14" s="852"/>
      <c r="E14" s="852"/>
      <c r="F14" s="852"/>
      <c r="G14" s="852"/>
      <c r="H14" s="852"/>
      <c r="I14" s="76"/>
      <c r="X14" s="77"/>
    </row>
    <row r="15" spans="1:26" s="102" customFormat="1" ht="38.1" customHeight="1" x14ac:dyDescent="0.25">
      <c r="B15" s="854" t="str">
        <f>Portafolio_Cadena_Maíz!H2</f>
        <v>1.1.1. Analizar de manera continua, el comportamiento de la demanda en el ámbito nacional y regional, de los compradores de maíz cuyo destino es alimento animal, teniendo en cuenta sus requerimientos en términos de cantidades, calidades, procesos y demás características; con el fin de identificar las ventanas de oportunidad que puedan ser abastecidas por la creciente oferta nacional de maíz.</v>
      </c>
      <c r="C15" s="855"/>
      <c r="D15" s="855"/>
      <c r="E15" s="855"/>
      <c r="F15" s="855"/>
      <c r="G15" s="855"/>
      <c r="H15" s="855"/>
      <c r="I15" s="377"/>
      <c r="X15" s="77"/>
    </row>
    <row r="16" spans="1:26" s="102" customFormat="1" ht="35.450000000000003" customHeight="1" x14ac:dyDescent="0.25">
      <c r="B16" s="854" t="str">
        <f>Portafolio_Cadena_Maíz!H3</f>
        <v xml:space="preserve">1.1.2. Mejorar el nivel de información del productor y/o proveedor, en relación a los requerimientos, calidades, precios, condiciones de entrega, entre otras, de los compradores de maíz dirigidos al consumo animal, con el fin de conocer las exigencias tanto para el maíz nacional como para el maíz importado, fomentando mejorar los niveles de confianza entre las partes. </v>
      </c>
      <c r="C16" s="855"/>
      <c r="D16" s="855"/>
      <c r="E16" s="855"/>
      <c r="F16" s="855"/>
      <c r="G16" s="855"/>
      <c r="H16" s="855"/>
      <c r="I16" s="377"/>
      <c r="X16" s="77"/>
    </row>
    <row r="17" spans="2:24" s="102" customFormat="1" ht="29.1" customHeight="1" x14ac:dyDescent="0.25">
      <c r="B17" s="854" t="str">
        <f>Portafolio_Cadena_Maíz!H4</f>
        <v>1.1.3. Realizar acompañamiento comercial y financiero a productores, asociaciones y empresas que redunden en el cumplimiento de los requerimientos del mercado, enfocándose en estrategias de negociación y cumplimiento de las normas de calidad, en concordancia con la actividad 9.2.4.</v>
      </c>
      <c r="C17" s="855"/>
      <c r="D17" s="855"/>
      <c r="E17" s="855"/>
      <c r="F17" s="855"/>
      <c r="G17" s="855"/>
      <c r="H17" s="855"/>
      <c r="I17" s="377"/>
      <c r="X17" s="77"/>
    </row>
    <row r="18" spans="2:24" s="102" customFormat="1" ht="14.45" customHeight="1" x14ac:dyDescent="0.25">
      <c r="B18" s="854" t="str">
        <f>Portafolio_Cadena_Maíz!H5</f>
        <v>1.1.4. Fomentar e incentivar la implementación de contratos de suministro a mediano y largo plazo entre productores, cooperativas, asociaciones, comercializadores, mayoristas, minoristas, empresas transformadoras, entre otros, a nivel local, regional, y nacional, con elementos que aseguren su cumplimiento, en concordancia con el proyecto 9.2."Diseño y mejora de los instrumentos de financiamiento, comercialización, gestión de riesgos y empresarización para la cadena de maíz".</v>
      </c>
      <c r="C18" s="855"/>
      <c r="D18" s="855"/>
      <c r="E18" s="855"/>
      <c r="F18" s="855"/>
      <c r="G18" s="855"/>
      <c r="H18" s="855"/>
      <c r="I18" s="377"/>
      <c r="X18" s="77"/>
    </row>
    <row r="19" spans="2:24" s="102" customFormat="1" ht="14.45" customHeight="1" x14ac:dyDescent="0.25">
      <c r="B19" s="855"/>
      <c r="C19" s="855"/>
      <c r="D19" s="855"/>
      <c r="E19" s="855"/>
      <c r="F19" s="855"/>
      <c r="G19" s="855"/>
      <c r="H19" s="855"/>
      <c r="I19" s="393"/>
      <c r="X19" s="77"/>
    </row>
    <row r="20" spans="2:24" s="102" customFormat="1" ht="14.45" customHeight="1" x14ac:dyDescent="0.25">
      <c r="B20" s="855"/>
      <c r="C20" s="855"/>
      <c r="D20" s="855"/>
      <c r="E20" s="855"/>
      <c r="F20" s="855"/>
      <c r="G20" s="855"/>
      <c r="H20" s="855"/>
      <c r="I20" s="393"/>
      <c r="X20" s="77"/>
    </row>
    <row r="21" spans="2:24" s="102" customFormat="1" ht="29.1" customHeight="1" x14ac:dyDescent="0.25">
      <c r="B21" s="854" t="str">
        <f>Portafolio_Cadena_Maíz!H6</f>
        <v>1.1.5. Impulsar y consolidar espacios comerciales y desarrollo de proveedores, entre los diferentes actores de la cadena, tanto en el mediano como en el largo plazo, con el fin de incrementar negocios a nivel local, regional, nacional, incorporando elementos que aseguren el cumplimiento de las condiciones pactadas en precios, calidades, entrega, entre otros, en concordancia con el proyecto 9.2 "Diseño y mejora de los instrumentos de financiamiento, comercialización, gestión de riesgos y empresarización para la cadena de maíz.</v>
      </c>
      <c r="C21" s="855"/>
      <c r="D21" s="855"/>
      <c r="E21" s="855"/>
      <c r="F21" s="855"/>
      <c r="G21" s="855"/>
      <c r="H21" s="855"/>
      <c r="I21" s="377"/>
      <c r="X21" s="77"/>
    </row>
    <row r="22" spans="2:24" s="102" customFormat="1" ht="27.6" customHeight="1" x14ac:dyDescent="0.25">
      <c r="B22" s="854" t="str">
        <f>Portafolio_Cadena_Maíz!H7</f>
        <v xml:space="preserve">1.1.6. Promover alianzas entre las empresas vendedoras de proteína animal y sus proveedores, para que en el producto final (huevo, pollo, cerdo, carne, etc.), se incorporen elementos, tales como sellos, certificaciones, entre otros; que resalten características diferenciadoras, asociadas a las buenas prácticas, sostenibilidad, bienestar animal, Global Gap, trazabilidad, y otras certificaciones que generen valor diferenciador del producto, así como a los atributos de calidad del maíz utilizado para alimentación, entre otros elementos. </v>
      </c>
      <c r="C22" s="855"/>
      <c r="D22" s="855"/>
      <c r="E22" s="855"/>
      <c r="F22" s="855"/>
      <c r="G22" s="855"/>
      <c r="H22" s="855"/>
      <c r="I22" s="377"/>
      <c r="X22" s="77"/>
    </row>
    <row r="23" spans="2:24" s="102" customFormat="1" ht="14.45" customHeight="1" x14ac:dyDescent="0.25">
      <c r="B23" s="397"/>
      <c r="C23" s="397"/>
      <c r="D23" s="397"/>
      <c r="E23" s="397"/>
      <c r="F23" s="397"/>
      <c r="G23" s="397"/>
      <c r="H23" s="397"/>
      <c r="I23" s="393"/>
      <c r="X23" s="77"/>
    </row>
    <row r="24" spans="2:24" s="102" customFormat="1" ht="14.45" customHeight="1" x14ac:dyDescent="0.25">
      <c r="B24" s="856" t="s">
        <v>594</v>
      </c>
      <c r="C24" s="856"/>
      <c r="D24" s="856"/>
      <c r="E24" s="856"/>
      <c r="F24" s="856"/>
      <c r="G24" s="856"/>
      <c r="H24" s="856"/>
      <c r="I24" s="377"/>
      <c r="X24" s="77"/>
    </row>
    <row r="25" spans="2:24" ht="15" x14ac:dyDescent="0.25">
      <c r="B25" s="78" t="s">
        <v>68</v>
      </c>
      <c r="C25" s="78" t="s">
        <v>58</v>
      </c>
      <c r="D25" s="78" t="s">
        <v>55</v>
      </c>
      <c r="E25" s="78" t="s">
        <v>54</v>
      </c>
      <c r="F25" s="79" t="s">
        <v>96</v>
      </c>
      <c r="G25" s="78" t="s">
        <v>70</v>
      </c>
      <c r="H25" s="78" t="s">
        <v>71</v>
      </c>
      <c r="I25" s="101"/>
      <c r="X25" s="80"/>
    </row>
    <row r="26" spans="2:24" x14ac:dyDescent="0.2">
      <c r="B26" s="39" t="s">
        <v>72</v>
      </c>
      <c r="C26" s="39">
        <v>6</v>
      </c>
      <c r="D26" s="39" t="s">
        <v>73</v>
      </c>
      <c r="E26" s="45">
        <v>500000</v>
      </c>
      <c r="F26" s="39"/>
      <c r="G26" s="39"/>
      <c r="H26" s="81">
        <f>C26*E26</f>
        <v>3000000</v>
      </c>
      <c r="I26" s="52"/>
    </row>
    <row r="27" spans="2:24" x14ac:dyDescent="0.2">
      <c r="B27" s="39" t="s">
        <v>74</v>
      </c>
      <c r="C27" s="39">
        <v>6</v>
      </c>
      <c r="D27" s="39" t="s">
        <v>73</v>
      </c>
      <c r="E27" s="45">
        <v>100000</v>
      </c>
      <c r="F27" s="39"/>
      <c r="G27" s="39"/>
      <c r="H27" s="81">
        <f t="shared" ref="H27:H35" si="5">C27*E27</f>
        <v>600000</v>
      </c>
      <c r="I27" s="52"/>
    </row>
    <row r="28" spans="2:24" x14ac:dyDescent="0.2">
      <c r="B28" s="39" t="s">
        <v>97</v>
      </c>
      <c r="C28" s="39">
        <v>1</v>
      </c>
      <c r="D28" s="39" t="s">
        <v>144</v>
      </c>
      <c r="E28" s="45">
        <v>11154675.000000002</v>
      </c>
      <c r="F28" s="39"/>
      <c r="G28" s="39"/>
      <c r="H28" s="81">
        <f>C28*E28</f>
        <v>11154675.000000002</v>
      </c>
      <c r="I28" s="351"/>
      <c r="J28" s="38"/>
    </row>
    <row r="29" spans="2:24" x14ac:dyDescent="0.2">
      <c r="B29" s="39" t="s">
        <v>90</v>
      </c>
      <c r="C29" s="39">
        <v>20</v>
      </c>
      <c r="D29" s="39" t="s">
        <v>73</v>
      </c>
      <c r="E29" s="45">
        <v>2300000</v>
      </c>
      <c r="F29" s="39"/>
      <c r="G29" s="39"/>
      <c r="H29" s="81">
        <f t="shared" si="5"/>
        <v>46000000</v>
      </c>
      <c r="I29" s="52"/>
    </row>
    <row r="30" spans="2:24" x14ac:dyDescent="0.2">
      <c r="B30" s="39" t="s">
        <v>91</v>
      </c>
      <c r="C30" s="39">
        <v>20</v>
      </c>
      <c r="D30" s="39" t="s">
        <v>73</v>
      </c>
      <c r="E30" s="45">
        <v>460000</v>
      </c>
      <c r="F30" s="39"/>
      <c r="G30" s="39"/>
      <c r="H30" s="81">
        <f t="shared" si="5"/>
        <v>9200000</v>
      </c>
      <c r="I30" s="52"/>
    </row>
    <row r="31" spans="2:24" x14ac:dyDescent="0.2">
      <c r="B31" s="39" t="s">
        <v>92</v>
      </c>
      <c r="C31" s="39">
        <f>4*3</f>
        <v>12</v>
      </c>
      <c r="D31" s="39" t="s">
        <v>73</v>
      </c>
      <c r="E31" s="82">
        <v>3270000</v>
      </c>
      <c r="F31" s="39"/>
      <c r="G31" s="39"/>
      <c r="H31" s="81">
        <f t="shared" si="5"/>
        <v>39240000</v>
      </c>
      <c r="I31" s="52"/>
    </row>
    <row r="32" spans="2:24" x14ac:dyDescent="0.2">
      <c r="B32" s="39" t="s">
        <v>230</v>
      </c>
      <c r="C32" s="39">
        <v>10</v>
      </c>
      <c r="D32" s="39" t="s">
        <v>94</v>
      </c>
      <c r="E32" s="45">
        <v>20000000</v>
      </c>
      <c r="F32" s="39"/>
      <c r="G32" s="39"/>
      <c r="H32" s="81">
        <f>C32*E32</f>
        <v>200000000</v>
      </c>
      <c r="I32" s="137"/>
      <c r="J32" s="38"/>
    </row>
    <row r="33" spans="2:15" x14ac:dyDescent="0.2">
      <c r="B33" s="39" t="s">
        <v>258</v>
      </c>
      <c r="C33" s="39">
        <v>10</v>
      </c>
      <c r="D33" s="39" t="s">
        <v>99</v>
      </c>
      <c r="E33" s="45">
        <v>52200000</v>
      </c>
      <c r="F33" s="39"/>
      <c r="G33" s="39"/>
      <c r="H33" s="81">
        <f>C33*E33</f>
        <v>522000000</v>
      </c>
      <c r="I33" s="137"/>
      <c r="J33" s="38"/>
    </row>
    <row r="34" spans="2:15" x14ac:dyDescent="0.2">
      <c r="B34" s="104" t="s">
        <v>76</v>
      </c>
      <c r="C34" s="104">
        <v>10</v>
      </c>
      <c r="D34" s="104" t="s">
        <v>65</v>
      </c>
      <c r="E34" s="94">
        <v>6000000</v>
      </c>
      <c r="F34" s="104"/>
      <c r="G34" s="104"/>
      <c r="H34" s="81">
        <f t="shared" si="5"/>
        <v>60000000</v>
      </c>
      <c r="I34" s="52"/>
    </row>
    <row r="35" spans="2:15" x14ac:dyDescent="0.2">
      <c r="B35" s="104" t="s">
        <v>77</v>
      </c>
      <c r="C35" s="104">
        <v>10</v>
      </c>
      <c r="D35" s="104" t="s">
        <v>65</v>
      </c>
      <c r="E35" s="94">
        <v>1800000</v>
      </c>
      <c r="F35" s="104"/>
      <c r="G35" s="104"/>
      <c r="H35" s="81">
        <f t="shared" si="5"/>
        <v>18000000</v>
      </c>
      <c r="I35" s="52"/>
    </row>
    <row r="36" spans="2:15" x14ac:dyDescent="0.2">
      <c r="B36" s="104" t="s">
        <v>103</v>
      </c>
      <c r="C36" s="104">
        <v>4</v>
      </c>
      <c r="D36" s="104" t="s">
        <v>73</v>
      </c>
      <c r="E36" s="94">
        <v>142800000</v>
      </c>
      <c r="F36" s="104"/>
      <c r="G36" s="104"/>
      <c r="H36" s="81">
        <f>C36*E36</f>
        <v>571200000</v>
      </c>
      <c r="I36" s="52"/>
    </row>
    <row r="37" spans="2:15" x14ac:dyDescent="0.2">
      <c r="B37" s="104" t="s">
        <v>388</v>
      </c>
      <c r="C37" s="104">
        <f>100*10</f>
        <v>1000</v>
      </c>
      <c r="D37" s="104" t="s">
        <v>95</v>
      </c>
      <c r="E37" s="94">
        <v>182000</v>
      </c>
      <c r="F37" s="200">
        <v>0.5</v>
      </c>
      <c r="G37" s="104"/>
      <c r="H37" s="81">
        <f>C37*E37*F37</f>
        <v>91000000</v>
      </c>
      <c r="I37" s="52"/>
    </row>
    <row r="38" spans="2:15" s="101" customFormat="1" x14ac:dyDescent="0.2">
      <c r="B38" s="104" t="s">
        <v>78</v>
      </c>
      <c r="C38" s="104">
        <f>4*10</f>
        <v>40</v>
      </c>
      <c r="D38" s="104" t="s">
        <v>143</v>
      </c>
      <c r="E38" s="94">
        <v>450000</v>
      </c>
      <c r="F38" s="200"/>
      <c r="G38" s="104"/>
      <c r="H38" s="81">
        <f>C38*E38</f>
        <v>18000000</v>
      </c>
      <c r="I38" s="52"/>
    </row>
    <row r="39" spans="2:15" x14ac:dyDescent="0.2">
      <c r="B39" s="104" t="s">
        <v>93</v>
      </c>
      <c r="C39" s="104">
        <v>8</v>
      </c>
      <c r="D39" s="104" t="s">
        <v>100</v>
      </c>
      <c r="E39" s="81">
        <v>18000000</v>
      </c>
      <c r="F39" s="104"/>
      <c r="G39" s="104"/>
      <c r="H39" s="81">
        <f t="shared" ref="H39" si="6">C39*E39</f>
        <v>144000000</v>
      </c>
      <c r="I39" s="137"/>
      <c r="J39" s="38"/>
    </row>
    <row r="40" spans="2:15" x14ac:dyDescent="0.2">
      <c r="B40" s="104" t="s">
        <v>79</v>
      </c>
      <c r="C40" s="104">
        <v>5</v>
      </c>
      <c r="D40" s="104" t="s">
        <v>145</v>
      </c>
      <c r="E40" s="81">
        <v>7862772</v>
      </c>
      <c r="F40" s="200">
        <v>0.5</v>
      </c>
      <c r="G40" s="104">
        <v>12</v>
      </c>
      <c r="H40" s="81">
        <f>C40*E40*G40*F40</f>
        <v>235883160</v>
      </c>
      <c r="I40" s="52"/>
    </row>
    <row r="41" spans="2:15" x14ac:dyDescent="0.2">
      <c r="B41" s="104" t="s">
        <v>80</v>
      </c>
      <c r="C41" s="104">
        <v>8</v>
      </c>
      <c r="D41" s="104" t="s">
        <v>157</v>
      </c>
      <c r="E41" s="81">
        <v>1313122</v>
      </c>
      <c r="F41" s="104"/>
      <c r="G41" s="104"/>
      <c r="H41" s="81">
        <f>C41*E41</f>
        <v>10504976</v>
      </c>
      <c r="I41" s="52"/>
    </row>
    <row r="42" spans="2:15" s="101" customFormat="1" x14ac:dyDescent="0.2">
      <c r="B42" s="104" t="s">
        <v>158</v>
      </c>
      <c r="C42" s="104">
        <v>4</v>
      </c>
      <c r="D42" s="104" t="s">
        <v>102</v>
      </c>
      <c r="E42" s="81">
        <v>3931384</v>
      </c>
      <c r="F42" s="200">
        <v>0.5</v>
      </c>
      <c r="G42" s="104">
        <v>8</v>
      </c>
      <c r="H42" s="81">
        <f>C42*E42*G42*F42</f>
        <v>62902144</v>
      </c>
      <c r="I42" s="52"/>
    </row>
    <row r="43" spans="2:15" s="101" customFormat="1" x14ac:dyDescent="0.2">
      <c r="B43" s="104" t="s">
        <v>56</v>
      </c>
      <c r="C43" s="104">
        <v>4</v>
      </c>
      <c r="D43" s="104" t="s">
        <v>73</v>
      </c>
      <c r="E43" s="81">
        <v>1300000</v>
      </c>
      <c r="F43" s="200">
        <v>0.5</v>
      </c>
      <c r="G43" s="104">
        <v>8</v>
      </c>
      <c r="H43" s="81">
        <f>C43*E43*G43*F43</f>
        <v>20800000</v>
      </c>
      <c r="I43" s="52"/>
    </row>
    <row r="44" spans="2:15" s="101" customFormat="1" x14ac:dyDescent="0.2">
      <c r="B44" s="104" t="s">
        <v>178</v>
      </c>
      <c r="C44" s="104">
        <v>4</v>
      </c>
      <c r="D44" s="104" t="s">
        <v>73</v>
      </c>
      <c r="E44" s="81">
        <v>155000</v>
      </c>
      <c r="F44" s="200">
        <v>0.5</v>
      </c>
      <c r="G44" s="104">
        <v>8</v>
      </c>
      <c r="H44" s="81">
        <f>C44*E44*G44*F44</f>
        <v>2480000</v>
      </c>
      <c r="I44" s="52"/>
    </row>
    <row r="45" spans="2:15" ht="15" x14ac:dyDescent="0.25">
      <c r="B45" s="104" t="s">
        <v>98</v>
      </c>
      <c r="C45" s="104"/>
      <c r="D45" s="104"/>
      <c r="E45" s="104"/>
      <c r="F45" s="104"/>
      <c r="G45" s="104"/>
      <c r="H45" s="81" t="s">
        <v>67</v>
      </c>
      <c r="I45" s="352" t="s">
        <v>159</v>
      </c>
      <c r="J45" s="38"/>
    </row>
    <row r="46" spans="2:15" ht="15" x14ac:dyDescent="0.25">
      <c r="B46" s="85" t="s">
        <v>32</v>
      </c>
      <c r="C46" s="86"/>
      <c r="D46" s="86"/>
      <c r="E46" s="86"/>
      <c r="F46" s="87"/>
      <c r="G46" s="87"/>
      <c r="H46" s="114">
        <f>SUM(H26:H45)</f>
        <v>2065964955</v>
      </c>
      <c r="I46" s="353">
        <f>H46/12</f>
        <v>172163746.25</v>
      </c>
      <c r="J46" s="38"/>
    </row>
    <row r="47" spans="2:15" s="101" customFormat="1" ht="15" x14ac:dyDescent="0.25">
      <c r="B47" s="85" t="s">
        <v>407</v>
      </c>
      <c r="C47" s="134"/>
      <c r="D47" s="134"/>
      <c r="E47" s="134"/>
      <c r="F47" s="134"/>
      <c r="G47" s="134"/>
      <c r="H47" s="134"/>
      <c r="I47" s="354"/>
      <c r="J47" s="311">
        <v>3</v>
      </c>
      <c r="K47" s="311">
        <v>4</v>
      </c>
      <c r="L47" s="311">
        <v>5</v>
      </c>
      <c r="M47" s="311">
        <v>6</v>
      </c>
      <c r="N47" s="311">
        <v>7</v>
      </c>
      <c r="O47" s="101" t="s">
        <v>32</v>
      </c>
    </row>
    <row r="48" spans="2:15" s="106" customFormat="1" ht="15" x14ac:dyDescent="0.25">
      <c r="B48" s="134"/>
      <c r="C48" s="134"/>
      <c r="D48" s="134"/>
      <c r="E48" s="134"/>
      <c r="F48" s="134"/>
      <c r="G48" s="134"/>
      <c r="H48" s="134"/>
      <c r="I48" s="135"/>
      <c r="J48" s="311">
        <v>4676474860.1999989</v>
      </c>
      <c r="K48" s="311">
        <v>5356689385.3199997</v>
      </c>
      <c r="L48" s="311">
        <v>6093234175.8014994</v>
      </c>
      <c r="M48" s="311">
        <v>6890041721.8678493</v>
      </c>
      <c r="N48" s="311">
        <v>7957998188.7573671</v>
      </c>
      <c r="O48" s="417">
        <f>SUM(J48:N48)</f>
        <v>30974438331.946712</v>
      </c>
    </row>
    <row r="49" spans="1:24" s="135" customFormat="1" ht="372.95" customHeight="1" x14ac:dyDescent="0.2">
      <c r="B49" s="157" t="s">
        <v>587</v>
      </c>
      <c r="C49" s="134"/>
      <c r="D49" s="134"/>
      <c r="E49" s="134"/>
      <c r="F49" s="134"/>
      <c r="G49" s="134"/>
      <c r="H49" s="134"/>
    </row>
    <row r="50" spans="1:24" ht="15" x14ac:dyDescent="0.25">
      <c r="B50" s="55"/>
      <c r="C50" s="55"/>
      <c r="D50" s="55"/>
      <c r="E50" s="55"/>
      <c r="F50" s="55"/>
      <c r="G50" s="55"/>
      <c r="H50" s="55"/>
      <c r="I50" s="90"/>
    </row>
    <row r="51" spans="1:24" s="38" customFormat="1" ht="14.45" customHeight="1" x14ac:dyDescent="0.25">
      <c r="A51" s="91"/>
      <c r="B51" s="853" t="str">
        <f>B9</f>
        <v>1.2. Posicionamiento de la oferta del maíz nacional y sus derivados, para alimentación humana y otros usos.</v>
      </c>
      <c r="C51" s="852"/>
      <c r="D51" s="852"/>
      <c r="E51" s="852"/>
      <c r="F51" s="852"/>
      <c r="G51" s="852"/>
      <c r="H51" s="852"/>
    </row>
    <row r="52" spans="1:24" hidden="1" x14ac:dyDescent="0.2">
      <c r="B52" s="134"/>
      <c r="C52" s="134"/>
      <c r="D52" s="134"/>
      <c r="E52" s="134"/>
      <c r="F52" s="134"/>
      <c r="G52" s="134"/>
      <c r="H52" s="134"/>
    </row>
    <row r="53" spans="1:24" s="102" customFormat="1" ht="29.45" customHeight="1" x14ac:dyDescent="0.25">
      <c r="B53" s="854" t="str">
        <f>Portafolio_Cadena_Maíz!H8</f>
        <v>1.2.1. Analizar de manera continua, tendencias, oportunidades y desafíos relacionados con la población consumidora de maíz y derivados, así como con empresas consumidoras de subproductos y demás usos del grano, tanto en el ámbito internacional, nacional y regional, para identificar nichos, canales de comercialización, segmentos de mercado, entre otras variables de importancia.</v>
      </c>
      <c r="C53" s="855"/>
      <c r="D53" s="855"/>
      <c r="E53" s="855"/>
      <c r="F53" s="855"/>
      <c r="G53" s="855"/>
      <c r="H53" s="855"/>
      <c r="I53" s="393"/>
      <c r="X53" s="77"/>
    </row>
    <row r="54" spans="1:24" s="102" customFormat="1" ht="32.450000000000003" customHeight="1" x14ac:dyDescent="0.25">
      <c r="B54" s="854" t="str">
        <f>Portafolio_Cadena_Maíz!H9</f>
        <v>1.2.2. Identificar y priorizar productos, subproductos y derivados del maíz para el consumo humano y otras industrias, y clasificar su nivel de competitividad en relación con el mercado internacional en relación a cantidades, precios, calidades y demás características importantes del mercado.</v>
      </c>
      <c r="C54" s="855"/>
      <c r="D54" s="855"/>
      <c r="E54" s="855"/>
      <c r="F54" s="855"/>
      <c r="G54" s="855"/>
      <c r="H54" s="855"/>
      <c r="I54" s="393"/>
      <c r="X54" s="77"/>
    </row>
    <row r="55" spans="1:24" s="102" customFormat="1" ht="30.95" customHeight="1" x14ac:dyDescent="0.25">
      <c r="B55" s="854" t="str">
        <f>Portafolio_Cadena_Maíz!H10</f>
        <v>1.2.3. Realizar acompañamiento comercial y financiero a productores, asociaciones, empresas proveedoras de maíz, para posicionar productos, subproductos y derivados del maíz para el consumo humano y otras industrias, a través del desarrollo de nuevas presentaciones, empaques, fichas técnicas, certificaciones, sellos, entre otros aspectos, resaltando factores relacionados con tradición, cultura, calidad, eficiencia, etc., teniendo en cuenta los avances en I+D+i del proyecto 8.1 "Fortalecimiento de los procesos de I+D+i para la cadena de maíz y sus derivados".</v>
      </c>
      <c r="C55" s="855"/>
      <c r="D55" s="855"/>
      <c r="E55" s="855"/>
      <c r="F55" s="855"/>
      <c r="G55" s="855"/>
      <c r="H55" s="855"/>
      <c r="I55" s="393"/>
      <c r="X55" s="77"/>
    </row>
    <row r="56" spans="1:24" s="102" customFormat="1" ht="32.450000000000003" customHeight="1" x14ac:dyDescent="0.25">
      <c r="B56" s="854" t="str">
        <f>Portafolio_Cadena_Maíz!H11</f>
        <v>1.2.4. Diseñar e implementar campañas de promoción al consumo de maíz y derivados dirigidos al consumo humano, teniendo en cuenta segmentos de mercado, canales de comercialización, alianzas con restaurantes, facultades de gastronomía; teniendo en cuenta los resultados en el monitoreo y caracterización de la actividad 9.4.4.</v>
      </c>
      <c r="C56" s="855"/>
      <c r="D56" s="855"/>
      <c r="E56" s="855"/>
      <c r="F56" s="855"/>
      <c r="G56" s="855"/>
      <c r="H56" s="855"/>
      <c r="I56" s="393"/>
      <c r="X56" s="77"/>
    </row>
    <row r="57" spans="1:24" s="102" customFormat="1" ht="15" x14ac:dyDescent="0.25">
      <c r="B57" s="854" t="str">
        <f>Portafolio_Cadena_Maíz!H12</f>
        <v xml:space="preserve">1.2.5. Mejorar el nivel de información del consumidor y de las empresas compradoras de maíz, subproductos, derivados y demás usos, respecto a las calidades, usos, origen, valor agregado, elementos diferenciadores, entre otros. </v>
      </c>
      <c r="C57" s="855"/>
      <c r="D57" s="855"/>
      <c r="E57" s="855"/>
      <c r="F57" s="855"/>
      <c r="G57" s="855"/>
      <c r="H57" s="855"/>
      <c r="I57" s="393"/>
      <c r="X57" s="77"/>
    </row>
    <row r="58" spans="1:24" s="102" customFormat="1" ht="44.1" customHeight="1" x14ac:dyDescent="0.25">
      <c r="B58" s="854" t="str">
        <f>Portafolio_Cadena_Maíz!H13</f>
        <v>1.2.6. Promover el desarrollo de proveedores, y consolidar espacios comerciales entre productores, asociaciones, empresas e industrias compradoras de maíz que lo consuman de manera directa, indirecta o lo usen como producto intermedio, como por ejemplo la industria de materias primas alimenticias, industria farmacéutica, industria de biomateriales, entre otros, que permitan integrar sectores complementarios a través del desarrollo de alianzas de mediano y largo plazo.</v>
      </c>
      <c r="C58" s="855"/>
      <c r="D58" s="855"/>
      <c r="E58" s="855"/>
      <c r="F58" s="855"/>
      <c r="G58" s="855"/>
      <c r="H58" s="855"/>
      <c r="I58" s="393"/>
      <c r="X58" s="77"/>
    </row>
    <row r="59" spans="1:24" s="102" customFormat="1" ht="15" x14ac:dyDescent="0.25">
      <c r="B59" s="396"/>
      <c r="C59" s="415"/>
      <c r="D59" s="415"/>
      <c r="E59" s="415"/>
      <c r="F59" s="415"/>
      <c r="G59" s="415"/>
      <c r="H59" s="415"/>
      <c r="I59" s="414"/>
      <c r="X59" s="77"/>
    </row>
    <row r="60" spans="1:24" s="135" customFormat="1" ht="14.45" customHeight="1" x14ac:dyDescent="0.25">
      <c r="B60" s="397"/>
      <c r="C60" s="397"/>
      <c r="D60" s="397"/>
      <c r="E60" s="397"/>
      <c r="F60" s="397"/>
      <c r="G60" s="397"/>
      <c r="H60" s="397"/>
      <c r="I60" s="398"/>
      <c r="X60" s="399"/>
    </row>
    <row r="61" spans="1:24" s="102" customFormat="1" ht="14.45" customHeight="1" x14ac:dyDescent="0.25">
      <c r="B61" s="856" t="s">
        <v>595</v>
      </c>
      <c r="C61" s="856"/>
      <c r="D61" s="856"/>
      <c r="E61" s="856"/>
      <c r="F61" s="856"/>
      <c r="G61" s="856"/>
      <c r="H61" s="856"/>
      <c r="I61" s="393"/>
      <c r="X61" s="77"/>
    </row>
    <row r="62" spans="1:24" s="102" customFormat="1" ht="14.45" customHeight="1" x14ac:dyDescent="0.25">
      <c r="B62" s="78" t="s">
        <v>68</v>
      </c>
      <c r="C62" s="78" t="s">
        <v>58</v>
      </c>
      <c r="D62" s="78" t="s">
        <v>55</v>
      </c>
      <c r="E62" s="78" t="s">
        <v>54</v>
      </c>
      <c r="F62" s="78" t="s">
        <v>69</v>
      </c>
      <c r="G62" s="78" t="s">
        <v>70</v>
      </c>
      <c r="H62" s="78" t="s">
        <v>71</v>
      </c>
      <c r="I62" s="393"/>
      <c r="X62" s="77"/>
    </row>
    <row r="63" spans="1:24" s="38" customFormat="1" x14ac:dyDescent="0.2">
      <c r="A63" s="92"/>
      <c r="B63" s="39" t="s">
        <v>72</v>
      </c>
      <c r="C63" s="39">
        <v>6</v>
      </c>
      <c r="D63" s="39" t="s">
        <v>73</v>
      </c>
      <c r="E63" s="45">
        <v>500000</v>
      </c>
      <c r="F63" s="39"/>
      <c r="G63" s="39"/>
      <c r="H63" s="81">
        <f>C63*E63</f>
        <v>3000000</v>
      </c>
      <c r="I63" s="44"/>
      <c r="J63" s="137"/>
    </row>
    <row r="64" spans="1:24" s="38" customFormat="1" x14ac:dyDescent="0.2">
      <c r="B64" s="39" t="s">
        <v>74</v>
      </c>
      <c r="C64" s="39">
        <v>6</v>
      </c>
      <c r="D64" s="39" t="s">
        <v>73</v>
      </c>
      <c r="E64" s="45">
        <v>100000</v>
      </c>
      <c r="F64" s="39"/>
      <c r="G64" s="39"/>
      <c r="H64" s="81">
        <f t="shared" ref="H64:H82" si="7">C64*E64</f>
        <v>600000</v>
      </c>
      <c r="I64" s="44"/>
      <c r="J64" s="137"/>
    </row>
    <row r="65" spans="1:10" s="102" customFormat="1" x14ac:dyDescent="0.2">
      <c r="B65" s="103" t="s">
        <v>149</v>
      </c>
      <c r="C65" s="103">
        <v>1</v>
      </c>
      <c r="D65" s="103" t="s">
        <v>144</v>
      </c>
      <c r="E65" s="45">
        <v>11154675.000000002</v>
      </c>
      <c r="F65" s="103"/>
      <c r="G65" s="103"/>
      <c r="H65" s="81">
        <f t="shared" si="7"/>
        <v>11154675.000000002</v>
      </c>
      <c r="I65" s="44"/>
      <c r="J65" s="137"/>
    </row>
    <row r="66" spans="1:10" s="101" customFormat="1" x14ac:dyDescent="0.2">
      <c r="B66" s="103" t="s">
        <v>199</v>
      </c>
      <c r="C66" s="103">
        <v>2</v>
      </c>
      <c r="D66" s="103" t="s">
        <v>73</v>
      </c>
      <c r="E66" s="45">
        <v>3500000</v>
      </c>
      <c r="F66" s="103"/>
      <c r="G66" s="103"/>
      <c r="H66" s="81">
        <f t="shared" si="7"/>
        <v>7000000</v>
      </c>
      <c r="I66" s="100"/>
      <c r="J66" s="137"/>
    </row>
    <row r="67" spans="1:10" s="101" customFormat="1" x14ac:dyDescent="0.2">
      <c r="B67" s="103" t="s">
        <v>75</v>
      </c>
      <c r="C67" s="103">
        <v>2</v>
      </c>
      <c r="D67" s="103" t="s">
        <v>101</v>
      </c>
      <c r="E67" s="45">
        <v>4227315</v>
      </c>
      <c r="F67" s="103"/>
      <c r="G67" s="103"/>
      <c r="H67" s="81">
        <f t="shared" si="7"/>
        <v>8454630</v>
      </c>
      <c r="I67" s="100"/>
      <c r="J67" s="137"/>
    </row>
    <row r="68" spans="1:10" s="101" customFormat="1" x14ac:dyDescent="0.2">
      <c r="B68" s="103" t="s">
        <v>260</v>
      </c>
      <c r="C68" s="103">
        <v>10</v>
      </c>
      <c r="D68" s="103" t="s">
        <v>387</v>
      </c>
      <c r="E68" s="45">
        <v>8954882.5200000014</v>
      </c>
      <c r="F68" s="103"/>
      <c r="G68" s="103"/>
      <c r="H68" s="81">
        <f t="shared" si="7"/>
        <v>89548825.200000018</v>
      </c>
      <c r="I68" s="100"/>
      <c r="J68" s="137"/>
    </row>
    <row r="69" spans="1:10" s="101" customFormat="1" x14ac:dyDescent="0.2">
      <c r="B69" s="103" t="s">
        <v>261</v>
      </c>
      <c r="C69" s="103">
        <v>5</v>
      </c>
      <c r="D69" s="103" t="s">
        <v>387</v>
      </c>
      <c r="E69" s="45">
        <v>19476574.949999999</v>
      </c>
      <c r="F69" s="103"/>
      <c r="G69" s="103"/>
      <c r="H69" s="81">
        <f t="shared" si="7"/>
        <v>97382874.75</v>
      </c>
      <c r="I69" s="100"/>
      <c r="J69" s="137"/>
    </row>
    <row r="70" spans="1:10" s="38" customFormat="1" x14ac:dyDescent="0.2">
      <c r="A70" s="92"/>
      <c r="B70" s="39" t="s">
        <v>146</v>
      </c>
      <c r="C70" s="41">
        <f>2*10</f>
        <v>20</v>
      </c>
      <c r="D70" s="39" t="s">
        <v>73</v>
      </c>
      <c r="E70" s="45">
        <v>2300000</v>
      </c>
      <c r="F70" s="39"/>
      <c r="G70" s="39"/>
      <c r="H70" s="81">
        <f t="shared" si="7"/>
        <v>46000000</v>
      </c>
      <c r="I70" s="83"/>
      <c r="J70" s="137"/>
    </row>
    <row r="71" spans="1:10" s="38" customFormat="1" x14ac:dyDescent="0.2">
      <c r="A71" s="92"/>
      <c r="B71" s="39" t="s">
        <v>147</v>
      </c>
      <c r="C71" s="41">
        <f>2*10</f>
        <v>20</v>
      </c>
      <c r="D71" s="39" t="s">
        <v>73</v>
      </c>
      <c r="E71" s="45">
        <v>460000</v>
      </c>
      <c r="F71" s="39"/>
      <c r="G71" s="39"/>
      <c r="H71" s="81">
        <f t="shared" si="7"/>
        <v>9200000</v>
      </c>
      <c r="I71" s="84"/>
      <c r="J71" s="137"/>
    </row>
    <row r="72" spans="1:10" s="38" customFormat="1" x14ac:dyDescent="0.2">
      <c r="B72" s="39" t="s">
        <v>148</v>
      </c>
      <c r="C72" s="41">
        <v>8</v>
      </c>
      <c r="D72" s="38" t="s">
        <v>152</v>
      </c>
      <c r="E72" s="45">
        <v>18000000</v>
      </c>
      <c r="F72" s="39"/>
      <c r="G72" s="39"/>
      <c r="H72" s="81">
        <f t="shared" si="7"/>
        <v>144000000</v>
      </c>
      <c r="I72" s="83"/>
      <c r="J72" s="137"/>
    </row>
    <row r="73" spans="1:10" x14ac:dyDescent="0.2">
      <c r="B73" s="47" t="s">
        <v>230</v>
      </c>
      <c r="C73" s="41">
        <v>8</v>
      </c>
      <c r="D73" s="39" t="s">
        <v>65</v>
      </c>
      <c r="E73" s="82">
        <v>52200000</v>
      </c>
      <c r="F73" s="39"/>
      <c r="G73" s="39"/>
      <c r="H73" s="81">
        <f t="shared" si="7"/>
        <v>417600000</v>
      </c>
      <c r="I73" s="44"/>
      <c r="J73" s="52"/>
    </row>
    <row r="74" spans="1:10" s="101" customFormat="1" x14ac:dyDescent="0.2">
      <c r="B74" s="47" t="s">
        <v>258</v>
      </c>
      <c r="C74" s="104">
        <v>8</v>
      </c>
      <c r="D74" s="39" t="s">
        <v>151</v>
      </c>
      <c r="E74" s="108">
        <v>20000000</v>
      </c>
      <c r="F74" s="103"/>
      <c r="G74" s="103"/>
      <c r="H74" s="81">
        <f t="shared" si="7"/>
        <v>160000000</v>
      </c>
      <c r="I74" s="44"/>
      <c r="J74" s="52"/>
    </row>
    <row r="75" spans="1:10" x14ac:dyDescent="0.2">
      <c r="B75" s="39" t="s">
        <v>153</v>
      </c>
      <c r="C75" s="39">
        <v>4</v>
      </c>
      <c r="D75" s="39" t="s">
        <v>387</v>
      </c>
      <c r="E75" s="82">
        <v>43000000</v>
      </c>
      <c r="F75" s="93"/>
      <c r="G75" s="39"/>
      <c r="H75" s="81">
        <f t="shared" si="7"/>
        <v>172000000</v>
      </c>
      <c r="I75" s="44"/>
      <c r="J75" s="52"/>
    </row>
    <row r="76" spans="1:10" s="101" customFormat="1" x14ac:dyDescent="0.2">
      <c r="B76" s="103" t="s">
        <v>82</v>
      </c>
      <c r="C76" s="103">
        <v>1</v>
      </c>
      <c r="D76" s="103" t="s">
        <v>73</v>
      </c>
      <c r="E76" s="108">
        <v>217000000</v>
      </c>
      <c r="F76" s="93"/>
      <c r="G76" s="103"/>
      <c r="H76" s="81">
        <f t="shared" si="7"/>
        <v>217000000</v>
      </c>
      <c r="I76" s="44"/>
      <c r="J76" s="52"/>
    </row>
    <row r="77" spans="1:10" s="101" customFormat="1" x14ac:dyDescent="0.2">
      <c r="B77" s="103" t="s">
        <v>154</v>
      </c>
      <c r="C77" s="103">
        <v>4</v>
      </c>
      <c r="D77" s="103" t="s">
        <v>73</v>
      </c>
      <c r="E77" s="108">
        <v>125500000</v>
      </c>
      <c r="F77" s="93"/>
      <c r="G77" s="103"/>
      <c r="H77" s="81">
        <f t="shared" si="7"/>
        <v>502000000</v>
      </c>
      <c r="I77" s="44"/>
      <c r="J77" s="52"/>
    </row>
    <row r="78" spans="1:10" x14ac:dyDescent="0.2">
      <c r="B78" s="95" t="s">
        <v>81</v>
      </c>
      <c r="C78" s="39">
        <f>4*2</f>
        <v>8</v>
      </c>
      <c r="D78" s="39" t="s">
        <v>73</v>
      </c>
      <c r="E78" s="82">
        <v>1500000</v>
      </c>
      <c r="F78" s="96"/>
      <c r="G78" s="39"/>
      <c r="H78" s="81">
        <f t="shared" si="7"/>
        <v>12000000</v>
      </c>
      <c r="I78" s="44"/>
      <c r="J78" s="52"/>
    </row>
    <row r="79" spans="1:10" x14ac:dyDescent="0.2">
      <c r="B79" s="95" t="s">
        <v>61</v>
      </c>
      <c r="C79" s="39">
        <v>2</v>
      </c>
      <c r="D79" s="39" t="s">
        <v>73</v>
      </c>
      <c r="E79" s="82">
        <v>5000000</v>
      </c>
      <c r="F79" s="96"/>
      <c r="G79" s="39"/>
      <c r="H79" s="81">
        <f t="shared" si="7"/>
        <v>10000000</v>
      </c>
      <c r="I79" s="44"/>
      <c r="J79" s="52"/>
    </row>
    <row r="80" spans="1:10" x14ac:dyDescent="0.2">
      <c r="B80" s="95" t="s">
        <v>155</v>
      </c>
      <c r="C80" s="39">
        <f>2*10</f>
        <v>20</v>
      </c>
      <c r="D80" s="39" t="s">
        <v>73</v>
      </c>
      <c r="E80" s="82">
        <v>14500000</v>
      </c>
      <c r="F80" s="96"/>
      <c r="G80" s="39"/>
      <c r="H80" s="81">
        <f t="shared" si="7"/>
        <v>290000000</v>
      </c>
      <c r="I80" s="44"/>
      <c r="J80" s="52"/>
    </row>
    <row r="81" spans="2:10" x14ac:dyDescent="0.2">
      <c r="B81" s="56" t="s">
        <v>156</v>
      </c>
      <c r="C81" s="39">
        <f>2*4</f>
        <v>8</v>
      </c>
      <c r="D81" s="39" t="s">
        <v>65</v>
      </c>
      <c r="E81" s="82">
        <v>6000000</v>
      </c>
      <c r="F81" s="97"/>
      <c r="G81" s="39"/>
      <c r="H81" s="81">
        <f t="shared" si="7"/>
        <v>48000000</v>
      </c>
      <c r="I81" s="44"/>
      <c r="J81" s="52"/>
    </row>
    <row r="82" spans="2:10" x14ac:dyDescent="0.2">
      <c r="B82" s="56" t="s">
        <v>77</v>
      </c>
      <c r="C82" s="39">
        <f>2*4</f>
        <v>8</v>
      </c>
      <c r="D82" s="39" t="s">
        <v>65</v>
      </c>
      <c r="E82" s="82">
        <v>1800000</v>
      </c>
      <c r="F82" s="97"/>
      <c r="G82" s="39"/>
      <c r="H82" s="94">
        <f t="shared" si="7"/>
        <v>14400000</v>
      </c>
      <c r="I82" s="44"/>
      <c r="J82" s="52"/>
    </row>
    <row r="83" spans="2:10" x14ac:dyDescent="0.2">
      <c r="B83" s="39" t="s">
        <v>79</v>
      </c>
      <c r="C83" s="39">
        <v>5</v>
      </c>
      <c r="D83" s="39" t="s">
        <v>145</v>
      </c>
      <c r="E83" s="45">
        <v>7862772</v>
      </c>
      <c r="F83" s="97">
        <v>0.5</v>
      </c>
      <c r="G83" s="39">
        <v>12</v>
      </c>
      <c r="H83" s="43">
        <f>C83*E83*G83*F83</f>
        <v>235883160</v>
      </c>
      <c r="I83" s="44"/>
      <c r="J83" s="52"/>
    </row>
    <row r="84" spans="2:10" x14ac:dyDescent="0.2">
      <c r="B84" s="39" t="s">
        <v>80</v>
      </c>
      <c r="C84" s="39">
        <v>8</v>
      </c>
      <c r="D84" s="39" t="s">
        <v>157</v>
      </c>
      <c r="E84" s="45">
        <v>1313122</v>
      </c>
      <c r="F84" s="39"/>
      <c r="G84" s="39"/>
      <c r="H84" s="43">
        <f>C84*E84</f>
        <v>10504976</v>
      </c>
      <c r="I84" s="44"/>
      <c r="J84" s="52"/>
    </row>
    <row r="85" spans="2:10" s="101" customFormat="1" x14ac:dyDescent="0.2">
      <c r="B85" s="103" t="s">
        <v>158</v>
      </c>
      <c r="C85" s="103">
        <v>7</v>
      </c>
      <c r="D85" s="103" t="s">
        <v>145</v>
      </c>
      <c r="E85" s="45">
        <v>3931384</v>
      </c>
      <c r="F85" s="97">
        <v>0.5</v>
      </c>
      <c r="G85" s="103">
        <v>8</v>
      </c>
      <c r="H85" s="43">
        <f>C85*E85*G85*F85</f>
        <v>110078752</v>
      </c>
      <c r="I85" s="44"/>
      <c r="J85" s="52"/>
    </row>
    <row r="86" spans="2:10" s="101" customFormat="1" x14ac:dyDescent="0.2">
      <c r="B86" s="103" t="s">
        <v>56</v>
      </c>
      <c r="C86" s="103">
        <v>7</v>
      </c>
      <c r="D86" s="103" t="s">
        <v>56</v>
      </c>
      <c r="E86" s="45">
        <v>1300000</v>
      </c>
      <c r="F86" s="97">
        <v>0.5</v>
      </c>
      <c r="G86" s="103">
        <v>8</v>
      </c>
      <c r="H86" s="43">
        <f>C86*E86*G86*F86</f>
        <v>36400000</v>
      </c>
      <c r="I86" s="44"/>
    </row>
    <row r="87" spans="2:10" s="101" customFormat="1" x14ac:dyDescent="0.2">
      <c r="B87" s="103" t="s">
        <v>178</v>
      </c>
      <c r="C87" s="103">
        <v>7</v>
      </c>
      <c r="D87" s="103" t="s">
        <v>56</v>
      </c>
      <c r="E87" s="45">
        <v>155000</v>
      </c>
      <c r="F87" s="97">
        <v>0.5</v>
      </c>
      <c r="G87" s="103">
        <v>8</v>
      </c>
      <c r="H87" s="43">
        <f>C87*E87*G87*F87</f>
        <v>4340000</v>
      </c>
      <c r="I87" s="44"/>
    </row>
    <row r="88" spans="2:10" ht="15" x14ac:dyDescent="0.25">
      <c r="B88" s="39" t="s">
        <v>84</v>
      </c>
      <c r="C88" s="39"/>
      <c r="D88" s="39"/>
      <c r="E88" s="39"/>
      <c r="F88" s="39"/>
      <c r="G88" s="39"/>
      <c r="H88" s="41"/>
      <c r="I88" s="98" t="s">
        <v>159</v>
      </c>
    </row>
    <row r="89" spans="2:10" ht="15" x14ac:dyDescent="0.25">
      <c r="B89" s="85" t="s">
        <v>85</v>
      </c>
      <c r="C89" s="86"/>
      <c r="D89" s="86"/>
      <c r="E89" s="87"/>
      <c r="F89" s="87"/>
      <c r="G89" s="86"/>
      <c r="H89" s="98">
        <f>SUM(H63:H88)</f>
        <v>2656547892.9499998</v>
      </c>
      <c r="I89" s="98">
        <f>H89/12</f>
        <v>221378991.07916665</v>
      </c>
    </row>
    <row r="90" spans="2:10" s="38" customFormat="1" ht="260.45" hidden="1" customHeight="1" x14ac:dyDescent="0.25">
      <c r="B90" s="99" t="s">
        <v>86</v>
      </c>
      <c r="C90" s="55"/>
      <c r="D90" s="55"/>
      <c r="E90" s="55"/>
      <c r="F90" s="55"/>
      <c r="G90" s="55"/>
      <c r="H90" s="98">
        <f t="shared" ref="H90" si="8">SUM(H64:H89)</f>
        <v>5310095785.8999996</v>
      </c>
      <c r="J90" s="37"/>
    </row>
    <row r="91" spans="2:10" ht="391.5" customHeight="1" x14ac:dyDescent="0.2">
      <c r="B91" s="206" t="s">
        <v>586</v>
      </c>
      <c r="C91" s="38"/>
      <c r="D91" s="38"/>
      <c r="E91" s="38"/>
      <c r="F91" s="77"/>
      <c r="G91" s="77"/>
      <c r="H91" s="101"/>
    </row>
    <row r="92" spans="2:10" x14ac:dyDescent="0.2">
      <c r="B92" s="38"/>
      <c r="C92" s="38"/>
      <c r="D92" s="38"/>
      <c r="E92" s="38"/>
      <c r="F92" s="38"/>
      <c r="G92" s="38"/>
    </row>
  </sheetData>
  <sheetProtection algorithmName="SHA-512" hashValue="1VQHUmXxRlq4iaIm8u3JhSxLn8MU9xYQyYUrjuyyKs9giAea4zQd+SdfCHKQKqViQl1nYqGWb2wEJgsCRtfi2A==" saltValue="r1VineNx1+OuB71s5DpyrA==" spinCount="100000" sheet="1" objects="1" scenarios="1"/>
  <mergeCells count="16">
    <mergeCell ref="B55:H55"/>
    <mergeCell ref="B58:H58"/>
    <mergeCell ref="B24:H24"/>
    <mergeCell ref="B61:H61"/>
    <mergeCell ref="B53:H53"/>
    <mergeCell ref="B54:H54"/>
    <mergeCell ref="B56:H56"/>
    <mergeCell ref="B57:H57"/>
    <mergeCell ref="B13:H14"/>
    <mergeCell ref="B51:H51"/>
    <mergeCell ref="B15:H15"/>
    <mergeCell ref="B16:H16"/>
    <mergeCell ref="B17:H17"/>
    <mergeCell ref="B18:H20"/>
    <mergeCell ref="B21:H21"/>
    <mergeCell ref="B22:H2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18"/>
  <sheetViews>
    <sheetView showGridLines="0" zoomScale="60" zoomScaleNormal="60" workbookViewId="0">
      <selection activeCell="B95" sqref="B95"/>
    </sheetView>
  </sheetViews>
  <sheetFormatPr baseColWidth="10" defaultColWidth="10.7109375" defaultRowHeight="14.25" x14ac:dyDescent="0.2"/>
  <cols>
    <col min="1" max="1" width="17.5703125" style="101" customWidth="1"/>
    <col min="2" max="2" width="109.7109375" style="101" customWidth="1"/>
    <col min="3" max="3" width="26.5703125" style="101" customWidth="1"/>
    <col min="4" max="4" width="27.140625" style="101" customWidth="1"/>
    <col min="5" max="5" width="22.42578125" style="101" customWidth="1"/>
    <col min="6" max="6" width="21.42578125" style="101" bestFit="1" customWidth="1"/>
    <col min="7" max="7" width="26.28515625" style="101" customWidth="1"/>
    <col min="8" max="8" width="21.5703125" style="101" customWidth="1"/>
    <col min="9" max="9" width="21.7109375" style="101" customWidth="1"/>
    <col min="10" max="10" width="19.7109375" style="101" bestFit="1" customWidth="1"/>
    <col min="11" max="11" width="21.42578125" style="101" bestFit="1" customWidth="1"/>
    <col min="12" max="12" width="22.5703125" style="101" customWidth="1"/>
    <col min="13" max="18" width="19.7109375" style="101" bestFit="1" customWidth="1"/>
    <col min="19" max="22" width="19.85546875" style="101" bestFit="1" customWidth="1"/>
    <col min="23" max="23" width="20.5703125" style="101" bestFit="1" customWidth="1"/>
    <col min="24" max="24" width="25.42578125" style="101" customWidth="1"/>
    <col min="25" max="25" width="22.42578125" style="101" bestFit="1" customWidth="1"/>
    <col min="26" max="26" width="19.42578125" style="101" bestFit="1" customWidth="1"/>
    <col min="27" max="27" width="18.5703125" style="101" bestFit="1" customWidth="1"/>
    <col min="28" max="28" width="17.85546875" style="101" customWidth="1"/>
    <col min="29" max="16384" width="10.7109375" style="101"/>
  </cols>
  <sheetData>
    <row r="2" spans="1:26" ht="15" x14ac:dyDescent="0.25">
      <c r="A2" s="57" t="s">
        <v>87</v>
      </c>
    </row>
    <row r="3" spans="1:26" s="102" customFormat="1" ht="15" x14ac:dyDescent="0.25">
      <c r="A3" s="49"/>
    </row>
    <row r="4" spans="1:26" ht="21.6" customHeight="1" x14ac:dyDescent="0.25">
      <c r="A4" s="58"/>
      <c r="B4" s="59" t="str">
        <f>Portafolio_Cadena_Maíz!C14</f>
        <v>2. Mejoramiento productivo del cultivo de maíz.</v>
      </c>
      <c r="C4" s="60"/>
      <c r="D4" s="61"/>
    </row>
    <row r="5" spans="1:26" ht="26.1" customHeight="1" x14ac:dyDescent="0.2"/>
    <row r="6" spans="1:26" ht="15" x14ac:dyDescent="0.25">
      <c r="E6" s="62">
        <v>1</v>
      </c>
      <c r="F6" s="62">
        <v>2</v>
      </c>
      <c r="G6" s="62">
        <v>3</v>
      </c>
      <c r="H6" s="62">
        <v>4</v>
      </c>
      <c r="I6" s="62">
        <v>5</v>
      </c>
      <c r="J6" s="62">
        <v>6</v>
      </c>
      <c r="K6" s="62">
        <v>7</v>
      </c>
      <c r="L6" s="62">
        <v>8</v>
      </c>
      <c r="M6" s="62">
        <v>9</v>
      </c>
      <c r="N6" s="62">
        <v>10</v>
      </c>
      <c r="O6" s="62">
        <v>11</v>
      </c>
      <c r="P6" s="62">
        <v>12</v>
      </c>
      <c r="Q6" s="62">
        <v>13</v>
      </c>
      <c r="R6" s="62">
        <v>14</v>
      </c>
      <c r="S6" s="62">
        <v>15</v>
      </c>
      <c r="T6" s="62">
        <v>16</v>
      </c>
      <c r="U6" s="62">
        <v>17</v>
      </c>
      <c r="V6" s="62">
        <v>18</v>
      </c>
      <c r="W6" s="62">
        <v>19</v>
      </c>
      <c r="X6" s="62">
        <v>20</v>
      </c>
      <c r="Y6" s="62" t="s">
        <v>32</v>
      </c>
    </row>
    <row r="7" spans="1:26" s="40" customFormat="1" ht="15" x14ac:dyDescent="0.25">
      <c r="A7" s="101"/>
      <c r="B7" s="63" t="s">
        <v>28</v>
      </c>
      <c r="C7" s="64" t="s">
        <v>66</v>
      </c>
      <c r="D7" s="64" t="s">
        <v>160</v>
      </c>
      <c r="E7" s="65">
        <f>SUM(E8:E10)</f>
        <v>1802829810.5</v>
      </c>
      <c r="F7" s="65">
        <f t="shared" ref="F7:Y7" si="0">SUM(F8:F10)</f>
        <v>54700812917.111115</v>
      </c>
      <c r="G7" s="65">
        <f t="shared" si="0"/>
        <v>61253533717.444443</v>
      </c>
      <c r="H7" s="65">
        <f t="shared" si="0"/>
        <v>69317638832.257782</v>
      </c>
      <c r="I7" s="65">
        <f t="shared" si="0"/>
        <v>81098964452.682312</v>
      </c>
      <c r="J7" s="65">
        <f t="shared" si="0"/>
        <v>91883826535.881378</v>
      </c>
      <c r="K7" s="65">
        <f t="shared" si="0"/>
        <v>111419108894.08849</v>
      </c>
      <c r="L7" s="65">
        <f t="shared" si="0"/>
        <v>132441857685.80318</v>
      </c>
      <c r="M7" s="65">
        <f t="shared" si="0"/>
        <v>156729585425.01498</v>
      </c>
      <c r="N7" s="65">
        <f t="shared" si="0"/>
        <v>185909956374.87408</v>
      </c>
      <c r="O7" s="65">
        <f t="shared" si="0"/>
        <v>156483415817.74164</v>
      </c>
      <c r="P7" s="65">
        <f t="shared" si="0"/>
        <v>47500191319.037148</v>
      </c>
      <c r="Q7" s="65">
        <f t="shared" si="0"/>
        <v>41686713634.004921</v>
      </c>
      <c r="R7" s="65">
        <f t="shared" si="0"/>
        <v>37060542406.949623</v>
      </c>
      <c r="S7" s="65">
        <f t="shared" si="0"/>
        <v>33227637281.642647</v>
      </c>
      <c r="T7" s="65">
        <f t="shared" si="0"/>
        <v>29793980666.979088</v>
      </c>
      <c r="U7" s="65">
        <f t="shared" si="0"/>
        <v>26586552152.320343</v>
      </c>
      <c r="V7" s="65">
        <f t="shared" si="0"/>
        <v>24954635817.291122</v>
      </c>
      <c r="W7" s="65">
        <f t="shared" si="0"/>
        <v>23500090118.613655</v>
      </c>
      <c r="X7" s="65">
        <f t="shared" si="0"/>
        <v>22395366286.856834</v>
      </c>
      <c r="Y7" s="65">
        <f t="shared" si="0"/>
        <v>1389747240147.0947</v>
      </c>
    </row>
    <row r="8" spans="1:26" s="70" customFormat="1" x14ac:dyDescent="0.2">
      <c r="A8" s="67"/>
      <c r="B8" s="68" t="str">
        <f>Portafolio_Cadena_Maíz!D14</f>
        <v>2.1. Fortalecimiento de la extensión agrícola y asistencia técnica a los productores del sistema tradicional.</v>
      </c>
      <c r="C8" s="113" t="s">
        <v>358</v>
      </c>
      <c r="D8" s="113" t="s">
        <v>185</v>
      </c>
      <c r="E8" s="69">
        <f>I47*3</f>
        <v>579822116.5</v>
      </c>
      <c r="F8" s="69">
        <f t="shared" ref="F8:X8" si="1">I51</f>
        <v>5580556377.1111107</v>
      </c>
      <c r="G8" s="69">
        <f t="shared" si="1"/>
        <v>5384880302.4444447</v>
      </c>
      <c r="H8" s="69">
        <f t="shared" si="1"/>
        <v>5200944792.2577782</v>
      </c>
      <c r="I8" s="69">
        <f t="shared" si="1"/>
        <v>5028045412.6823111</v>
      </c>
      <c r="J8" s="69">
        <f t="shared" si="1"/>
        <v>4865519995.8813725</v>
      </c>
      <c r="K8" s="69">
        <f t="shared" si="1"/>
        <v>4712746104.0884895</v>
      </c>
      <c r="L8" s="69">
        <f t="shared" si="1"/>
        <v>4569138645.8031807</v>
      </c>
      <c r="M8" s="69">
        <f t="shared" si="1"/>
        <v>4434147635.0149899</v>
      </c>
      <c r="N8" s="69">
        <f t="shared" si="1"/>
        <v>4307256084.8740902</v>
      </c>
      <c r="O8" s="69">
        <f t="shared" si="1"/>
        <v>4187978027.7416449</v>
      </c>
      <c r="P8" s="69">
        <f t="shared" si="1"/>
        <v>4075856654.0371466</v>
      </c>
      <c r="Q8" s="69">
        <f t="shared" si="1"/>
        <v>3970462562.7549176</v>
      </c>
      <c r="R8" s="69">
        <f t="shared" si="1"/>
        <v>3871392116.9496226</v>
      </c>
      <c r="S8" s="69">
        <f t="shared" si="1"/>
        <v>3778265897.8926454</v>
      </c>
      <c r="T8" s="69">
        <f t="shared" si="1"/>
        <v>3690727251.9790864</v>
      </c>
      <c r="U8" s="69">
        <f t="shared" si="1"/>
        <v>3608440924.8203416</v>
      </c>
      <c r="V8" s="69">
        <f t="shared" si="1"/>
        <v>3531091777.291121</v>
      </c>
      <c r="W8" s="69">
        <f t="shared" si="1"/>
        <v>3458383578.6136537</v>
      </c>
      <c r="X8" s="69">
        <f t="shared" si="1"/>
        <v>3390037871.8568344</v>
      </c>
      <c r="Y8" s="69">
        <f>SUM(E8:X8)</f>
        <v>82225694130.594788</v>
      </c>
    </row>
    <row r="9" spans="1:26" s="70" customFormat="1" x14ac:dyDescent="0.2">
      <c r="A9" s="67"/>
      <c r="B9" s="68" t="str">
        <f>Portafolio_Cadena_Maíz!D21</f>
        <v>2.2. Implementación efectiva de asistencia técnica profesional, en sistemas tecnificados de maíz.</v>
      </c>
      <c r="C9" s="113" t="s">
        <v>215</v>
      </c>
      <c r="D9" s="113" t="s">
        <v>161</v>
      </c>
      <c r="E9" s="69">
        <f>I87*3</f>
        <v>937600168</v>
      </c>
      <c r="F9" s="69">
        <f>$H$88+I89+I91+I92</f>
        <v>48739713172</v>
      </c>
      <c r="G9" s="69">
        <f t="shared" ref="G9:O9" si="2">$H$88+J89+J91+J92</f>
        <v>55488110047</v>
      </c>
      <c r="H9" s="69">
        <f t="shared" si="2"/>
        <v>63736150672</v>
      </c>
      <c r="I9" s="69">
        <f t="shared" si="2"/>
        <v>75690375672</v>
      </c>
      <c r="J9" s="69">
        <f t="shared" si="2"/>
        <v>86637763172</v>
      </c>
      <c r="K9" s="69">
        <f t="shared" si="2"/>
        <v>106325819422</v>
      </c>
      <c r="L9" s="69">
        <f t="shared" si="2"/>
        <v>127492175672</v>
      </c>
      <c r="M9" s="69">
        <f t="shared" si="2"/>
        <v>151914894422</v>
      </c>
      <c r="N9" s="69">
        <f t="shared" si="2"/>
        <v>181222156922</v>
      </c>
      <c r="O9" s="69">
        <f t="shared" si="2"/>
        <v>151914894422</v>
      </c>
      <c r="P9" s="69">
        <f>$H$88+S90+S93+S94</f>
        <v>43043791297</v>
      </c>
      <c r="Q9" s="69">
        <f t="shared" ref="Q9:X9" si="3">$H$88+T90+T93+T94</f>
        <v>37335707703.25</v>
      </c>
      <c r="R9" s="69">
        <f t="shared" si="3"/>
        <v>32808606922</v>
      </c>
      <c r="S9" s="69">
        <f t="shared" si="3"/>
        <v>29068828015.75</v>
      </c>
      <c r="T9" s="69">
        <f t="shared" si="3"/>
        <v>25722710047</v>
      </c>
      <c r="U9" s="69">
        <f t="shared" si="3"/>
        <v>22597567859.5</v>
      </c>
      <c r="V9" s="69">
        <f t="shared" si="3"/>
        <v>21043000672</v>
      </c>
      <c r="W9" s="69">
        <f t="shared" si="3"/>
        <v>19661163172</v>
      </c>
      <c r="X9" s="69">
        <f t="shared" si="3"/>
        <v>18624785047</v>
      </c>
      <c r="Y9" s="69">
        <f t="shared" ref="Y9:Y10" si="4">SUM(E9:X9)</f>
        <v>1300005814498.5</v>
      </c>
    </row>
    <row r="10" spans="1:26" s="70" customFormat="1" x14ac:dyDescent="0.2">
      <c r="A10" s="67"/>
      <c r="B10" s="68" t="str">
        <f>Portafolio_Cadena_Maíz!D28</f>
        <v xml:space="preserve">2.3. Impulso a la producción de maíz a mediana y gran escala.  </v>
      </c>
      <c r="C10" s="113" t="s">
        <v>376</v>
      </c>
      <c r="D10" s="113" t="s">
        <v>161</v>
      </c>
      <c r="E10" s="69">
        <f>I116*9</f>
        <v>285407526</v>
      </c>
      <c r="F10" s="69">
        <f>H116</f>
        <v>380543368</v>
      </c>
      <c r="G10" s="69">
        <f t="shared" ref="G10:I10" si="5">F10</f>
        <v>380543368</v>
      </c>
      <c r="H10" s="69">
        <f t="shared" si="5"/>
        <v>380543368</v>
      </c>
      <c r="I10" s="69">
        <f t="shared" si="5"/>
        <v>380543368</v>
      </c>
      <c r="J10" s="69">
        <f>I10</f>
        <v>380543368</v>
      </c>
      <c r="K10" s="69">
        <f t="shared" ref="K10:X10" si="6">J10</f>
        <v>380543368</v>
      </c>
      <c r="L10" s="69">
        <f t="shared" si="6"/>
        <v>380543368</v>
      </c>
      <c r="M10" s="69">
        <f t="shared" si="6"/>
        <v>380543368</v>
      </c>
      <c r="N10" s="69">
        <f t="shared" si="6"/>
        <v>380543368</v>
      </c>
      <c r="O10" s="69">
        <f t="shared" si="6"/>
        <v>380543368</v>
      </c>
      <c r="P10" s="69">
        <f t="shared" si="6"/>
        <v>380543368</v>
      </c>
      <c r="Q10" s="69">
        <f t="shared" si="6"/>
        <v>380543368</v>
      </c>
      <c r="R10" s="69">
        <f t="shared" si="6"/>
        <v>380543368</v>
      </c>
      <c r="S10" s="69">
        <f t="shared" si="6"/>
        <v>380543368</v>
      </c>
      <c r="T10" s="69">
        <f t="shared" si="6"/>
        <v>380543368</v>
      </c>
      <c r="U10" s="69">
        <f t="shared" si="6"/>
        <v>380543368</v>
      </c>
      <c r="V10" s="69">
        <f t="shared" si="6"/>
        <v>380543368</v>
      </c>
      <c r="W10" s="69">
        <f t="shared" si="6"/>
        <v>380543368</v>
      </c>
      <c r="X10" s="69">
        <f t="shared" si="6"/>
        <v>380543368</v>
      </c>
      <c r="Y10" s="69">
        <f t="shared" si="4"/>
        <v>7515731518</v>
      </c>
    </row>
    <row r="11" spans="1:26" s="40" customFormat="1" ht="24.6" customHeight="1" x14ac:dyDescent="0.25">
      <c r="A11" s="101"/>
      <c r="B11" s="63" t="s">
        <v>32</v>
      </c>
      <c r="C11" s="63"/>
      <c r="D11" s="63"/>
      <c r="E11" s="71">
        <f>SUM(E8:E10)</f>
        <v>1802829810.5</v>
      </c>
      <c r="F11" s="71">
        <f t="shared" ref="F11:Y11" si="7">SUM(F8:F10)</f>
        <v>54700812917.111115</v>
      </c>
      <c r="G11" s="71">
        <f t="shared" si="7"/>
        <v>61253533717.444443</v>
      </c>
      <c r="H11" s="71">
        <f t="shared" si="7"/>
        <v>69317638832.257782</v>
      </c>
      <c r="I11" s="71">
        <f t="shared" si="7"/>
        <v>81098964452.682312</v>
      </c>
      <c r="J11" s="71">
        <f t="shared" si="7"/>
        <v>91883826535.881378</v>
      </c>
      <c r="K11" s="71">
        <f t="shared" si="7"/>
        <v>111419108894.08849</v>
      </c>
      <c r="L11" s="71">
        <f t="shared" si="7"/>
        <v>132441857685.80318</v>
      </c>
      <c r="M11" s="71">
        <f t="shared" si="7"/>
        <v>156729585425.01498</v>
      </c>
      <c r="N11" s="71">
        <f t="shared" si="7"/>
        <v>185909956374.87408</v>
      </c>
      <c r="O11" s="71">
        <f t="shared" si="7"/>
        <v>156483415817.74164</v>
      </c>
      <c r="P11" s="71">
        <f t="shared" si="7"/>
        <v>47500191319.037148</v>
      </c>
      <c r="Q11" s="71">
        <f t="shared" si="7"/>
        <v>41686713634.004921</v>
      </c>
      <c r="R11" s="71">
        <f t="shared" si="7"/>
        <v>37060542406.949623</v>
      </c>
      <c r="S11" s="71">
        <f t="shared" si="7"/>
        <v>33227637281.642647</v>
      </c>
      <c r="T11" s="71">
        <f t="shared" si="7"/>
        <v>29793980666.979088</v>
      </c>
      <c r="U11" s="71">
        <f t="shared" si="7"/>
        <v>26586552152.320343</v>
      </c>
      <c r="V11" s="71">
        <f t="shared" si="7"/>
        <v>24954635817.291122</v>
      </c>
      <c r="W11" s="71">
        <f t="shared" si="7"/>
        <v>23500090118.613655</v>
      </c>
      <c r="X11" s="71">
        <f t="shared" si="7"/>
        <v>22395366286.856834</v>
      </c>
      <c r="Y11" s="71">
        <f t="shared" si="7"/>
        <v>1389747240147.0947</v>
      </c>
    </row>
    <row r="12" spans="1:26" s="75" customFormat="1" ht="24.6" customHeight="1" x14ac:dyDescent="0.25">
      <c r="A12" s="102"/>
      <c r="B12" s="72"/>
      <c r="C12" s="72"/>
      <c r="D12" s="72"/>
      <c r="E12" s="72"/>
      <c r="F12" s="73"/>
      <c r="G12" s="74"/>
      <c r="H12" s="73"/>
      <c r="I12" s="73"/>
      <c r="J12" s="73"/>
      <c r="K12" s="73"/>
      <c r="L12" s="73"/>
      <c r="M12" s="73"/>
      <c r="N12" s="73"/>
      <c r="O12" s="73"/>
      <c r="P12" s="73"/>
      <c r="Q12" s="73"/>
      <c r="R12" s="73"/>
      <c r="S12" s="73"/>
      <c r="T12" s="73"/>
      <c r="U12" s="73"/>
      <c r="V12" s="73"/>
      <c r="W12" s="73"/>
      <c r="X12" s="73"/>
      <c r="Y12" s="73"/>
      <c r="Z12" s="73"/>
    </row>
    <row r="14" spans="1:26" s="102" customFormat="1" ht="14.45" customHeight="1" x14ac:dyDescent="0.25">
      <c r="B14" s="850" t="str">
        <f>Portafolio_Cadena_Maíz!D14</f>
        <v>2.1. Fortalecimiento de la extensión agrícola y asistencia técnica a los productores del sistema tradicional.</v>
      </c>
      <c r="C14" s="851"/>
      <c r="D14" s="851"/>
      <c r="E14" s="851"/>
      <c r="F14" s="851"/>
      <c r="G14" s="851"/>
      <c r="H14" s="851"/>
      <c r="I14" s="658"/>
      <c r="X14" s="77"/>
    </row>
    <row r="15" spans="1:26" s="102" customFormat="1" ht="14.45" customHeight="1" x14ac:dyDescent="0.25">
      <c r="B15" s="852"/>
      <c r="C15" s="852"/>
      <c r="D15" s="852"/>
      <c r="E15" s="852"/>
      <c r="F15" s="852"/>
      <c r="G15" s="852"/>
      <c r="H15" s="852"/>
      <c r="I15" s="658"/>
      <c r="X15" s="77"/>
    </row>
    <row r="16" spans="1:26" s="102" customFormat="1" ht="27" customHeight="1" x14ac:dyDescent="0.25">
      <c r="B16" s="854" t="str">
        <f>Portafolio_Cadena_Maíz!H14</f>
        <v>2.1.1. Priorizar y seleccionar productores que requieren asistencia técnica básica de acuerdo con la caracterización a nivel subregional de la actividad 9.4.3.</v>
      </c>
      <c r="C16" s="855"/>
      <c r="D16" s="855"/>
      <c r="E16" s="855"/>
      <c r="F16" s="855"/>
      <c r="G16" s="855"/>
      <c r="H16" s="855"/>
      <c r="I16" s="658"/>
      <c r="X16" s="77"/>
    </row>
    <row r="17" spans="1:24" s="102" customFormat="1" ht="14.45" customHeight="1" x14ac:dyDescent="0.25">
      <c r="B17" s="854" t="str">
        <f>Portafolio_Cadena_Maíz!H15</f>
        <v>2.1.2. Realizar acompañamiento técnico y financiero a los productores seleccionados, para fomentar el uso de semillas híbridas, con alto potencial de rendimiento, calidad de grano, adaptadas a las condiciones agroecológicas de cada región, y para escalar su uso.</v>
      </c>
      <c r="C17" s="854"/>
      <c r="D17" s="854"/>
      <c r="E17" s="854"/>
      <c r="F17" s="854"/>
      <c r="G17" s="854"/>
      <c r="H17" s="854"/>
      <c r="I17" s="658"/>
      <c r="X17" s="77"/>
    </row>
    <row r="18" spans="1:24" s="102" customFormat="1" ht="33.6" customHeight="1" x14ac:dyDescent="0.25">
      <c r="B18" s="854" t="str">
        <f>Portafolio_Cadena_Maíz!H16</f>
        <v>2.1.3. Brindar extensión agrícola y asistencia técnica a los productores del sistema tradicional, enfocadas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v>
      </c>
      <c r="C18" s="854"/>
      <c r="D18" s="854"/>
      <c r="E18" s="854"/>
      <c r="F18" s="854"/>
      <c r="G18" s="854"/>
      <c r="H18" s="854"/>
      <c r="I18" s="658"/>
      <c r="X18" s="77"/>
    </row>
    <row r="19" spans="1:24" s="102" customFormat="1" ht="34.5" customHeight="1" x14ac:dyDescent="0.25">
      <c r="B19" s="854" t="str">
        <f>Portafolio_Cadena_Maíz!H17</f>
        <v xml:space="preserve">2.1.4. Definir e implementar una agenda de capacitaciones dirigidas a los productores del cultivo de maíz tradicional, en temas como  sanidad, semillas, manejo integral del cultivo, rotación del cultivo, asociatividad, costos, financiamiento, entre otros, teniendo en cuenta las diferencias regionales y experiencias exitosas replicables, locales o internacionales. </v>
      </c>
      <c r="C19" s="854"/>
      <c r="D19" s="854"/>
      <c r="E19" s="854"/>
      <c r="F19" s="854"/>
      <c r="G19" s="854"/>
      <c r="H19" s="854"/>
      <c r="I19" s="658"/>
      <c r="X19" s="77"/>
    </row>
    <row r="20" spans="1:24" s="102" customFormat="1" ht="22.5" customHeight="1" x14ac:dyDescent="0.25">
      <c r="B20" s="854" t="str">
        <f>Portafolio_Cadena_Maíz!H18</f>
        <v>2.1.5. Promover la educación financiera para fortalecer la planificación y administración de la unidad productiva y mejorar el acceso y uso de los servicios financieros existentes.</v>
      </c>
      <c r="C20" s="854"/>
      <c r="D20" s="854"/>
      <c r="E20" s="854"/>
      <c r="F20" s="854"/>
      <c r="G20" s="854"/>
      <c r="H20" s="854"/>
      <c r="I20" s="658"/>
      <c r="X20" s="77"/>
    </row>
    <row r="21" spans="1:24" s="102" customFormat="1" ht="32.1" customHeight="1" x14ac:dyDescent="0.25">
      <c r="B21" s="854" t="str">
        <f>Portafolio_Cadena_Maíz!H19</f>
        <v>2.1.6. Impulsar el uso de las TIC e instrumentos masivos de capacitación dirigidos a los productores de maíz tradicional, tales como plataformas de información, aplicaciones tecnológicas, software, sistemas expertos, emisoras comunitarias, entre otras, con el fin de ampliar la cobertura de la asistencia técnica, a un mayor número productores.</v>
      </c>
      <c r="C21" s="854"/>
      <c r="D21" s="854"/>
      <c r="E21" s="854"/>
      <c r="F21" s="854"/>
      <c r="G21" s="854"/>
      <c r="H21" s="854"/>
      <c r="I21" s="658"/>
      <c r="X21" s="77"/>
    </row>
    <row r="22" spans="1:24" s="102" customFormat="1" ht="18" customHeight="1" x14ac:dyDescent="0.25">
      <c r="B22" s="854" t="str">
        <f>Portafolio_Cadena_Maíz!H20</f>
        <v xml:space="preserve">2.1.7. Implementar un mecanismo de monitoreo del nivel de adopción de tecnologías y su impacto en el aumento de los rendimientos en el cultivo de maíz tradicional. </v>
      </c>
      <c r="C22" s="854"/>
      <c r="D22" s="854"/>
      <c r="E22" s="854"/>
      <c r="F22" s="854"/>
      <c r="G22" s="854"/>
      <c r="H22" s="854"/>
      <c r="I22" s="658"/>
      <c r="X22" s="77"/>
    </row>
    <row r="23" spans="1:24" s="102" customFormat="1" ht="18" customHeight="1" x14ac:dyDescent="0.25">
      <c r="B23" s="659"/>
      <c r="C23" s="660"/>
      <c r="D23" s="660"/>
      <c r="E23" s="660"/>
      <c r="F23" s="660"/>
      <c r="G23" s="660"/>
      <c r="H23" s="660"/>
      <c r="I23" s="658"/>
      <c r="X23" s="77"/>
    </row>
    <row r="24" spans="1:24" s="102" customFormat="1" ht="15" x14ac:dyDescent="0.25">
      <c r="B24" s="659"/>
      <c r="C24" s="660"/>
      <c r="D24" s="660"/>
      <c r="E24" s="660"/>
      <c r="F24" s="660"/>
      <c r="G24" s="660"/>
      <c r="H24" s="660"/>
      <c r="I24" s="658"/>
      <c r="X24" s="77"/>
    </row>
    <row r="25" spans="1:24" ht="15" x14ac:dyDescent="0.25">
      <c r="B25" s="858" t="s">
        <v>595</v>
      </c>
      <c r="C25" s="859"/>
      <c r="D25" s="859"/>
      <c r="E25" s="859"/>
      <c r="F25" s="859"/>
      <c r="G25" s="859"/>
      <c r="H25" s="859"/>
    </row>
    <row r="26" spans="1:24" ht="15" x14ac:dyDescent="0.25">
      <c r="B26" s="78" t="s">
        <v>68</v>
      </c>
      <c r="C26" s="78" t="s">
        <v>58</v>
      </c>
      <c r="D26" s="78" t="s">
        <v>55</v>
      </c>
      <c r="E26" s="78" t="s">
        <v>54</v>
      </c>
      <c r="F26" s="78" t="s">
        <v>69</v>
      </c>
      <c r="G26" s="78" t="s">
        <v>70</v>
      </c>
      <c r="H26" s="78" t="s">
        <v>71</v>
      </c>
      <c r="J26" s="102"/>
    </row>
    <row r="27" spans="1:24" x14ac:dyDescent="0.2">
      <c r="B27" s="103" t="s">
        <v>201</v>
      </c>
      <c r="C27" s="119">
        <v>2</v>
      </c>
      <c r="D27" s="103" t="s">
        <v>179</v>
      </c>
      <c r="E27" s="108">
        <v>5032173</v>
      </c>
      <c r="F27" s="103"/>
      <c r="G27" s="103">
        <v>4</v>
      </c>
      <c r="H27" s="81">
        <f>C27*E27*G27</f>
        <v>40257384</v>
      </c>
      <c r="I27" s="44"/>
      <c r="J27" s="102"/>
    </row>
    <row r="28" spans="1:24" s="102" customFormat="1" x14ac:dyDescent="0.2">
      <c r="A28" s="92"/>
      <c r="B28" s="119" t="s">
        <v>72</v>
      </c>
      <c r="C28" s="119">
        <v>12</v>
      </c>
      <c r="D28" s="103" t="s">
        <v>73</v>
      </c>
      <c r="E28" s="45">
        <v>500000</v>
      </c>
      <c r="F28" s="103"/>
      <c r="G28" s="103"/>
      <c r="H28" s="81">
        <f>C28*E28</f>
        <v>6000000</v>
      </c>
      <c r="I28" s="44"/>
    </row>
    <row r="29" spans="1:24" s="102" customFormat="1" x14ac:dyDescent="0.2">
      <c r="B29" s="119" t="s">
        <v>74</v>
      </c>
      <c r="C29" s="119">
        <v>12</v>
      </c>
      <c r="D29" s="103" t="s">
        <v>73</v>
      </c>
      <c r="E29" s="45">
        <v>100000</v>
      </c>
      <c r="F29" s="103"/>
      <c r="G29" s="103"/>
      <c r="H29" s="81">
        <f>C29*E29</f>
        <v>1200000</v>
      </c>
      <c r="I29" s="44"/>
    </row>
    <row r="30" spans="1:24" s="102" customFormat="1" x14ac:dyDescent="0.2">
      <c r="B30" s="119" t="s">
        <v>90</v>
      </c>
      <c r="C30" s="119">
        <f>15*4</f>
        <v>60</v>
      </c>
      <c r="D30" s="103" t="s">
        <v>73</v>
      </c>
      <c r="E30" s="45">
        <v>2300000</v>
      </c>
      <c r="F30" s="103"/>
      <c r="G30" s="103">
        <v>4</v>
      </c>
      <c r="H30" s="81">
        <f>C30*E30*G30</f>
        <v>552000000</v>
      </c>
      <c r="I30" s="44"/>
    </row>
    <row r="31" spans="1:24" x14ac:dyDescent="0.2">
      <c r="B31" s="119" t="s">
        <v>91</v>
      </c>
      <c r="C31" s="119">
        <f>15*4</f>
        <v>60</v>
      </c>
      <c r="D31" s="103" t="s">
        <v>73</v>
      </c>
      <c r="E31" s="45">
        <v>460000</v>
      </c>
      <c r="F31" s="103"/>
      <c r="G31" s="103">
        <v>4</v>
      </c>
      <c r="H31" s="81">
        <f>C31*E31*G31</f>
        <v>110400000</v>
      </c>
      <c r="I31" s="100"/>
      <c r="J31" s="102"/>
    </row>
    <row r="32" spans="1:24" x14ac:dyDescent="0.2">
      <c r="B32" s="119" t="s">
        <v>202</v>
      </c>
      <c r="C32" s="119">
        <v>350</v>
      </c>
      <c r="D32" s="103" t="s">
        <v>73</v>
      </c>
      <c r="E32" s="45">
        <v>30000</v>
      </c>
      <c r="F32" s="103"/>
      <c r="G32" s="103"/>
      <c r="H32" s="81">
        <f>C32*E32</f>
        <v>10500000</v>
      </c>
      <c r="I32" s="100"/>
      <c r="J32" s="102"/>
    </row>
    <row r="33" spans="1:28" x14ac:dyDescent="0.2">
      <c r="B33" s="119" t="s">
        <v>76</v>
      </c>
      <c r="C33" s="119">
        <f>15*4</f>
        <v>60</v>
      </c>
      <c r="D33" s="103" t="s">
        <v>65</v>
      </c>
      <c r="E33" s="45">
        <v>6000000</v>
      </c>
      <c r="F33" s="97">
        <v>0.5</v>
      </c>
      <c r="G33" s="103"/>
      <c r="H33" s="81">
        <f t="shared" ref="H33:H38" si="8">C33*E33*F33</f>
        <v>180000000</v>
      </c>
      <c r="I33" s="100"/>
      <c r="J33" s="102"/>
    </row>
    <row r="34" spans="1:28" x14ac:dyDescent="0.2">
      <c r="B34" s="120" t="s">
        <v>77</v>
      </c>
      <c r="C34" s="120">
        <f>15*4</f>
        <v>60</v>
      </c>
      <c r="D34" s="103" t="s">
        <v>65</v>
      </c>
      <c r="E34" s="45">
        <v>1800000</v>
      </c>
      <c r="F34" s="97">
        <v>0.5</v>
      </c>
      <c r="G34" s="103"/>
      <c r="H34" s="81">
        <f t="shared" si="8"/>
        <v>54000000</v>
      </c>
      <c r="I34" s="100"/>
      <c r="J34" s="102"/>
    </row>
    <row r="35" spans="1:28" x14ac:dyDescent="0.2">
      <c r="B35" s="119" t="s">
        <v>162</v>
      </c>
      <c r="C35" s="120">
        <f>15*4</f>
        <v>60</v>
      </c>
      <c r="D35" s="103" t="s">
        <v>143</v>
      </c>
      <c r="E35" s="45">
        <v>1500000</v>
      </c>
      <c r="F35" s="97">
        <v>0.5</v>
      </c>
      <c r="G35" s="103"/>
      <c r="H35" s="81">
        <f t="shared" si="8"/>
        <v>45000000</v>
      </c>
      <c r="I35" s="100"/>
      <c r="J35" s="102"/>
    </row>
    <row r="36" spans="1:28" s="102" customFormat="1" x14ac:dyDescent="0.2">
      <c r="A36" s="92"/>
      <c r="B36" s="119" t="s">
        <v>174</v>
      </c>
      <c r="C36" s="119">
        <f>15*4</f>
        <v>60</v>
      </c>
      <c r="D36" s="103" t="s">
        <v>143</v>
      </c>
      <c r="E36" s="45">
        <v>450000</v>
      </c>
      <c r="F36" s="97">
        <v>0.5</v>
      </c>
      <c r="G36" s="103"/>
      <c r="H36" s="81">
        <f t="shared" si="8"/>
        <v>13500000</v>
      </c>
      <c r="I36" s="83"/>
    </row>
    <row r="37" spans="1:28" s="102" customFormat="1" x14ac:dyDescent="0.2">
      <c r="A37" s="92"/>
      <c r="B37" s="48" t="s">
        <v>175</v>
      </c>
      <c r="C37" s="119">
        <f>15*3</f>
        <v>45</v>
      </c>
      <c r="D37" s="103" t="s">
        <v>143</v>
      </c>
      <c r="E37" s="45">
        <v>3000000</v>
      </c>
      <c r="F37" s="97">
        <v>0.5</v>
      </c>
      <c r="G37" s="103"/>
      <c r="H37" s="81">
        <f t="shared" si="8"/>
        <v>67500000</v>
      </c>
      <c r="I37" s="84"/>
    </row>
    <row r="38" spans="1:28" s="102" customFormat="1" x14ac:dyDescent="0.2">
      <c r="B38" s="48" t="s">
        <v>176</v>
      </c>
      <c r="C38" s="119">
        <f>15*3</f>
        <v>45</v>
      </c>
      <c r="D38" s="102" t="s">
        <v>143</v>
      </c>
      <c r="E38" s="45">
        <v>900000</v>
      </c>
      <c r="F38" s="97">
        <v>0.5</v>
      </c>
      <c r="G38" s="103"/>
      <c r="H38" s="81">
        <f t="shared" si="8"/>
        <v>20250000</v>
      </c>
      <c r="I38" s="83"/>
    </row>
    <row r="39" spans="1:28" x14ac:dyDescent="0.2">
      <c r="B39" s="104" t="s">
        <v>298</v>
      </c>
      <c r="C39" s="117">
        <f>(39360*30%)/20</f>
        <v>590.4</v>
      </c>
      <c r="D39" s="104" t="s">
        <v>164</v>
      </c>
      <c r="E39" s="81">
        <v>1610000</v>
      </c>
      <c r="F39" s="200"/>
      <c r="G39" s="104"/>
      <c r="H39" s="81">
        <f>C39*E39</f>
        <v>950544000</v>
      </c>
      <c r="J39" s="102"/>
    </row>
    <row r="40" spans="1:28" x14ac:dyDescent="0.2">
      <c r="B40" s="103" t="s">
        <v>60</v>
      </c>
      <c r="C40" s="119">
        <v>15</v>
      </c>
      <c r="D40" s="103" t="s">
        <v>73</v>
      </c>
      <c r="E40" s="108">
        <v>14500000</v>
      </c>
      <c r="F40" s="103"/>
      <c r="G40" s="103"/>
      <c r="H40" s="81">
        <f>C40*E40</f>
        <v>217500000</v>
      </c>
      <c r="I40" s="44"/>
      <c r="J40" s="102"/>
    </row>
    <row r="41" spans="1:28" x14ac:dyDescent="0.2">
      <c r="B41" s="119" t="s">
        <v>79</v>
      </c>
      <c r="C41" s="119">
        <v>2</v>
      </c>
      <c r="D41" s="103" t="s">
        <v>145</v>
      </c>
      <c r="E41" s="108">
        <v>5661197</v>
      </c>
      <c r="F41" s="93"/>
      <c r="G41" s="103">
        <v>10</v>
      </c>
      <c r="H41" s="81">
        <f t="shared" ref="H41:H44" si="9">C41*E41</f>
        <v>11322394</v>
      </c>
      <c r="I41" s="44"/>
      <c r="J41" s="102"/>
    </row>
    <row r="42" spans="1:28" x14ac:dyDescent="0.2">
      <c r="B42" s="103" t="s">
        <v>158</v>
      </c>
      <c r="C42" s="103">
        <v>7</v>
      </c>
      <c r="D42" s="103" t="s">
        <v>179</v>
      </c>
      <c r="E42" s="45">
        <v>3931384</v>
      </c>
      <c r="F42" s="97"/>
      <c r="G42" s="103">
        <v>10</v>
      </c>
      <c r="H42" s="81">
        <f t="shared" si="9"/>
        <v>27519688</v>
      </c>
      <c r="I42" s="44"/>
      <c r="J42" s="102"/>
    </row>
    <row r="43" spans="1:28" x14ac:dyDescent="0.2">
      <c r="B43" s="103" t="s">
        <v>56</v>
      </c>
      <c r="C43" s="103">
        <v>7</v>
      </c>
      <c r="D43" s="103" t="s">
        <v>145</v>
      </c>
      <c r="E43" s="45">
        <v>1300000</v>
      </c>
      <c r="F43" s="97"/>
      <c r="G43" s="103">
        <v>10</v>
      </c>
      <c r="H43" s="81">
        <f t="shared" si="9"/>
        <v>9100000</v>
      </c>
      <c r="I43" s="44"/>
      <c r="J43" s="102"/>
    </row>
    <row r="44" spans="1:28" x14ac:dyDescent="0.2">
      <c r="B44" s="103" t="s">
        <v>178</v>
      </c>
      <c r="C44" s="103">
        <v>7</v>
      </c>
      <c r="D44" s="103" t="s">
        <v>180</v>
      </c>
      <c r="E44" s="45">
        <v>385000</v>
      </c>
      <c r="F44" s="97"/>
      <c r="G44" s="103">
        <v>10</v>
      </c>
      <c r="H44" s="81">
        <f t="shared" si="9"/>
        <v>2695000</v>
      </c>
      <c r="I44" s="44"/>
      <c r="J44" s="102"/>
    </row>
    <row r="45" spans="1:28" x14ac:dyDescent="0.2">
      <c r="B45" s="103" t="s">
        <v>188</v>
      </c>
      <c r="C45" s="103"/>
      <c r="D45" s="103"/>
      <c r="E45" s="45"/>
      <c r="F45" s="103"/>
      <c r="G45" s="103"/>
      <c r="H45" s="81" t="s">
        <v>67</v>
      </c>
      <c r="I45" s="44"/>
    </row>
    <row r="46" spans="1:28" ht="15" x14ac:dyDescent="0.25">
      <c r="B46" s="95" t="s">
        <v>187</v>
      </c>
      <c r="C46" s="103"/>
      <c r="D46" s="103"/>
      <c r="E46" s="108"/>
      <c r="F46" s="96"/>
      <c r="G46" s="103"/>
      <c r="H46" s="81"/>
      <c r="I46" s="98" t="s">
        <v>159</v>
      </c>
    </row>
    <row r="47" spans="1:28" ht="15" x14ac:dyDescent="0.25">
      <c r="B47" s="85" t="s">
        <v>301</v>
      </c>
      <c r="C47" s="86"/>
      <c r="D47" s="86"/>
      <c r="E47" s="87"/>
      <c r="F47" s="87"/>
      <c r="G47" s="86"/>
      <c r="H47" s="98">
        <f>SUM(H27:H46)</f>
        <v>2319288466</v>
      </c>
      <c r="I47" s="98">
        <f>H47/12</f>
        <v>193274038.83333334</v>
      </c>
    </row>
    <row r="48" spans="1:28" s="102" customFormat="1" ht="260.45" hidden="1" customHeight="1" x14ac:dyDescent="0.2">
      <c r="B48" s="99" t="s">
        <v>86</v>
      </c>
      <c r="C48" s="657"/>
      <c r="D48" s="657"/>
      <c r="E48" s="657"/>
      <c r="F48" s="657"/>
      <c r="G48" s="657"/>
      <c r="H48" s="657"/>
      <c r="J48" s="101"/>
      <c r="AB48" s="101"/>
    </row>
    <row r="49" spans="1:28" s="102" customFormat="1" ht="15" x14ac:dyDescent="0.25">
      <c r="B49" s="99"/>
      <c r="H49" s="78">
        <v>1</v>
      </c>
      <c r="I49" s="204">
        <v>2</v>
      </c>
      <c r="J49" s="78">
        <v>3</v>
      </c>
      <c r="K49" s="204">
        <v>4</v>
      </c>
      <c r="L49" s="78">
        <v>5</v>
      </c>
      <c r="M49" s="204">
        <v>6</v>
      </c>
      <c r="N49" s="78">
        <v>7</v>
      </c>
      <c r="O49" s="204">
        <v>8</v>
      </c>
      <c r="P49" s="78">
        <v>9</v>
      </c>
      <c r="Q49" s="204">
        <v>10</v>
      </c>
      <c r="R49" s="78">
        <v>11</v>
      </c>
      <c r="S49" s="204">
        <v>12</v>
      </c>
      <c r="T49" s="78">
        <v>13</v>
      </c>
      <c r="U49" s="204">
        <v>14</v>
      </c>
      <c r="V49" s="78">
        <v>15</v>
      </c>
      <c r="W49" s="204">
        <v>16</v>
      </c>
      <c r="X49" s="78">
        <v>17</v>
      </c>
      <c r="Y49" s="204">
        <v>18</v>
      </c>
      <c r="Z49" s="78">
        <v>19</v>
      </c>
      <c r="AA49" s="204">
        <v>20</v>
      </c>
      <c r="AB49" s="101"/>
    </row>
    <row r="50" spans="1:28" s="49" customFormat="1" ht="15" x14ac:dyDescent="0.25">
      <c r="B50" s="138" t="s">
        <v>300</v>
      </c>
      <c r="C50" s="102"/>
      <c r="D50" s="102"/>
      <c r="E50" s="102"/>
      <c r="F50" s="102"/>
      <c r="G50" s="102"/>
      <c r="I50" s="203">
        <f>'Categoria Costos Def'!G541</f>
        <v>3261267911.1111112</v>
      </c>
      <c r="J50" s="203">
        <f>'Categoria Costos Def'!G542</f>
        <v>3065591836.4444442</v>
      </c>
      <c r="K50" s="203">
        <f>'Categoria Costos Def'!G543</f>
        <v>2881656326.2577777</v>
      </c>
      <c r="L50" s="203">
        <f>'Categoria Costos Def'!G544</f>
        <v>2708756946.6823111</v>
      </c>
      <c r="M50" s="203">
        <f>'Categoria Costos Def'!G545</f>
        <v>2546231529.881372</v>
      </c>
      <c r="N50" s="203">
        <f>'Categoria Costos Def'!G546</f>
        <v>2393457638.0884895</v>
      </c>
      <c r="O50" s="203">
        <f>'Categoria Costos Def'!G547</f>
        <v>2249850179.8031807</v>
      </c>
      <c r="P50" s="203">
        <f>'Categoria Costos Def'!G548</f>
        <v>2114859169.0149899</v>
      </c>
      <c r="Q50" s="203">
        <f>'Categoria Costos Def'!G549</f>
        <v>1987967618.8740902</v>
      </c>
      <c r="R50" s="203">
        <f>'Categoria Costos Def'!G550</f>
        <v>1868689561.7416451</v>
      </c>
      <c r="S50" s="203">
        <f>'Categoria Costos Def'!G551</f>
        <v>1756568188.0371463</v>
      </c>
      <c r="T50" s="203">
        <f>'Categoria Costos Def'!G552</f>
        <v>1651174096.7549176</v>
      </c>
      <c r="U50" s="203">
        <f>'Categoria Costos Def'!G553</f>
        <v>1552103650.9496226</v>
      </c>
      <c r="V50" s="203">
        <f>'Categoria Costos Def'!G554</f>
        <v>1458977431.8926454</v>
      </c>
      <c r="W50" s="203">
        <f>'Categoria Costos Def'!G555</f>
        <v>1371438785.9790864</v>
      </c>
      <c r="X50" s="203">
        <f>'Categoria Costos Def'!G556</f>
        <v>1289152458.8203416</v>
      </c>
      <c r="Y50" s="203">
        <f>'Categoria Costos Def'!G557</f>
        <v>1211803311.291121</v>
      </c>
      <c r="Z50" s="203">
        <f>'Categoria Costos Def'!G558</f>
        <v>1139095112.6136537</v>
      </c>
      <c r="AA50" s="203">
        <f>'Categoria Costos Def'!G559</f>
        <v>1070749405.8568345</v>
      </c>
      <c r="AB50" s="101"/>
    </row>
    <row r="51" spans="1:28" s="102" customFormat="1" ht="15" x14ac:dyDescent="0.25">
      <c r="B51" s="138" t="s">
        <v>299</v>
      </c>
      <c r="I51" s="202">
        <f>I50+$H$47</f>
        <v>5580556377.1111107</v>
      </c>
      <c r="J51" s="202">
        <f t="shared" ref="J51:AA51" si="10">J50+$H$47</f>
        <v>5384880302.4444447</v>
      </c>
      <c r="K51" s="202">
        <f t="shared" si="10"/>
        <v>5200944792.2577782</v>
      </c>
      <c r="L51" s="202">
        <f t="shared" si="10"/>
        <v>5028045412.6823111</v>
      </c>
      <c r="M51" s="202">
        <f t="shared" si="10"/>
        <v>4865519995.8813725</v>
      </c>
      <c r="N51" s="202">
        <f t="shared" si="10"/>
        <v>4712746104.0884895</v>
      </c>
      <c r="O51" s="202">
        <f t="shared" si="10"/>
        <v>4569138645.8031807</v>
      </c>
      <c r="P51" s="202">
        <f t="shared" si="10"/>
        <v>4434147635.0149899</v>
      </c>
      <c r="Q51" s="202">
        <f t="shared" si="10"/>
        <v>4307256084.8740902</v>
      </c>
      <c r="R51" s="202">
        <f t="shared" si="10"/>
        <v>4187978027.7416449</v>
      </c>
      <c r="S51" s="202">
        <f t="shared" si="10"/>
        <v>4075856654.0371466</v>
      </c>
      <c r="T51" s="202">
        <f t="shared" si="10"/>
        <v>3970462562.7549176</v>
      </c>
      <c r="U51" s="202">
        <f t="shared" si="10"/>
        <v>3871392116.9496226</v>
      </c>
      <c r="V51" s="202">
        <f t="shared" si="10"/>
        <v>3778265897.8926454</v>
      </c>
      <c r="W51" s="202">
        <f t="shared" si="10"/>
        <v>3690727251.9790864</v>
      </c>
      <c r="X51" s="202">
        <f t="shared" si="10"/>
        <v>3608440924.8203416</v>
      </c>
      <c r="Y51" s="202">
        <f t="shared" si="10"/>
        <v>3531091777.291121</v>
      </c>
      <c r="Z51" s="202">
        <f t="shared" si="10"/>
        <v>3458383578.6136537</v>
      </c>
      <c r="AA51" s="202">
        <f t="shared" si="10"/>
        <v>3390037871.8568344</v>
      </c>
      <c r="AB51" s="101"/>
    </row>
    <row r="52" spans="1:28" ht="174.95" customHeight="1" x14ac:dyDescent="0.2">
      <c r="A52" s="106"/>
      <c r="B52" s="324" t="s">
        <v>392</v>
      </c>
      <c r="C52" s="102"/>
      <c r="D52" s="102"/>
      <c r="E52" s="102"/>
      <c r="F52" s="77"/>
      <c r="G52" s="77"/>
      <c r="H52" s="137"/>
      <c r="I52" s="52"/>
      <c r="J52" s="52"/>
      <c r="K52" s="52"/>
      <c r="L52" s="52"/>
      <c r="M52" s="52"/>
      <c r="N52" s="52"/>
      <c r="O52" s="52"/>
      <c r="P52" s="52"/>
      <c r="Q52" s="52"/>
      <c r="R52" s="52"/>
      <c r="S52" s="52"/>
      <c r="T52" s="52"/>
      <c r="U52" s="52"/>
      <c r="V52" s="52"/>
      <c r="W52" s="52"/>
      <c r="X52" s="52"/>
      <c r="Y52" s="52"/>
      <c r="Z52" s="52"/>
      <c r="AA52" s="52"/>
    </row>
    <row r="53" spans="1:28" ht="14.1" customHeight="1" x14ac:dyDescent="0.2">
      <c r="A53" s="106"/>
      <c r="B53" s="324"/>
      <c r="C53" s="102"/>
      <c r="D53" s="102"/>
      <c r="E53" s="102"/>
      <c r="F53" s="77"/>
      <c r="G53" s="77"/>
      <c r="H53" s="137"/>
      <c r="I53" s="52"/>
      <c r="J53" s="52"/>
      <c r="K53" s="52"/>
      <c r="L53" s="52"/>
      <c r="M53" s="52"/>
      <c r="N53" s="52"/>
      <c r="O53" s="52"/>
      <c r="P53" s="52"/>
      <c r="Q53" s="52"/>
      <c r="R53" s="52"/>
      <c r="S53" s="52"/>
      <c r="T53" s="52"/>
      <c r="U53" s="52"/>
      <c r="V53" s="52"/>
      <c r="W53" s="52"/>
      <c r="X53" s="52"/>
      <c r="Y53" s="52"/>
      <c r="Z53" s="52"/>
      <c r="AA53" s="52"/>
    </row>
    <row r="54" spans="1:28" ht="29.1" customHeight="1" x14ac:dyDescent="0.25">
      <c r="A54" s="106"/>
      <c r="B54" s="850" t="str">
        <f>B9</f>
        <v>2.2. Implementación efectiva de asistencia técnica profesional, en sistemas tecnificados de maíz.</v>
      </c>
      <c r="C54" s="851"/>
      <c r="D54" s="851"/>
      <c r="E54" s="851"/>
      <c r="F54" s="851"/>
      <c r="G54" s="851"/>
      <c r="H54" s="851"/>
      <c r="I54" s="52"/>
      <c r="J54" s="52"/>
      <c r="K54" s="52"/>
      <c r="L54" s="52"/>
      <c r="M54" s="52"/>
      <c r="N54" s="52"/>
      <c r="O54" s="52"/>
      <c r="P54" s="52"/>
      <c r="Q54" s="52"/>
      <c r="R54" s="52"/>
      <c r="S54" s="52"/>
      <c r="T54" s="52"/>
      <c r="U54" s="52"/>
      <c r="V54" s="52"/>
      <c r="W54" s="52"/>
      <c r="X54" s="52"/>
      <c r="Y54" s="52"/>
      <c r="Z54" s="52"/>
      <c r="AA54" s="52"/>
    </row>
    <row r="55" spans="1:28" s="102" customFormat="1" ht="27" customHeight="1" x14ac:dyDescent="0.25">
      <c r="B55" s="854" t="str">
        <f>Portafolio_Cadena_Maíz!H21</f>
        <v>2.2.1. Clasificar y seleccionar productores u organizaciones de productores en las subregiones priorizadas, teniendo en cuenta su nivel tecnológico, de mecanización, escala de producción, prácticas agronómicas y dinámica productiva de rotación de cultivos, y considerando la caracterización de la actividad 9.4.3 y los avances de los proyectos 3.1. Promoción y fortalecimiento de organizaciones de economía solidaria en la cadena de maíz y 8.1. Fortalecimiento de los procesos de I+D+i para la cadena de maíz y sus derivados.</v>
      </c>
      <c r="C55" s="855"/>
      <c r="D55" s="855"/>
      <c r="E55" s="855"/>
      <c r="F55" s="855"/>
      <c r="G55" s="855"/>
      <c r="H55" s="855"/>
      <c r="I55" s="658"/>
      <c r="X55" s="77"/>
    </row>
    <row r="56" spans="1:28" s="102" customFormat="1" ht="36.950000000000003" customHeight="1" x14ac:dyDescent="0.25">
      <c r="B56" s="854" t="str">
        <f>Portafolio_Cadena_Maíz!H22</f>
        <v>2.2.2. Realizar el acompañamiento a los productores, en planeación estratégica, gestión empresarial, asociatividad, economía solidaria, desarrollo de alianzas comerciales y la adecuada gestión de proveedores de servicios e insumos, para estructurar un plan de negocios, acorde a sus expectativas y a las de la industria procesadora, que facilite el acceso a los recursos financieros para su ejecución.</v>
      </c>
      <c r="C56" s="855"/>
      <c r="D56" s="855"/>
      <c r="E56" s="855"/>
      <c r="F56" s="855"/>
      <c r="G56" s="855"/>
      <c r="H56" s="855"/>
      <c r="I56" s="658"/>
      <c r="X56" s="77"/>
    </row>
    <row r="57" spans="1:28" s="102" customFormat="1" ht="33.6" customHeight="1" x14ac:dyDescent="0.25">
      <c r="B57" s="854" t="str">
        <f>Portafolio_Cadena_Maíz!H23</f>
        <v>2.2.3. Brindar acompañamiento técnico a los productores tecnificados, para facilitar el acceso a semillas con alto grado de mejoramiento genético (híbridos, OGM, y aquellas desarrolladas con nuevas tecnologías), adaptadas a las condiciones agroecológicas de las diferentes regiones, tolerantes o resistentes a  plagas y enfermedades,  de mayor potencial de productividad, y con los tipos de grano demandados en el mercado.</v>
      </c>
      <c r="C57" s="855"/>
      <c r="D57" s="855"/>
      <c r="E57" s="855"/>
      <c r="F57" s="855"/>
      <c r="G57" s="855"/>
      <c r="H57" s="855"/>
      <c r="I57" s="658"/>
      <c r="X57" s="77"/>
    </row>
    <row r="58" spans="1:28" s="102" customFormat="1" ht="48.6" customHeight="1" x14ac:dyDescent="0.25">
      <c r="B58" s="854" t="str">
        <f>Portafolio_Cadena_Maíz!H24</f>
        <v>2.2.4. Promover la conexión entre empresas especializadas y los productores, para prestar asistencia técnica enfocada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 teniendo en cuenta los avances de los proyectos 4.2 Promoción del manejo eficiente del suelo y del agua, en la producción de maíz, y 5.1. Mejora del desempeño ambiental de la cadena de maíz.</v>
      </c>
      <c r="C58" s="855"/>
      <c r="D58" s="855"/>
      <c r="E58" s="855"/>
      <c r="F58" s="855"/>
      <c r="G58" s="855"/>
      <c r="H58" s="855"/>
      <c r="I58" s="658"/>
      <c r="X58" s="77"/>
    </row>
    <row r="59" spans="1:28" s="102" customFormat="1" ht="38.450000000000003" customHeight="1" x14ac:dyDescent="0.25">
      <c r="B59" s="854" t="str">
        <f>Portafolio_Cadena_Maíz!H25</f>
        <v>2.2.5. Promover inversiones en procesos de adecuación, mejoramiento y sostenimiento de la fertilidad de los suelos (compra y/o transporte de enmiendas tales como Cal Agrícola, Cal Dolomita, Yeso, Óxidos de Calcio, etc., para la corrección de acidez (pH) y neutralización de Aluminio (Al+3)), a través de instrumentos financieros e incentivos, teniendo en cuenta los avances del proyecto 4.2. Promoción del manejo eficiente del suelo y del agua, en la producción de maíz.</v>
      </c>
      <c r="C59" s="855"/>
      <c r="D59" s="855"/>
      <c r="E59" s="855"/>
      <c r="F59" s="855"/>
      <c r="G59" s="855"/>
      <c r="H59" s="855"/>
      <c r="I59" s="658"/>
      <c r="X59" s="77"/>
    </row>
    <row r="60" spans="1:28" s="102" customFormat="1" ht="32.1" customHeight="1" x14ac:dyDescent="0.25">
      <c r="B60" s="854" t="str">
        <f>Portafolio_Cadena_Maíz!H26</f>
        <v>2.2.6. Fomentar, a través de incentivos a la inversión privada, el acceso y uso de un mayor parque de maquinaria agrícola moderna, tales como tractores de mayor eficiencia, equipos de labranza vertical, plantadoras de precisión, fertilizadoras, pulverizadoras, y cosechadoras, incorporando altas tecnologías, incluidas las de información y comunicaciones, en las prácticas agronómicas de la producción primaria, que posibiliten el aumento de escalas de producción y el incremento de productividad del maíz.</v>
      </c>
      <c r="C60" s="855"/>
      <c r="D60" s="855"/>
      <c r="E60" s="855"/>
      <c r="F60" s="855"/>
      <c r="G60" s="855"/>
      <c r="H60" s="855"/>
      <c r="I60" s="658"/>
      <c r="X60" s="77"/>
    </row>
    <row r="61" spans="1:28" s="102" customFormat="1" ht="18" customHeight="1" x14ac:dyDescent="0.25">
      <c r="B61" s="854" t="str">
        <f>Portafolio_Cadena_Maíz!H27</f>
        <v>2.2.7. Implementar un mecanismo de monitoreo del nivel de adopción e impacto en la productividad, la escala, la competitividad y la empresarización, de las prácticas de manejo, las tecnologías y modelos de gestión empresarial aplicados por los productores, en las regiones maiceras.</v>
      </c>
      <c r="C61" s="855"/>
      <c r="D61" s="855"/>
      <c r="E61" s="855"/>
      <c r="F61" s="855"/>
      <c r="G61" s="855"/>
      <c r="H61" s="855"/>
      <c r="I61" s="658"/>
      <c r="X61" s="77"/>
    </row>
    <row r="62" spans="1:28" ht="17.45" customHeight="1" x14ac:dyDescent="0.2">
      <c r="A62" s="106"/>
      <c r="B62" s="324"/>
      <c r="C62" s="102"/>
      <c r="D62" s="102"/>
      <c r="E62" s="102"/>
      <c r="F62" s="77"/>
      <c r="G62" s="77"/>
      <c r="H62" s="137"/>
      <c r="I62" s="52"/>
      <c r="J62" s="52"/>
      <c r="K62" s="52"/>
      <c r="L62" s="52"/>
      <c r="M62" s="52"/>
      <c r="N62" s="52"/>
      <c r="O62" s="52"/>
      <c r="P62" s="52"/>
      <c r="Q62" s="52"/>
      <c r="R62" s="52"/>
      <c r="S62" s="52"/>
      <c r="T62" s="52"/>
      <c r="U62" s="52"/>
      <c r="V62" s="52"/>
      <c r="W62" s="52"/>
      <c r="X62" s="52"/>
      <c r="Y62" s="52"/>
      <c r="Z62" s="52"/>
      <c r="AA62" s="52"/>
    </row>
    <row r="63" spans="1:28" s="102" customFormat="1" ht="14.45" customHeight="1" x14ac:dyDescent="0.25">
      <c r="B63" s="857"/>
      <c r="C63" s="857"/>
      <c r="D63" s="857"/>
      <c r="E63" s="857"/>
      <c r="F63" s="857"/>
      <c r="G63" s="857"/>
      <c r="H63" s="857"/>
      <c r="I63" s="658"/>
      <c r="X63" s="77"/>
    </row>
    <row r="64" spans="1:28" s="102" customFormat="1" ht="14.45" customHeight="1" x14ac:dyDescent="0.25">
      <c r="B64" s="857" t="s">
        <v>595</v>
      </c>
      <c r="C64" s="857"/>
      <c r="D64" s="857"/>
      <c r="E64" s="857"/>
      <c r="F64" s="857"/>
      <c r="G64" s="857"/>
      <c r="H64" s="857"/>
      <c r="I64" s="658"/>
      <c r="X64" s="77"/>
    </row>
    <row r="65" spans="2:24" ht="15" x14ac:dyDescent="0.25">
      <c r="B65" s="400" t="s">
        <v>68</v>
      </c>
      <c r="C65" s="400" t="s">
        <v>58</v>
      </c>
      <c r="D65" s="400" t="s">
        <v>55</v>
      </c>
      <c r="E65" s="400" t="s">
        <v>54</v>
      </c>
      <c r="F65" s="401" t="s">
        <v>96</v>
      </c>
      <c r="G65" s="400" t="s">
        <v>218</v>
      </c>
      <c r="H65" s="400" t="s">
        <v>71</v>
      </c>
      <c r="X65" s="80"/>
    </row>
    <row r="66" spans="2:24" x14ac:dyDescent="0.2">
      <c r="B66" s="103" t="s">
        <v>72</v>
      </c>
      <c r="C66" s="103">
        <v>20</v>
      </c>
      <c r="D66" s="103" t="s">
        <v>73</v>
      </c>
      <c r="E66" s="45">
        <v>500000</v>
      </c>
      <c r="F66" s="103"/>
      <c r="G66" s="103"/>
      <c r="H66" s="139">
        <f>C66*E66</f>
        <v>10000000</v>
      </c>
    </row>
    <row r="67" spans="2:24" x14ac:dyDescent="0.2">
      <c r="B67" s="104" t="s">
        <v>74</v>
      </c>
      <c r="C67" s="104">
        <v>20</v>
      </c>
      <c r="D67" s="104" t="s">
        <v>73</v>
      </c>
      <c r="E67" s="81">
        <v>100000</v>
      </c>
      <c r="F67" s="104"/>
      <c r="G67" s="104"/>
      <c r="H67" s="139">
        <f t="shared" ref="H67:H71" si="11">C67*E67</f>
        <v>2000000</v>
      </c>
    </row>
    <row r="68" spans="2:24" x14ac:dyDescent="0.2">
      <c r="B68" s="104" t="s">
        <v>90</v>
      </c>
      <c r="C68" s="104">
        <v>30</v>
      </c>
      <c r="D68" s="104" t="s">
        <v>73</v>
      </c>
      <c r="E68" s="81">
        <v>2300000</v>
      </c>
      <c r="F68" s="104"/>
      <c r="G68" s="104"/>
      <c r="H68" s="139">
        <f t="shared" si="11"/>
        <v>69000000</v>
      </c>
    </row>
    <row r="69" spans="2:24" x14ac:dyDescent="0.2">
      <c r="B69" s="104" t="s">
        <v>91</v>
      </c>
      <c r="C69" s="104">
        <v>30</v>
      </c>
      <c r="D69" s="104" t="s">
        <v>73</v>
      </c>
      <c r="E69" s="81">
        <v>460000</v>
      </c>
      <c r="F69" s="104"/>
      <c r="G69" s="104"/>
      <c r="H69" s="139">
        <f t="shared" si="11"/>
        <v>13800000</v>
      </c>
    </row>
    <row r="70" spans="2:24" ht="15.6" customHeight="1" x14ac:dyDescent="0.2">
      <c r="B70" s="104" t="s">
        <v>76</v>
      </c>
      <c r="C70" s="104">
        <v>10</v>
      </c>
      <c r="D70" s="104" t="s">
        <v>65</v>
      </c>
      <c r="E70" s="94">
        <v>6000000</v>
      </c>
      <c r="F70" s="104"/>
      <c r="G70" s="104"/>
      <c r="H70" s="139">
        <f t="shared" si="11"/>
        <v>60000000</v>
      </c>
    </row>
    <row r="71" spans="2:24" x14ac:dyDescent="0.2">
      <c r="B71" s="104" t="s">
        <v>77</v>
      </c>
      <c r="C71" s="104">
        <v>10</v>
      </c>
      <c r="D71" s="104" t="s">
        <v>65</v>
      </c>
      <c r="E71" s="94">
        <v>1800000</v>
      </c>
      <c r="F71" s="104"/>
      <c r="G71" s="104"/>
      <c r="H71" s="139">
        <f t="shared" si="11"/>
        <v>18000000</v>
      </c>
    </row>
    <row r="72" spans="2:24" x14ac:dyDescent="0.2">
      <c r="B72" s="104" t="s">
        <v>162</v>
      </c>
      <c r="C72" s="104">
        <v>10</v>
      </c>
      <c r="D72" s="104" t="s">
        <v>73</v>
      </c>
      <c r="E72" s="94">
        <v>1500000</v>
      </c>
      <c r="F72" s="200">
        <v>0.5</v>
      </c>
      <c r="G72" s="104"/>
      <c r="H72" s="139">
        <f>C72*E72*F72</f>
        <v>7500000</v>
      </c>
    </row>
    <row r="73" spans="2:24" x14ac:dyDescent="0.2">
      <c r="B73" s="104" t="s">
        <v>78</v>
      </c>
      <c r="C73" s="104">
        <v>10</v>
      </c>
      <c r="D73" s="104" t="s">
        <v>73</v>
      </c>
      <c r="E73" s="94">
        <v>450000</v>
      </c>
      <c r="F73" s="200">
        <v>0.5</v>
      </c>
      <c r="G73" s="104"/>
      <c r="H73" s="139">
        <f>C73*E73*F73</f>
        <v>2250000</v>
      </c>
    </row>
    <row r="74" spans="2:24" x14ac:dyDescent="0.2">
      <c r="B74" s="104" t="s">
        <v>150</v>
      </c>
      <c r="C74" s="104">
        <v>8</v>
      </c>
      <c r="D74" s="104" t="s">
        <v>94</v>
      </c>
      <c r="E74" s="81">
        <v>52200000</v>
      </c>
      <c r="F74" s="104"/>
      <c r="G74" s="104"/>
      <c r="H74" s="139">
        <f>C74*E74</f>
        <v>417600000</v>
      </c>
    </row>
    <row r="75" spans="2:24" x14ac:dyDescent="0.2">
      <c r="B75" s="104" t="s">
        <v>205</v>
      </c>
      <c r="C75" s="104">
        <v>8</v>
      </c>
      <c r="D75" s="104" t="s">
        <v>99</v>
      </c>
      <c r="E75" s="81">
        <v>20000000</v>
      </c>
      <c r="F75" s="104"/>
      <c r="G75" s="104"/>
      <c r="H75" s="139">
        <f t="shared" ref="H75:H81" si="12">C75*E75</f>
        <v>160000000</v>
      </c>
    </row>
    <row r="76" spans="2:24" x14ac:dyDescent="0.2">
      <c r="B76" s="104" t="s">
        <v>93</v>
      </c>
      <c r="C76" s="104">
        <v>8</v>
      </c>
      <c r="D76" s="104" t="s">
        <v>211</v>
      </c>
      <c r="E76" s="81">
        <v>18000000</v>
      </c>
      <c r="F76" s="104"/>
      <c r="G76" s="104"/>
      <c r="H76" s="139">
        <f t="shared" si="12"/>
        <v>144000000</v>
      </c>
    </row>
    <row r="77" spans="2:24" x14ac:dyDescent="0.2">
      <c r="B77" s="104" t="s">
        <v>206</v>
      </c>
      <c r="C77" s="104">
        <v>10</v>
      </c>
      <c r="D77" s="104" t="s">
        <v>207</v>
      </c>
      <c r="E77" s="81">
        <v>3270000</v>
      </c>
      <c r="F77" s="104"/>
      <c r="G77" s="104"/>
      <c r="H77" s="139">
        <f t="shared" si="12"/>
        <v>32700000</v>
      </c>
    </row>
    <row r="78" spans="2:24" x14ac:dyDescent="0.2">
      <c r="B78" s="104" t="s">
        <v>172</v>
      </c>
      <c r="C78" s="104">
        <v>10</v>
      </c>
      <c r="D78" s="104" t="s">
        <v>73</v>
      </c>
      <c r="E78" s="81">
        <v>14500000</v>
      </c>
      <c r="F78" s="104"/>
      <c r="G78" s="104"/>
      <c r="H78" s="139">
        <f t="shared" si="12"/>
        <v>145000000</v>
      </c>
    </row>
    <row r="79" spans="2:24" x14ac:dyDescent="0.2">
      <c r="B79" s="104" t="s">
        <v>59</v>
      </c>
      <c r="C79" s="104">
        <v>10</v>
      </c>
      <c r="D79" s="104" t="s">
        <v>73</v>
      </c>
      <c r="E79" s="81">
        <v>5000000</v>
      </c>
      <c r="F79" s="104"/>
      <c r="G79" s="104"/>
      <c r="H79" s="139">
        <f t="shared" si="12"/>
        <v>50000000</v>
      </c>
    </row>
    <row r="80" spans="2:24" x14ac:dyDescent="0.2">
      <c r="B80" s="104" t="s">
        <v>212</v>
      </c>
      <c r="C80" s="104">
        <v>10</v>
      </c>
      <c r="D80" s="104" t="s">
        <v>73</v>
      </c>
      <c r="E80" s="81">
        <f>40000*100</f>
        <v>4000000</v>
      </c>
      <c r="F80" s="104"/>
      <c r="G80" s="104"/>
      <c r="H80" s="139">
        <f t="shared" si="12"/>
        <v>40000000</v>
      </c>
    </row>
    <row r="81" spans="2:28" x14ac:dyDescent="0.2">
      <c r="B81" s="104" t="s">
        <v>307</v>
      </c>
      <c r="C81" s="104">
        <v>20</v>
      </c>
      <c r="D81" s="104" t="s">
        <v>73</v>
      </c>
      <c r="E81" s="94">
        <v>5170000</v>
      </c>
      <c r="F81" s="104"/>
      <c r="G81" s="104"/>
      <c r="H81" s="139">
        <f t="shared" si="12"/>
        <v>103400000</v>
      </c>
    </row>
    <row r="82" spans="2:28" x14ac:dyDescent="0.2">
      <c r="B82" s="104" t="s">
        <v>208</v>
      </c>
      <c r="C82" s="104">
        <v>2</v>
      </c>
      <c r="D82" s="104" t="s">
        <v>209</v>
      </c>
      <c r="E82" s="81">
        <v>43000000</v>
      </c>
      <c r="F82" s="200">
        <v>0.5</v>
      </c>
      <c r="G82" s="104"/>
      <c r="H82" s="139">
        <f>C82*E82*F82</f>
        <v>43000000</v>
      </c>
      <c r="I82" s="83"/>
    </row>
    <row r="83" spans="2:28" x14ac:dyDescent="0.2">
      <c r="B83" s="104" t="s">
        <v>389</v>
      </c>
      <c r="C83" s="389">
        <f>200*20</f>
        <v>4000</v>
      </c>
      <c r="D83" s="104" t="s">
        <v>348</v>
      </c>
      <c r="E83" s="391">
        <v>334640.25000000006</v>
      </c>
      <c r="F83" s="104"/>
      <c r="G83" s="104"/>
      <c r="H83" s="139">
        <f t="shared" ref="H83" si="13">C83*E83</f>
        <v>1338561000.0000002</v>
      </c>
    </row>
    <row r="84" spans="2:28" x14ac:dyDescent="0.2">
      <c r="B84" s="104" t="s">
        <v>210</v>
      </c>
      <c r="C84" s="389">
        <v>4</v>
      </c>
      <c r="D84" s="104" t="s">
        <v>102</v>
      </c>
      <c r="E84" s="391">
        <v>7862772</v>
      </c>
      <c r="F84" s="200"/>
      <c r="G84" s="104">
        <v>10</v>
      </c>
      <c r="H84" s="139">
        <f>C84*E84*G84</f>
        <v>314510880</v>
      </c>
      <c r="I84" s="83"/>
    </row>
    <row r="85" spans="2:28" x14ac:dyDescent="0.2">
      <c r="B85" s="104" t="s">
        <v>214</v>
      </c>
      <c r="C85" s="389">
        <v>5</v>
      </c>
      <c r="D85" s="104" t="s">
        <v>102</v>
      </c>
      <c r="E85" s="391">
        <v>12894949</v>
      </c>
      <c r="F85" s="104"/>
      <c r="G85" s="104">
        <v>12</v>
      </c>
      <c r="H85" s="139">
        <f>C85*E85*G85</f>
        <v>773696940</v>
      </c>
      <c r="I85" s="83"/>
    </row>
    <row r="86" spans="2:28" ht="15.6" customHeight="1" x14ac:dyDescent="0.25">
      <c r="B86" s="104" t="s">
        <v>204</v>
      </c>
      <c r="C86" s="389">
        <v>1</v>
      </c>
      <c r="D86" s="104" t="s">
        <v>390</v>
      </c>
      <c r="E86" s="391">
        <v>5381852</v>
      </c>
      <c r="F86" s="104"/>
      <c r="G86" s="104"/>
      <c r="H86" s="139">
        <f>C86*E86</f>
        <v>5381852</v>
      </c>
      <c r="I86" s="114" t="s">
        <v>592</v>
      </c>
    </row>
    <row r="87" spans="2:28" ht="15" x14ac:dyDescent="0.25">
      <c r="B87" s="104" t="s">
        <v>213</v>
      </c>
      <c r="C87" s="389"/>
      <c r="D87" s="104"/>
      <c r="E87" s="387"/>
      <c r="F87" s="104"/>
      <c r="G87" s="104"/>
      <c r="H87" s="139" t="s">
        <v>67</v>
      </c>
      <c r="I87" s="114">
        <f>H88/12</f>
        <v>312533389.33333331</v>
      </c>
    </row>
    <row r="88" spans="2:28" ht="15" x14ac:dyDescent="0.25">
      <c r="B88" s="314" t="s">
        <v>216</v>
      </c>
      <c r="C88" s="390"/>
      <c r="D88" s="142"/>
      <c r="E88" s="388"/>
      <c r="F88" s="142"/>
      <c r="G88" s="142"/>
      <c r="H88" s="346">
        <f>SUM(H66:H86)</f>
        <v>3750400672</v>
      </c>
      <c r="I88" s="379">
        <v>2</v>
      </c>
      <c r="J88" s="379">
        <v>3</v>
      </c>
      <c r="K88" s="379">
        <v>4</v>
      </c>
      <c r="L88" s="379">
        <v>5</v>
      </c>
      <c r="M88" s="379">
        <v>6</v>
      </c>
      <c r="N88" s="379">
        <v>7</v>
      </c>
      <c r="O88" s="379">
        <v>8</v>
      </c>
      <c r="P88" s="379">
        <v>9</v>
      </c>
      <c r="Q88" s="379">
        <v>10</v>
      </c>
      <c r="R88" s="379">
        <v>11</v>
      </c>
      <c r="S88" s="379">
        <v>12</v>
      </c>
      <c r="T88" s="379">
        <v>13</v>
      </c>
      <c r="U88" s="379">
        <v>14</v>
      </c>
      <c r="V88" s="379">
        <v>15</v>
      </c>
      <c r="W88" s="379">
        <v>16</v>
      </c>
      <c r="X88" s="379">
        <v>17</v>
      </c>
      <c r="Y88" s="379">
        <v>18</v>
      </c>
      <c r="Z88" s="379">
        <v>19</v>
      </c>
      <c r="AA88" s="379">
        <v>20</v>
      </c>
    </row>
    <row r="89" spans="2:28" ht="15" x14ac:dyDescent="0.25">
      <c r="B89" s="382" t="s">
        <v>609</v>
      </c>
      <c r="C89" s="140"/>
      <c r="D89" s="382"/>
      <c r="E89" s="140"/>
      <c r="F89" s="140"/>
      <c r="G89" s="140"/>
      <c r="H89" s="140"/>
      <c r="I89" s="385">
        <v>4500000000</v>
      </c>
      <c r="J89" s="385">
        <v>5175000000</v>
      </c>
      <c r="K89" s="385">
        <v>6000000000</v>
      </c>
      <c r="L89" s="385">
        <v>6900000000</v>
      </c>
      <c r="M89" s="385">
        <v>7950000000</v>
      </c>
      <c r="N89" s="385">
        <v>9450000000</v>
      </c>
      <c r="O89" s="385">
        <v>11400000000</v>
      </c>
      <c r="P89" s="385">
        <v>13650000000</v>
      </c>
      <c r="Q89" s="385">
        <v>16350000000</v>
      </c>
      <c r="R89" s="385">
        <v>13650000000</v>
      </c>
      <c r="AB89" s="385">
        <f>SUM(I89:AA89)</f>
        <v>95025000000</v>
      </c>
    </row>
    <row r="90" spans="2:28" ht="15" x14ac:dyDescent="0.25">
      <c r="B90" s="320" t="s">
        <v>610</v>
      </c>
      <c r="C90" s="140"/>
      <c r="D90" s="320" t="s">
        <v>593</v>
      </c>
      <c r="E90" s="140"/>
      <c r="F90" s="140"/>
      <c r="G90" s="140"/>
      <c r="H90" s="140"/>
      <c r="S90" s="380">
        <v>4106250000</v>
      </c>
      <c r="T90" s="380">
        <v>3290625000</v>
      </c>
      <c r="U90" s="380">
        <v>2643750000</v>
      </c>
      <c r="V90" s="380">
        <v>2109375000</v>
      </c>
      <c r="W90" s="380">
        <v>1631250000</v>
      </c>
      <c r="X90" s="380">
        <v>1350000000</v>
      </c>
      <c r="Y90" s="380">
        <v>1096875000</v>
      </c>
      <c r="Z90" s="380">
        <v>871875000</v>
      </c>
      <c r="AA90" s="380">
        <v>703125000</v>
      </c>
      <c r="AB90" s="380">
        <f t="shared" ref="AB90:AB94" si="14">SUM(I90:AA90)</f>
        <v>17803125000</v>
      </c>
    </row>
    <row r="91" spans="2:28" ht="15" x14ac:dyDescent="0.25">
      <c r="B91" s="381" t="s">
        <v>588</v>
      </c>
      <c r="C91" s="140"/>
      <c r="D91" s="381" t="s">
        <v>593</v>
      </c>
      <c r="E91" s="140"/>
      <c r="F91" s="140"/>
      <c r="G91" s="140"/>
      <c r="H91" s="140"/>
      <c r="I91" s="384">
        <v>5784187500</v>
      </c>
      <c r="J91" s="384">
        <v>6651815625</v>
      </c>
      <c r="K91" s="384">
        <v>7712250000</v>
      </c>
      <c r="L91" s="384">
        <v>17738175000</v>
      </c>
      <c r="M91" s="384">
        <v>20437462500</v>
      </c>
      <c r="N91" s="384">
        <v>36440381250</v>
      </c>
      <c r="O91" s="384">
        <v>43959825000</v>
      </c>
      <c r="P91" s="384">
        <v>52636106250</v>
      </c>
      <c r="Q91" s="384">
        <v>63047643750</v>
      </c>
      <c r="R91" s="384">
        <v>52636106250</v>
      </c>
      <c r="AB91" s="384">
        <f t="shared" si="14"/>
        <v>307043953125</v>
      </c>
    </row>
    <row r="92" spans="2:28" ht="15" x14ac:dyDescent="0.25">
      <c r="B92" s="382" t="s">
        <v>589</v>
      </c>
      <c r="C92" s="140"/>
      <c r="D92" s="382" t="s">
        <v>403</v>
      </c>
      <c r="E92" s="140"/>
      <c r="F92" s="140"/>
      <c r="G92" s="140"/>
      <c r="I92" s="385">
        <v>34705125000</v>
      </c>
      <c r="J92" s="385">
        <v>39910893750</v>
      </c>
      <c r="K92" s="385">
        <v>46273500000</v>
      </c>
      <c r="L92" s="385">
        <v>47301800000</v>
      </c>
      <c r="M92" s="385">
        <v>54499900000</v>
      </c>
      <c r="N92" s="385">
        <v>56685037500</v>
      </c>
      <c r="O92" s="385">
        <v>68381950000</v>
      </c>
      <c r="P92" s="385">
        <v>81878387500</v>
      </c>
      <c r="Q92" s="385">
        <v>98074112500</v>
      </c>
      <c r="R92" s="385">
        <v>81878387500</v>
      </c>
      <c r="AB92" s="385">
        <f t="shared" si="14"/>
        <v>609589093750</v>
      </c>
    </row>
    <row r="93" spans="2:28" ht="15" x14ac:dyDescent="0.25">
      <c r="B93" s="320" t="s">
        <v>590</v>
      </c>
      <c r="C93" s="140"/>
      <c r="D93" s="320" t="s">
        <v>403</v>
      </c>
      <c r="E93" s="140"/>
      <c r="F93" s="140"/>
      <c r="G93" s="140"/>
      <c r="S93" s="380">
        <v>10556142187.5</v>
      </c>
      <c r="T93" s="380">
        <v>10556142187.5</v>
      </c>
      <c r="U93" s="380">
        <v>10556142187.5</v>
      </c>
      <c r="V93" s="380">
        <v>10556142187.5</v>
      </c>
      <c r="W93" s="380">
        <v>10556142187.5</v>
      </c>
      <c r="X93" s="380">
        <v>10556142187.5</v>
      </c>
      <c r="Y93" s="380">
        <v>10556142187.5</v>
      </c>
      <c r="Z93" s="380">
        <v>10556142187.5</v>
      </c>
      <c r="AA93" s="380">
        <v>10556142187.5</v>
      </c>
      <c r="AB93" s="380">
        <f t="shared" si="14"/>
        <v>95005279687.5</v>
      </c>
    </row>
    <row r="94" spans="2:28" ht="15" x14ac:dyDescent="0.25">
      <c r="B94" s="383" t="s">
        <v>591</v>
      </c>
      <c r="C94" s="140"/>
      <c r="D94" s="383" t="s">
        <v>403</v>
      </c>
      <c r="E94" s="140"/>
      <c r="F94" s="140"/>
      <c r="G94" s="140"/>
      <c r="S94" s="386">
        <v>24630998437.5</v>
      </c>
      <c r="T94" s="386">
        <v>19738539843.75</v>
      </c>
      <c r="U94" s="386">
        <v>15858314062.5</v>
      </c>
      <c r="V94" s="386">
        <v>12652910156.25</v>
      </c>
      <c r="W94" s="386">
        <v>9784917187.5</v>
      </c>
      <c r="X94" s="386">
        <v>6941025000</v>
      </c>
      <c r="Y94" s="386">
        <v>5639582812.5</v>
      </c>
      <c r="Z94" s="386">
        <v>4482745312.5</v>
      </c>
      <c r="AA94" s="386">
        <v>3615117187.5</v>
      </c>
      <c r="AB94" s="386">
        <f t="shared" si="14"/>
        <v>103344150000</v>
      </c>
    </row>
    <row r="95" spans="2:28" ht="409.5" customHeight="1" x14ac:dyDescent="0.2">
      <c r="B95" s="392" t="s">
        <v>604</v>
      </c>
      <c r="C95" s="657"/>
      <c r="D95" s="140"/>
      <c r="E95" s="140"/>
      <c r="F95" s="140"/>
      <c r="G95" s="140"/>
      <c r="I95" s="140"/>
      <c r="K95" s="140"/>
      <c r="L95" s="140"/>
      <c r="M95" s="140"/>
    </row>
    <row r="96" spans="2:28" x14ac:dyDescent="0.2">
      <c r="B96" s="322"/>
      <c r="C96" s="657"/>
      <c r="D96" s="140"/>
      <c r="E96" s="140"/>
      <c r="F96" s="140"/>
      <c r="G96" s="140"/>
      <c r="H96" s="140"/>
      <c r="I96" s="140"/>
      <c r="J96" s="140"/>
      <c r="K96" s="140"/>
      <c r="L96" s="140"/>
      <c r="M96" s="140"/>
    </row>
    <row r="97" spans="2:24" s="102" customFormat="1" ht="14.45" customHeight="1" x14ac:dyDescent="0.25">
      <c r="B97" s="419" t="str">
        <f>B10</f>
        <v xml:space="preserve">2.3. Impulso a la producción de maíz a mediana y gran escala.  </v>
      </c>
      <c r="C97" s="134"/>
      <c r="D97" s="140"/>
      <c r="E97" s="140"/>
      <c r="F97" s="140"/>
      <c r="G97" s="140"/>
      <c r="H97" s="140"/>
      <c r="I97" s="658"/>
      <c r="X97" s="77"/>
    </row>
    <row r="98" spans="2:24" s="102" customFormat="1" ht="14.45" customHeight="1" x14ac:dyDescent="0.25">
      <c r="B98" s="854" t="str">
        <f>Portafolio_Cadena_Maíz!H28</f>
        <v>2.3.1. Clasificar y priorizar áreas adecuadas para inversiones en la producción de maíz a mediana y gran escala, en las regiones maiceras, de acuerdo con su aptitud, infraestructura productiva, oportunidades de mercado, entre otras.</v>
      </c>
      <c r="C98" s="854"/>
      <c r="D98" s="854"/>
      <c r="E98" s="854"/>
      <c r="F98" s="854"/>
      <c r="G98" s="854"/>
      <c r="H98" s="854"/>
      <c r="I98" s="658"/>
      <c r="X98" s="77"/>
    </row>
    <row r="99" spans="2:24" s="102" customFormat="1" ht="14.45" customHeight="1" x14ac:dyDescent="0.25">
      <c r="B99" s="854" t="str">
        <f>Portafolio_Cadena_Maíz!H29</f>
        <v>2.3.2. Identificar y convocar, a través de los gremios del sector, de ProColombia y de otras entidades, a inversionistas y empresarios, nacionales o extranjeros, con interés en realizar inversiones en el cultivo de maíz a mediana y gran escala.</v>
      </c>
      <c r="C99" s="854"/>
      <c r="D99" s="854"/>
      <c r="E99" s="854"/>
      <c r="F99" s="854"/>
      <c r="G99" s="854"/>
      <c r="H99" s="854"/>
      <c r="I99" s="658"/>
      <c r="X99" s="77"/>
    </row>
    <row r="100" spans="2:24" s="102" customFormat="1" ht="14.45" customHeight="1" x14ac:dyDescent="0.25">
      <c r="B100" s="854" t="str">
        <f>Portafolio_Cadena_Maíz!H30</f>
        <v xml:space="preserve">2.3.3. Constituir un banco de proyectos de inversión en producción de maíz a mediana y gran escala con enfoque de mercado, que permita identificar y gestionar profesionalmente iniciativas y estímulos a la inversión. </v>
      </c>
      <c r="C100" s="854"/>
      <c r="D100" s="854"/>
      <c r="E100" s="854"/>
      <c r="F100" s="854"/>
      <c r="G100" s="854"/>
      <c r="H100" s="854"/>
      <c r="I100" s="658"/>
      <c r="X100" s="77"/>
    </row>
    <row r="101" spans="2:24" s="102" customFormat="1" ht="40.5" customHeight="1" x14ac:dyDescent="0.25">
      <c r="B101" s="854" t="str">
        <f>Portafolio_Cadena_Maíz!H31</f>
        <v xml:space="preserve">2.3.4. Brindar acompañamiento técnico para apoyar y facilitar el ingreso de material genético al país, y su multiplicación, fortaleciendo la gestión en los procesos asociados a la adopción rápida de semillas de última tecnología y protección de cultivares, y al acceso a la producción de biológicos en las unidades productivas, promovidos a través de una red colaborativa entre actores nacionales e internacionales, que facilite y agilice los procesos de validación tecnológica.  </v>
      </c>
      <c r="C101" s="854"/>
      <c r="D101" s="854"/>
      <c r="E101" s="854"/>
      <c r="F101" s="854"/>
      <c r="G101" s="854"/>
      <c r="H101" s="854"/>
      <c r="I101" s="658"/>
      <c r="X101" s="77"/>
    </row>
    <row r="102" spans="2:24" s="102" customFormat="1" ht="30.95" customHeight="1" x14ac:dyDescent="0.25">
      <c r="B102" s="854" t="str">
        <f>Portafolio_Cadena_Maíz!H32</f>
        <v>2.3.5. Orientar y acompañar a los inversionistas en la producción de maíz a mediana y gran escala, en los trámites para acceder a incentivos tributarios y suscripción de contratos de estabilidad tributaria (Por ej.: Resolución 194 de 2020 de Minagricultura y Decreto 1157 de 2020 de Minhacienda) de manera que se estimulen las inversiones, con beneficios de renta preferencial y exención de otros impuestos.</v>
      </c>
      <c r="C102" s="854"/>
      <c r="D102" s="854"/>
      <c r="E102" s="854"/>
      <c r="F102" s="854"/>
      <c r="G102" s="854"/>
      <c r="H102" s="854"/>
      <c r="I102" s="658"/>
      <c r="X102" s="77"/>
    </row>
    <row r="103" spans="2:24" s="102" customFormat="1" ht="32.1" customHeight="1" x14ac:dyDescent="0.25">
      <c r="B103" s="854" t="str">
        <f>Portafolio_Cadena_Maíz!H33</f>
        <v>2.3.6. Orientar a las medianas y grandes empresas, en la formulación de proyectos de desarrollo e innovación para la cadena de maíz, que les permita acceder a los beneficios tributarios por Inversión: deducción y descuento y crédito fiscal, acorde con lo estipulado en el Estatuto Tributario, en esta materia (artículos 158-1, 256, 258 y 256-1).</v>
      </c>
      <c r="C103" s="854"/>
      <c r="D103" s="854"/>
      <c r="E103" s="854"/>
      <c r="F103" s="854"/>
      <c r="G103" s="854"/>
      <c r="H103" s="854"/>
      <c r="I103" s="658"/>
      <c r="X103" s="77"/>
    </row>
    <row r="104" spans="2:24" s="102" customFormat="1" ht="24.6" customHeight="1" x14ac:dyDescent="0.25">
      <c r="B104" s="854" t="str">
        <f>Portafolio_Cadena_Maíz!H34</f>
        <v>2.3.7. Fomentar la vinculación de los Fondos de Inversión para atraer, facilitar y retener la participación de capital foráneo en la producción nacional de maíz a mediana y gran escala, aplicando mecanismos como la figura del Defensor del Inversionista y la Ventanilla Única de Inversión - VUI.</v>
      </c>
      <c r="C104" s="854"/>
      <c r="D104" s="854"/>
      <c r="E104" s="854"/>
      <c r="F104" s="854"/>
      <c r="G104" s="854"/>
      <c r="H104" s="854"/>
      <c r="I104" s="658"/>
      <c r="X104" s="77"/>
    </row>
    <row r="105" spans="2:24" s="102" customFormat="1" ht="14.45" customHeight="1" x14ac:dyDescent="0.25">
      <c r="B105" s="309"/>
      <c r="C105" s="657"/>
      <c r="D105" s="140"/>
      <c r="E105" s="140"/>
      <c r="F105" s="140"/>
      <c r="G105" s="140"/>
      <c r="H105" s="140"/>
      <c r="I105" s="658"/>
      <c r="X105" s="77"/>
    </row>
    <row r="106" spans="2:24" s="102" customFormat="1" ht="14.45" customHeight="1" x14ac:dyDescent="0.25">
      <c r="B106" s="857" t="s">
        <v>595</v>
      </c>
      <c r="C106" s="857"/>
      <c r="D106" s="857"/>
      <c r="E106" s="857"/>
      <c r="F106" s="857"/>
      <c r="G106" s="857"/>
      <c r="H106" s="857"/>
      <c r="I106" s="658"/>
      <c r="X106" s="77"/>
    </row>
    <row r="107" spans="2:24" ht="15" x14ac:dyDescent="0.25">
      <c r="B107" s="78" t="s">
        <v>68</v>
      </c>
      <c r="C107" s="78" t="s">
        <v>58</v>
      </c>
      <c r="D107" s="78" t="s">
        <v>55</v>
      </c>
      <c r="E107" s="78" t="s">
        <v>54</v>
      </c>
      <c r="F107" s="79" t="s">
        <v>96</v>
      </c>
      <c r="G107" s="78" t="s">
        <v>218</v>
      </c>
      <c r="H107" s="78" t="s">
        <v>71</v>
      </c>
      <c r="X107" s="80"/>
    </row>
    <row r="108" spans="2:24" x14ac:dyDescent="0.2">
      <c r="B108" s="103" t="s">
        <v>72</v>
      </c>
      <c r="C108" s="103">
        <v>12</v>
      </c>
      <c r="D108" s="103" t="s">
        <v>73</v>
      </c>
      <c r="E108" s="45">
        <v>500000</v>
      </c>
      <c r="F108" s="103"/>
      <c r="G108" s="103"/>
      <c r="H108" s="139">
        <f>+E108*C108</f>
        <v>6000000</v>
      </c>
      <c r="J108" s="52"/>
    </row>
    <row r="109" spans="2:24" x14ac:dyDescent="0.2">
      <c r="B109" s="103" t="s">
        <v>74</v>
      </c>
      <c r="C109" s="103">
        <v>12</v>
      </c>
      <c r="D109" s="103" t="s">
        <v>73</v>
      </c>
      <c r="E109" s="45">
        <v>100000</v>
      </c>
      <c r="F109" s="103"/>
      <c r="G109" s="103"/>
      <c r="H109" s="139">
        <f t="shared" ref="H109:H115" si="15">+E109*C109</f>
        <v>1200000</v>
      </c>
      <c r="J109" s="52"/>
    </row>
    <row r="110" spans="2:24" x14ac:dyDescent="0.2">
      <c r="B110" s="103" t="s">
        <v>90</v>
      </c>
      <c r="C110" s="103">
        <v>4</v>
      </c>
      <c r="D110" s="103" t="s">
        <v>73</v>
      </c>
      <c r="E110" s="45">
        <v>2300000</v>
      </c>
      <c r="F110" s="103"/>
      <c r="G110" s="103"/>
      <c r="H110" s="139">
        <f t="shared" si="15"/>
        <v>9200000</v>
      </c>
      <c r="J110" s="52"/>
    </row>
    <row r="111" spans="2:24" x14ac:dyDescent="0.2">
      <c r="B111" s="103" t="s">
        <v>91</v>
      </c>
      <c r="C111" s="103">
        <v>4</v>
      </c>
      <c r="D111" s="103" t="s">
        <v>73</v>
      </c>
      <c r="E111" s="45">
        <v>460000</v>
      </c>
      <c r="F111" s="103"/>
      <c r="G111" s="103"/>
      <c r="H111" s="139">
        <f t="shared" si="15"/>
        <v>1840000</v>
      </c>
      <c r="J111" s="52"/>
    </row>
    <row r="112" spans="2:24" ht="15.6" customHeight="1" x14ac:dyDescent="0.2">
      <c r="B112" s="103" t="s">
        <v>339</v>
      </c>
      <c r="C112" s="103">
        <v>2</v>
      </c>
      <c r="D112" s="103" t="s">
        <v>73</v>
      </c>
      <c r="E112" s="108">
        <v>18000000</v>
      </c>
      <c r="F112" s="103"/>
      <c r="G112" s="103"/>
      <c r="H112" s="139">
        <f t="shared" si="15"/>
        <v>36000000</v>
      </c>
      <c r="J112" s="52"/>
    </row>
    <row r="113" spans="2:13" x14ac:dyDescent="0.2">
      <c r="B113" s="103" t="s">
        <v>340</v>
      </c>
      <c r="C113" s="103">
        <v>2</v>
      </c>
      <c r="D113" s="103" t="s">
        <v>73</v>
      </c>
      <c r="E113" s="108">
        <v>3270000</v>
      </c>
      <c r="F113" s="97"/>
      <c r="G113" s="103"/>
      <c r="H113" s="139">
        <f t="shared" si="15"/>
        <v>6540000</v>
      </c>
      <c r="J113" s="52"/>
    </row>
    <row r="114" spans="2:13" x14ac:dyDescent="0.2">
      <c r="B114" s="103" t="s">
        <v>341</v>
      </c>
      <c r="C114" s="103">
        <v>4</v>
      </c>
      <c r="D114" s="103" t="s">
        <v>102</v>
      </c>
      <c r="E114" s="108">
        <v>7862772</v>
      </c>
      <c r="F114" s="97"/>
      <c r="G114" s="103">
        <v>10</v>
      </c>
      <c r="H114" s="139">
        <f>+E114*C114*G114</f>
        <v>314510880</v>
      </c>
      <c r="J114" s="52"/>
    </row>
    <row r="115" spans="2:13" x14ac:dyDescent="0.2">
      <c r="B115" s="103" t="s">
        <v>342</v>
      </c>
      <c r="C115" s="103">
        <v>4</v>
      </c>
      <c r="D115" s="103" t="s">
        <v>73</v>
      </c>
      <c r="E115" s="108">
        <v>1313122</v>
      </c>
      <c r="F115" s="97"/>
      <c r="G115" s="103"/>
      <c r="H115" s="139">
        <f t="shared" si="15"/>
        <v>5252488</v>
      </c>
      <c r="J115" s="52"/>
    </row>
    <row r="116" spans="2:13" ht="15" x14ac:dyDescent="0.25">
      <c r="B116" s="85" t="s">
        <v>343</v>
      </c>
      <c r="C116" s="85"/>
      <c r="D116" s="85"/>
      <c r="E116" s="85"/>
      <c r="F116" s="85"/>
      <c r="G116" s="85"/>
      <c r="H116" s="310">
        <f>SUM(H108:H115)</f>
        <v>380543368</v>
      </c>
      <c r="I116" s="311">
        <f>H116/12</f>
        <v>31711947.333333332</v>
      </c>
      <c r="J116" s="102"/>
    </row>
    <row r="117" spans="2:13" ht="71.25" x14ac:dyDescent="0.2">
      <c r="B117" s="206" t="s">
        <v>391</v>
      </c>
      <c r="C117" s="657"/>
      <c r="D117" s="140"/>
      <c r="E117" s="140"/>
      <c r="F117" s="140"/>
      <c r="G117" s="140"/>
      <c r="H117" s="140"/>
      <c r="I117" s="140"/>
      <c r="J117" s="140"/>
      <c r="K117" s="140"/>
      <c r="L117" s="140"/>
      <c r="M117" s="140"/>
    </row>
    <row r="118" spans="2:13" x14ac:dyDescent="0.2">
      <c r="D118" s="140"/>
      <c r="E118" s="140"/>
      <c r="F118" s="140"/>
      <c r="G118" s="140"/>
      <c r="H118" s="140"/>
      <c r="I118" s="140"/>
      <c r="J118" s="140"/>
      <c r="K118" s="140"/>
      <c r="L118" s="140"/>
      <c r="M118" s="140"/>
    </row>
  </sheetData>
  <sheetProtection algorithmName="SHA-512" hashValue="6069l2vuqrthZHnXMElbKz73i1Ip5hbRjDVuYFjCKaL083y+SpmpjyzdTgjIgc6H0i2jiYu45upPRIAWd+U6lQ==" saltValue="imzMtRRkPI7ezV+ZOp6HRw==" spinCount="100000" sheet="1" objects="1" scenarios="1"/>
  <mergeCells count="27">
    <mergeCell ref="B20:H20"/>
    <mergeCell ref="B14:H15"/>
    <mergeCell ref="B16:H16"/>
    <mergeCell ref="B17:H17"/>
    <mergeCell ref="B18:H18"/>
    <mergeCell ref="B19:H19"/>
    <mergeCell ref="B106:H106"/>
    <mergeCell ref="B21:H21"/>
    <mergeCell ref="B22:H22"/>
    <mergeCell ref="B63:H63"/>
    <mergeCell ref="B64:H64"/>
    <mergeCell ref="B54:H54"/>
    <mergeCell ref="B98:H98"/>
    <mergeCell ref="B99:H99"/>
    <mergeCell ref="B25:H25"/>
    <mergeCell ref="B55:H55"/>
    <mergeCell ref="B56:H56"/>
    <mergeCell ref="B57:H57"/>
    <mergeCell ref="B58:H58"/>
    <mergeCell ref="B59:H59"/>
    <mergeCell ref="B101:H101"/>
    <mergeCell ref="B102:H102"/>
    <mergeCell ref="B103:H103"/>
    <mergeCell ref="B104:H104"/>
    <mergeCell ref="B60:H60"/>
    <mergeCell ref="B61:H61"/>
    <mergeCell ref="B100:H10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f80231c7-1257-415c-8fcb-5b2104922a21</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4E5690-9974-493D-9E87-73BE4955AA47}"/>
</file>

<file path=customXml/itemProps2.xml><?xml version="1.0" encoding="utf-8"?>
<ds:datastoreItem xmlns:ds="http://schemas.openxmlformats.org/officeDocument/2006/customXml" ds:itemID="{ABC1D8C0-1628-4E92-8C06-6EDBC98DE2CA}"/>
</file>

<file path=customXml/itemProps3.xml><?xml version="1.0" encoding="utf-8"?>
<ds:datastoreItem xmlns:ds="http://schemas.openxmlformats.org/officeDocument/2006/customXml" ds:itemID="{3568FBB8-4284-4F6A-B9B9-B675CE38F0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Instructivo</vt:lpstr>
      <vt:lpstr>Directrices  Generales </vt:lpstr>
      <vt:lpstr>Glosario categoria de costos</vt:lpstr>
      <vt:lpstr>Categoria Costos Def</vt:lpstr>
      <vt:lpstr>Estimación anualizada </vt:lpstr>
      <vt:lpstr>Estimación por período</vt:lpstr>
      <vt:lpstr>Fuentes</vt:lpstr>
      <vt:lpstr>P1</vt:lpstr>
      <vt:lpstr>P2</vt:lpstr>
      <vt:lpstr>P3</vt:lpstr>
      <vt:lpstr>P4</vt:lpstr>
      <vt:lpstr>P5</vt:lpstr>
      <vt:lpstr>P6</vt:lpstr>
      <vt:lpstr>P7</vt:lpstr>
      <vt:lpstr>P8</vt:lpstr>
      <vt:lpstr>P9</vt:lpstr>
      <vt:lpstr>Portafolio_Cadena_Maíz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Jannia Gómez</dc:creator>
  <cp:lastModifiedBy>Alejandro Flórez Vanegas</cp:lastModifiedBy>
  <dcterms:created xsi:type="dcterms:W3CDTF">2022-02-23T13:55:35Z</dcterms:created>
  <dcterms:modified xsi:type="dcterms:W3CDTF">2022-06-30T15:15:32Z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