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3.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mc:AlternateContent xmlns:mc="http://schemas.openxmlformats.org/markup-compatibility/2006">
    <mc:Choice Requires="x15">
      <x15ac:absPath xmlns:x15ac="http://schemas.microsoft.com/office/spreadsheetml/2010/11/ac" url="C:\Users\Usuario\Documents\AAUPRA2022\RPA\Costos ganadería\"/>
    </mc:Choice>
  </mc:AlternateContent>
  <xr:revisionPtr revIDLastSave="0" documentId="11_B54819F5152DD887FD85F5EC21BA90932AC78635" xr6:coauthVersionLast="47" xr6:coauthVersionMax="47" xr10:uidLastSave="{00000000-0000-0000-0000-000000000000}"/>
  <bookViews>
    <workbookView showHorizontalScroll="0" showVerticalScroll="0" xWindow="0" yWindow="0" windowWidth="20490" windowHeight="6450" xr2:uid="{00000000-000D-0000-FFFF-FFFF00000000}"/>
  </bookViews>
  <sheets>
    <sheet name="Instructivo" sheetId="4" r:id="rId1"/>
    <sheet name="inversiones cría" sheetId="1" r:id="rId2"/>
    <sheet name=" Costos año cría" sheetId="2" r:id="rId3"/>
    <sheet name="Ingresos y resultados cría" sheetId="3" r:id="rId4"/>
    <sheet name="Inversiones levante " sheetId="5" r:id="rId5"/>
    <sheet name="Costos año Levante " sheetId="6" r:id="rId6"/>
    <sheet name="Ingresos y Resultados Levante" sheetId="7" r:id="rId7"/>
    <sheet name="Inversiones Ceba" sheetId="8" r:id="rId8"/>
    <sheet name="Costos año Ceba" sheetId="9" r:id="rId9"/>
    <sheet name="Ingresos y resultados Ceba" sheetId="10" r:id="rId10"/>
    <sheet name="Inversiones Ciclo Completo" sheetId="11" r:id="rId11"/>
    <sheet name="Costos año Ciclo Completo" sheetId="12" r:id="rId12"/>
    <sheet name="Ingresos y resul Ciclo Completo" sheetId="13" r:id="rId13"/>
    <sheet name="Resumen" sheetId="1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11" l="1"/>
  <c r="D27" i="11"/>
  <c r="D16" i="11"/>
  <c r="D39" i="11"/>
  <c r="D37" i="11"/>
  <c r="L20" i="12" l="1"/>
  <c r="G8" i="8"/>
  <c r="H8" i="5"/>
  <c r="B66" i="9" l="1"/>
  <c r="J33" i="9"/>
  <c r="K32" i="9"/>
  <c r="D33" i="9"/>
  <c r="J22" i="9"/>
  <c r="L21" i="9"/>
  <c r="L20" i="9"/>
  <c r="L19" i="9"/>
  <c r="L18" i="9"/>
  <c r="L17" i="9"/>
  <c r="D23" i="9"/>
  <c r="E12" i="9"/>
  <c r="G12" i="9"/>
  <c r="I12" i="9"/>
  <c r="E25" i="8"/>
  <c r="E50" i="11"/>
  <c r="E24" i="5"/>
  <c r="E49" i="1"/>
  <c r="F24" i="8"/>
  <c r="F23" i="5"/>
  <c r="F22" i="5"/>
  <c r="L21" i="6"/>
  <c r="L20" i="6"/>
  <c r="L19" i="6"/>
  <c r="L18" i="6"/>
  <c r="L17" i="6"/>
  <c r="J22" i="6"/>
  <c r="D23" i="6"/>
  <c r="I12" i="6"/>
  <c r="G12" i="6"/>
  <c r="E12" i="6"/>
  <c r="D37" i="12"/>
  <c r="J37" i="12"/>
  <c r="J24" i="12"/>
  <c r="L23" i="12"/>
  <c r="L22" i="12"/>
  <c r="L21" i="12"/>
  <c r="L19" i="12"/>
  <c r="J24" i="2"/>
  <c r="D27" i="2"/>
  <c r="L23" i="2"/>
  <c r="L22" i="2"/>
  <c r="L21" i="2"/>
  <c r="L20" i="2"/>
  <c r="L19" i="2"/>
  <c r="J37" i="2"/>
  <c r="D37" i="2"/>
  <c r="F49" i="11"/>
  <c r="F48" i="1"/>
  <c r="L24" i="12" l="1"/>
  <c r="E47" i="12" s="1"/>
  <c r="L22" i="9"/>
  <c r="E42" i="9" s="1"/>
  <c r="L22" i="6"/>
  <c r="E42" i="6" s="1"/>
  <c r="L24" i="2"/>
  <c r="E47" i="2" s="1"/>
  <c r="I13" i="12"/>
  <c r="G13" i="12"/>
  <c r="E13" i="12"/>
  <c r="E13" i="2"/>
  <c r="G13" i="2"/>
  <c r="I13" i="2"/>
  <c r="K36" i="12"/>
  <c r="G70" i="12"/>
  <c r="T42" i="6" l="1"/>
  <c r="P42" i="6"/>
  <c r="L42" i="6"/>
  <c r="R42" i="6"/>
  <c r="J42" i="6"/>
  <c r="F54" i="6"/>
  <c r="G54" i="6" s="1"/>
  <c r="H54" i="6" s="1"/>
  <c r="I54" i="6" s="1"/>
  <c r="J54" i="6" s="1"/>
  <c r="K54" i="6" s="1"/>
  <c r="L54" i="6" s="1"/>
  <c r="M54" i="6" s="1"/>
  <c r="N54" i="6" s="1"/>
  <c r="O54" i="6" s="1"/>
  <c r="Q42" i="6"/>
  <c r="M42" i="6"/>
  <c r="I42" i="6"/>
  <c r="S42" i="6"/>
  <c r="O42" i="6"/>
  <c r="K42" i="6"/>
  <c r="N42" i="6"/>
  <c r="D42" i="9"/>
  <c r="T42" i="9"/>
  <c r="P42" i="9"/>
  <c r="L42" i="9"/>
  <c r="S42" i="9"/>
  <c r="O42" i="9"/>
  <c r="K42" i="9"/>
  <c r="F54" i="9"/>
  <c r="G54" i="9" s="1"/>
  <c r="H54" i="9" s="1"/>
  <c r="I54" i="9" s="1"/>
  <c r="J54" i="9" s="1"/>
  <c r="K54" i="9" s="1"/>
  <c r="L54" i="9" s="1"/>
  <c r="M54" i="9" s="1"/>
  <c r="N54" i="9" s="1"/>
  <c r="O54" i="9" s="1"/>
  <c r="R42" i="9"/>
  <c r="N42" i="9"/>
  <c r="J42" i="9"/>
  <c r="Q42" i="9"/>
  <c r="M42" i="9"/>
  <c r="I42" i="9"/>
  <c r="D47" i="2"/>
  <c r="F59" i="2"/>
  <c r="G59" i="2" s="1"/>
  <c r="H59" i="2" s="1"/>
  <c r="I59" i="2" s="1"/>
  <c r="J59" i="2" s="1"/>
  <c r="K59" i="2" s="1"/>
  <c r="L59" i="2" s="1"/>
  <c r="M59" i="2" s="1"/>
  <c r="N59" i="2" s="1"/>
  <c r="O59" i="2" s="1"/>
  <c r="R47" i="2"/>
  <c r="N47" i="2"/>
  <c r="J47" i="2"/>
  <c r="M47" i="2"/>
  <c r="I47" i="2"/>
  <c r="O47" i="2"/>
  <c r="H47" i="2"/>
  <c r="Q47" i="2"/>
  <c r="P47" i="2"/>
  <c r="L47" i="2"/>
  <c r="S47" i="2"/>
  <c r="K47" i="2"/>
  <c r="F59" i="12"/>
  <c r="G59" i="12" s="1"/>
  <c r="H59" i="12" s="1"/>
  <c r="I59" i="12" s="1"/>
  <c r="J59" i="12" s="1"/>
  <c r="K59" i="12" s="1"/>
  <c r="L59" i="12" s="1"/>
  <c r="M59" i="12" s="1"/>
  <c r="N59" i="12" s="1"/>
  <c r="O59" i="12" s="1"/>
  <c r="R47" i="12"/>
  <c r="N47" i="12"/>
  <c r="J47" i="12"/>
  <c r="H47" i="12"/>
  <c r="Q47" i="12"/>
  <c r="M47" i="12"/>
  <c r="I47" i="12"/>
  <c r="P47" i="12"/>
  <c r="L47" i="12"/>
  <c r="S47" i="12"/>
  <c r="O47" i="12"/>
  <c r="K47" i="12"/>
  <c r="D47" i="12"/>
  <c r="D42" i="6"/>
  <c r="D11" i="12"/>
  <c r="D9" i="12"/>
  <c r="D8" i="12"/>
  <c r="U42" i="6" l="1"/>
  <c r="U42" i="9"/>
  <c r="T47" i="2"/>
  <c r="T47" i="12"/>
  <c r="E27" i="11"/>
  <c r="H8" i="8"/>
  <c r="I8" i="5"/>
  <c r="D27" i="1"/>
  <c r="E27" i="1" s="1"/>
  <c r="D16" i="1"/>
  <c r="C9" i="10" l="1"/>
  <c r="L11" i="9"/>
  <c r="F11" i="6"/>
  <c r="H11" i="6" s="1"/>
  <c r="D10" i="9"/>
  <c r="D8" i="9"/>
  <c r="D7" i="9"/>
  <c r="D15" i="8"/>
  <c r="K32" i="6"/>
  <c r="F22" i="6"/>
  <c r="L11" i="6"/>
  <c r="D10" i="6"/>
  <c r="D8" i="6"/>
  <c r="D7" i="6"/>
  <c r="J11" i="6"/>
  <c r="K36" i="2"/>
  <c r="D11" i="2"/>
  <c r="D9" i="2"/>
  <c r="D8" i="2"/>
  <c r="C11" i="13"/>
  <c r="D11" i="13" s="1"/>
  <c r="E11" i="13" s="1"/>
  <c r="F11" i="13" s="1"/>
  <c r="G11" i="13" s="1"/>
  <c r="H11" i="13" s="1"/>
  <c r="I11" i="13" s="1"/>
  <c r="J11" i="13" s="1"/>
  <c r="K11" i="13" s="1"/>
  <c r="L11" i="13" s="1"/>
  <c r="C8" i="13"/>
  <c r="F83" i="12"/>
  <c r="F82" i="12"/>
  <c r="F79" i="12"/>
  <c r="F81" i="12" s="1"/>
  <c r="D40" i="11"/>
  <c r="F39" i="11"/>
  <c r="D38" i="11"/>
  <c r="D36" i="11"/>
  <c r="F36" i="11" s="1"/>
  <c r="C11" i="12" l="1"/>
  <c r="F11" i="12" s="1"/>
  <c r="H11" i="12" s="1"/>
  <c r="C25" i="12"/>
  <c r="C19" i="9"/>
  <c r="B65" i="9"/>
  <c r="C22" i="9"/>
  <c r="F22" i="9" s="1"/>
  <c r="C18" i="9"/>
  <c r="F48" i="9"/>
  <c r="C21" i="9"/>
  <c r="F21" i="9" s="1"/>
  <c r="C17" i="9"/>
  <c r="C20" i="9"/>
  <c r="C11" i="9"/>
  <c r="D12" i="6"/>
  <c r="D13" i="2"/>
  <c r="D12" i="9"/>
  <c r="C10" i="13"/>
  <c r="C12" i="13" s="1"/>
  <c r="F37" i="11"/>
  <c r="F75" i="12"/>
  <c r="G76" i="12" s="1"/>
  <c r="G80" i="12" s="1"/>
  <c r="F38" i="11"/>
  <c r="F76" i="12"/>
  <c r="F80" i="12" s="1"/>
  <c r="F84" i="12" s="1"/>
  <c r="F78" i="12"/>
  <c r="G79" i="12" s="1"/>
  <c r="G81" i="12" s="1"/>
  <c r="F40" i="11"/>
  <c r="L8" i="10"/>
  <c r="K8" i="10"/>
  <c r="J8" i="10"/>
  <c r="I8" i="10"/>
  <c r="H8" i="10"/>
  <c r="G8" i="10"/>
  <c r="F8" i="10"/>
  <c r="E8" i="10"/>
  <c r="D8" i="10"/>
  <c r="C8" i="10"/>
  <c r="C12" i="9"/>
  <c r="C10" i="9"/>
  <c r="J10" i="9" s="1"/>
  <c r="K10" i="9" s="1"/>
  <c r="L10" i="9" s="1"/>
  <c r="C9" i="9"/>
  <c r="J9" i="9" s="1"/>
  <c r="K9" i="9" s="1"/>
  <c r="L9" i="9" s="1"/>
  <c r="C8" i="9"/>
  <c r="J8" i="9" s="1"/>
  <c r="K8" i="9" s="1"/>
  <c r="L8" i="9" s="1"/>
  <c r="C7" i="9"/>
  <c r="C23" i="12"/>
  <c r="C22" i="12"/>
  <c r="F22" i="12" s="1"/>
  <c r="C21" i="12"/>
  <c r="F21" i="12" s="1"/>
  <c r="F41" i="11"/>
  <c r="C12" i="12"/>
  <c r="C24" i="12"/>
  <c r="C9" i="12"/>
  <c r="C13" i="12"/>
  <c r="C19" i="12"/>
  <c r="C10" i="12"/>
  <c r="C8" i="12"/>
  <c r="C20" i="12"/>
  <c r="F20" i="12" s="1"/>
  <c r="C26" i="12"/>
  <c r="F26" i="12" s="1"/>
  <c r="C11" i="3"/>
  <c r="C12" i="3" s="1"/>
  <c r="C8" i="3"/>
  <c r="F82" i="2"/>
  <c r="F81" i="2"/>
  <c r="J11" i="12" l="1"/>
  <c r="K11" i="12" s="1"/>
  <c r="L11" i="12" s="1"/>
  <c r="F11" i="9"/>
  <c r="H11" i="9" s="1"/>
  <c r="J11" i="9"/>
  <c r="F12" i="12"/>
  <c r="H12" i="12" s="1"/>
  <c r="J12" i="12"/>
  <c r="J10" i="12"/>
  <c r="K10" i="12" s="1"/>
  <c r="L10" i="12" s="1"/>
  <c r="F10" i="12"/>
  <c r="H10" i="12" s="1"/>
  <c r="J9" i="12"/>
  <c r="K9" i="12" s="1"/>
  <c r="L9" i="12" s="1"/>
  <c r="F9" i="12"/>
  <c r="H9" i="12" s="1"/>
  <c r="F9" i="9"/>
  <c r="H9" i="9" s="1"/>
  <c r="F8" i="9"/>
  <c r="F10" i="9"/>
  <c r="H10" i="9" s="1"/>
  <c r="D11" i="3"/>
  <c r="C10" i="3"/>
  <c r="D35" i="1"/>
  <c r="D40" i="1"/>
  <c r="F79" i="2" s="1"/>
  <c r="D39" i="1"/>
  <c r="F78" i="2" s="1"/>
  <c r="G79" i="2" s="1"/>
  <c r="D38" i="1"/>
  <c r="D37" i="1"/>
  <c r="F76" i="2" s="1"/>
  <c r="D36" i="1"/>
  <c r="F75" i="2" s="1"/>
  <c r="G76" i="2" s="1"/>
  <c r="H8" i="9" l="1"/>
  <c r="C23" i="2"/>
  <c r="C22" i="2"/>
  <c r="F22" i="2" s="1"/>
  <c r="E11" i="3"/>
  <c r="D12" i="3"/>
  <c r="F40" i="1"/>
  <c r="F39" i="1"/>
  <c r="F38" i="1"/>
  <c r="F37" i="1"/>
  <c r="F36" i="1"/>
  <c r="F35" i="1"/>
  <c r="C13" i="2" l="1"/>
  <c r="C12" i="2"/>
  <c r="C8" i="2"/>
  <c r="J8" i="2" s="1"/>
  <c r="K8" i="2" s="1"/>
  <c r="C26" i="2"/>
  <c r="C11" i="2"/>
  <c r="C25" i="2"/>
  <c r="C21" i="2"/>
  <c r="F21" i="2" s="1"/>
  <c r="C10" i="2"/>
  <c r="C24" i="2"/>
  <c r="C20" i="2"/>
  <c r="F20" i="2" s="1"/>
  <c r="C9" i="2"/>
  <c r="E12" i="3"/>
  <c r="F11" i="3"/>
  <c r="F12" i="2" l="1"/>
  <c r="H12" i="2" s="1"/>
  <c r="J12" i="2"/>
  <c r="J10" i="2"/>
  <c r="K10" i="2" s="1"/>
  <c r="F10" i="2"/>
  <c r="H10" i="2" s="1"/>
  <c r="F9" i="2"/>
  <c r="H9" i="2" s="1"/>
  <c r="J9" i="2"/>
  <c r="K9" i="2" s="1"/>
  <c r="L9" i="2" s="1"/>
  <c r="J11" i="2"/>
  <c r="K11" i="2" s="1"/>
  <c r="L11" i="2" s="1"/>
  <c r="F11" i="2"/>
  <c r="H11" i="2" s="1"/>
  <c r="F12" i="3"/>
  <c r="G11" i="3"/>
  <c r="C29" i="14"/>
  <c r="D9" i="10"/>
  <c r="E9" i="10" s="1"/>
  <c r="F9" i="10" s="1"/>
  <c r="G9" i="10" s="1"/>
  <c r="H9" i="10" s="1"/>
  <c r="I9" i="10" s="1"/>
  <c r="J9" i="10" s="1"/>
  <c r="K9" i="10" s="1"/>
  <c r="L9" i="10" s="1"/>
  <c r="L21" i="10"/>
  <c r="K21" i="10"/>
  <c r="J21" i="10"/>
  <c r="I21" i="10"/>
  <c r="H21" i="10"/>
  <c r="G21" i="10"/>
  <c r="F21" i="10"/>
  <c r="E21" i="10"/>
  <c r="D21" i="10"/>
  <c r="C21" i="10"/>
  <c r="L19" i="10"/>
  <c r="K19" i="10"/>
  <c r="J19" i="10"/>
  <c r="I19" i="10"/>
  <c r="H19" i="10"/>
  <c r="G19" i="10"/>
  <c r="F19" i="10"/>
  <c r="E19" i="10"/>
  <c r="D19" i="10"/>
  <c r="C19" i="10"/>
  <c r="G12" i="3" l="1"/>
  <c r="H11" i="3"/>
  <c r="L21" i="7"/>
  <c r="K21" i="7"/>
  <c r="J21" i="7"/>
  <c r="I21" i="7"/>
  <c r="H21" i="7"/>
  <c r="G21" i="7"/>
  <c r="F21" i="7"/>
  <c r="E21" i="7"/>
  <c r="D21" i="7"/>
  <c r="C21" i="7"/>
  <c r="L19" i="7"/>
  <c r="K19" i="7"/>
  <c r="J19" i="7"/>
  <c r="I19" i="7"/>
  <c r="H19" i="7"/>
  <c r="G19" i="7"/>
  <c r="F19" i="7"/>
  <c r="E19" i="7"/>
  <c r="D19" i="7"/>
  <c r="C19" i="7"/>
  <c r="C10" i="7"/>
  <c r="D10" i="7" s="1"/>
  <c r="E10" i="7" s="1"/>
  <c r="F10" i="7" s="1"/>
  <c r="G10" i="7" s="1"/>
  <c r="H10" i="7" s="1"/>
  <c r="I10" i="7" s="1"/>
  <c r="J10" i="7" s="1"/>
  <c r="K10" i="7" s="1"/>
  <c r="L10" i="7" s="1"/>
  <c r="D8" i="3"/>
  <c r="E8" i="3" s="1"/>
  <c r="F8" i="3" s="1"/>
  <c r="G8" i="3" s="1"/>
  <c r="C6" i="14"/>
  <c r="O70" i="2"/>
  <c r="N70" i="2"/>
  <c r="M70" i="2"/>
  <c r="L70" i="2"/>
  <c r="K70" i="2"/>
  <c r="J70" i="2"/>
  <c r="I70" i="2"/>
  <c r="H70" i="2"/>
  <c r="G70" i="2"/>
  <c r="F70" i="2"/>
  <c r="I11" i="3" l="1"/>
  <c r="H12" i="3"/>
  <c r="H8" i="3"/>
  <c r="J11" i="3" l="1"/>
  <c r="I12" i="3"/>
  <c r="I8" i="3"/>
  <c r="K11" i="3" l="1"/>
  <c r="J12" i="3"/>
  <c r="J8" i="3"/>
  <c r="K12" i="3" l="1"/>
  <c r="L11" i="3"/>
  <c r="L12" i="3" s="1"/>
  <c r="K8" i="3"/>
  <c r="L8" i="3" l="1"/>
  <c r="D8" i="13" l="1"/>
  <c r="D7" i="13"/>
  <c r="H70" i="12"/>
  <c r="I70" i="12"/>
  <c r="J70" i="12"/>
  <c r="K70" i="12"/>
  <c r="L70" i="12"/>
  <c r="M70" i="12"/>
  <c r="N70" i="12"/>
  <c r="O70" i="12"/>
  <c r="F70" i="12"/>
  <c r="G88" i="12"/>
  <c r="F88" i="12"/>
  <c r="E36" i="12"/>
  <c r="K35" i="12"/>
  <c r="E35" i="12"/>
  <c r="K34" i="12"/>
  <c r="E34" i="12"/>
  <c r="K33" i="12"/>
  <c r="E33" i="12"/>
  <c r="K32" i="12"/>
  <c r="E32" i="12"/>
  <c r="D27" i="12"/>
  <c r="D13" i="12"/>
  <c r="F48" i="11"/>
  <c r="F47" i="11"/>
  <c r="F46" i="11"/>
  <c r="F45" i="11"/>
  <c r="F44" i="11"/>
  <c r="F43" i="11"/>
  <c r="F42" i="11"/>
  <c r="F35" i="11"/>
  <c r="D34" i="11"/>
  <c r="D33" i="11"/>
  <c r="F73" i="12" s="1"/>
  <c r="K37" i="12" l="1"/>
  <c r="F58" i="12" s="1"/>
  <c r="G58" i="12" s="1"/>
  <c r="H58" i="12" s="1"/>
  <c r="I58" i="12" s="1"/>
  <c r="J58" i="12" s="1"/>
  <c r="K58" i="12" s="1"/>
  <c r="L58" i="12" s="1"/>
  <c r="M58" i="12" s="1"/>
  <c r="N58" i="12" s="1"/>
  <c r="O58" i="12" s="1"/>
  <c r="E37" i="12"/>
  <c r="L45" i="12" s="1"/>
  <c r="O83" i="12"/>
  <c r="N83" i="12"/>
  <c r="M83" i="12"/>
  <c r="L83" i="12"/>
  <c r="K83" i="12"/>
  <c r="G73" i="12"/>
  <c r="H73" i="12" s="1"/>
  <c r="F34" i="11"/>
  <c r="F72" i="12"/>
  <c r="F25" i="12"/>
  <c r="C7" i="13"/>
  <c r="C9" i="13" s="1"/>
  <c r="C13" i="13" s="1"/>
  <c r="D9" i="13"/>
  <c r="F33" i="11"/>
  <c r="F8" i="12"/>
  <c r="F13" i="12" s="1"/>
  <c r="E8" i="13"/>
  <c r="D50" i="11"/>
  <c r="C66" i="9"/>
  <c r="D66" i="9" s="1"/>
  <c r="E66" i="9" s="1"/>
  <c r="F66" i="9" s="1"/>
  <c r="D65" i="9"/>
  <c r="D14" i="5"/>
  <c r="J8" i="7" s="1"/>
  <c r="J20" i="7" s="1"/>
  <c r="D33" i="1"/>
  <c r="D32" i="1"/>
  <c r="B65" i="6"/>
  <c r="C65" i="6" s="1"/>
  <c r="D65" i="6" s="1"/>
  <c r="E65" i="6" s="1"/>
  <c r="F65" i="6" s="1"/>
  <c r="F26" i="2"/>
  <c r="F50" i="11" l="1"/>
  <c r="G49" i="11" s="1"/>
  <c r="M45" i="12"/>
  <c r="R45" i="12"/>
  <c r="J45" i="12"/>
  <c r="E45" i="12"/>
  <c r="S45" i="12"/>
  <c r="K45" i="12"/>
  <c r="O45" i="12"/>
  <c r="I45" i="12"/>
  <c r="P45" i="12"/>
  <c r="N45" i="12"/>
  <c r="Q45" i="12"/>
  <c r="O82" i="12"/>
  <c r="L10" i="13" s="1"/>
  <c r="L12" i="13" s="1"/>
  <c r="N82" i="12"/>
  <c r="K10" i="13" s="1"/>
  <c r="K12" i="13" s="1"/>
  <c r="M82" i="12"/>
  <c r="J10" i="13" s="1"/>
  <c r="J12" i="13" s="1"/>
  <c r="L82" i="12"/>
  <c r="I10" i="13" s="1"/>
  <c r="I12" i="13" s="1"/>
  <c r="K82" i="12"/>
  <c r="H10" i="13" s="1"/>
  <c r="H12" i="13" s="1"/>
  <c r="J82" i="12"/>
  <c r="G72" i="12"/>
  <c r="H72" i="12" s="1"/>
  <c r="C19" i="2"/>
  <c r="F8" i="7"/>
  <c r="F20" i="7" s="1"/>
  <c r="F22" i="7" s="1"/>
  <c r="O48" i="6"/>
  <c r="C12" i="6"/>
  <c r="C9" i="6"/>
  <c r="C10" i="6"/>
  <c r="C8" i="6"/>
  <c r="J23" i="7"/>
  <c r="J22" i="7"/>
  <c r="F23" i="7"/>
  <c r="J8" i="12"/>
  <c r="F72" i="2"/>
  <c r="G72" i="2" s="1"/>
  <c r="H72" i="2" s="1"/>
  <c r="E46" i="12"/>
  <c r="F73" i="2"/>
  <c r="F53" i="12"/>
  <c r="F24" i="12"/>
  <c r="F23" i="12"/>
  <c r="I44" i="12" s="1"/>
  <c r="J44" i="12" s="1"/>
  <c r="K44" i="12" s="1"/>
  <c r="L44" i="12" s="1"/>
  <c r="M44" i="12" s="1"/>
  <c r="O44" i="12" s="1"/>
  <c r="P44" i="12" s="1"/>
  <c r="Q44" i="12" s="1"/>
  <c r="R44" i="12" s="1"/>
  <c r="S44" i="12" s="1"/>
  <c r="F8" i="13"/>
  <c r="H8" i="12"/>
  <c r="H13" i="12" s="1"/>
  <c r="E65" i="9"/>
  <c r="C65" i="9"/>
  <c r="F65" i="9"/>
  <c r="H48" i="6"/>
  <c r="L48" i="6"/>
  <c r="B64" i="6"/>
  <c r="E64" i="6" s="1"/>
  <c r="G8" i="7"/>
  <c r="G20" i="7" s="1"/>
  <c r="I48" i="6"/>
  <c r="D8" i="7"/>
  <c r="D20" i="7" s="1"/>
  <c r="H8" i="7"/>
  <c r="H20" i="7" s="1"/>
  <c r="L8" i="7"/>
  <c r="L20" i="7" s="1"/>
  <c r="J48" i="6"/>
  <c r="N48" i="6"/>
  <c r="K8" i="7"/>
  <c r="K20" i="7" s="1"/>
  <c r="M48" i="6"/>
  <c r="E8" i="7"/>
  <c r="E20" i="7" s="1"/>
  <c r="I8" i="7"/>
  <c r="I20" i="7" s="1"/>
  <c r="G48" i="6"/>
  <c r="K48" i="6"/>
  <c r="C8" i="7"/>
  <c r="C20" i="7" s="1"/>
  <c r="S46" i="12" l="1"/>
  <c r="O46" i="12"/>
  <c r="K46" i="12"/>
  <c r="D46" i="12"/>
  <c r="M46" i="12"/>
  <c r="P46" i="12"/>
  <c r="L46" i="12"/>
  <c r="H46" i="12"/>
  <c r="R46" i="12"/>
  <c r="N46" i="12"/>
  <c r="J46" i="12"/>
  <c r="Q46" i="12"/>
  <c r="I46" i="12"/>
  <c r="T45" i="12"/>
  <c r="D45" i="12"/>
  <c r="H45" i="12"/>
  <c r="G40" i="11"/>
  <c r="G48" i="11"/>
  <c r="K82" i="2"/>
  <c r="F74" i="2"/>
  <c r="K8" i="12"/>
  <c r="J13" i="12"/>
  <c r="F57" i="12"/>
  <c r="G57" i="12" s="1"/>
  <c r="H57" i="12" s="1"/>
  <c r="I57" i="12" s="1"/>
  <c r="J57" i="12" s="1"/>
  <c r="K57" i="12" s="1"/>
  <c r="L57" i="12" s="1"/>
  <c r="M57" i="12" s="1"/>
  <c r="N57" i="12" s="1"/>
  <c r="O57" i="12" s="1"/>
  <c r="G35" i="11"/>
  <c r="G43" i="11"/>
  <c r="G45" i="11"/>
  <c r="G37" i="11"/>
  <c r="G42" i="11"/>
  <c r="G44" i="11"/>
  <c r="G47" i="11"/>
  <c r="G34" i="11"/>
  <c r="G41" i="11"/>
  <c r="G46" i="11"/>
  <c r="G39" i="11"/>
  <c r="F54" i="12"/>
  <c r="G36" i="11"/>
  <c r="G38" i="11"/>
  <c r="G33" i="11"/>
  <c r="F9" i="6"/>
  <c r="H9" i="6" s="1"/>
  <c r="J9" i="6"/>
  <c r="K9" i="6" s="1"/>
  <c r="L9" i="6" s="1"/>
  <c r="J8" i="6"/>
  <c r="K8" i="6" s="1"/>
  <c r="L8" i="6" s="1"/>
  <c r="F8" i="6"/>
  <c r="H8" i="6" s="1"/>
  <c r="F10" i="6"/>
  <c r="H10" i="6" s="1"/>
  <c r="J10" i="6"/>
  <c r="K10" i="6" s="1"/>
  <c r="L10" i="6" s="1"/>
  <c r="E23" i="7"/>
  <c r="C15" i="14" s="1"/>
  <c r="E22" i="7"/>
  <c r="G23" i="7"/>
  <c r="G22" i="7"/>
  <c r="K23" i="7"/>
  <c r="K22" i="7"/>
  <c r="H23" i="7"/>
  <c r="H22" i="7"/>
  <c r="C22" i="7"/>
  <c r="C23" i="7"/>
  <c r="L23" i="7"/>
  <c r="L22" i="7"/>
  <c r="I23" i="7"/>
  <c r="I22" i="7"/>
  <c r="D23" i="7"/>
  <c r="D22" i="7"/>
  <c r="G81" i="2"/>
  <c r="G73" i="2"/>
  <c r="H73" i="2" s="1"/>
  <c r="F77" i="2"/>
  <c r="G78" i="2" s="1"/>
  <c r="H79" i="2" s="1"/>
  <c r="G82" i="12"/>
  <c r="H81" i="2"/>
  <c r="D64" i="6"/>
  <c r="F19" i="12"/>
  <c r="F77" i="12"/>
  <c r="G78" i="12" s="1"/>
  <c r="H79" i="12" s="1"/>
  <c r="F74" i="12"/>
  <c r="G75" i="12" s="1"/>
  <c r="H76" i="12" s="1"/>
  <c r="G8" i="13"/>
  <c r="H82" i="12"/>
  <c r="C64" i="6"/>
  <c r="F64" i="6"/>
  <c r="C10" i="10"/>
  <c r="I48" i="9"/>
  <c r="F53" i="9"/>
  <c r="G53" i="9" s="1"/>
  <c r="H53" i="9" s="1"/>
  <c r="I53" i="9" s="1"/>
  <c r="J53" i="9" s="1"/>
  <c r="K53" i="9" s="1"/>
  <c r="L53" i="9" s="1"/>
  <c r="M53" i="9" s="1"/>
  <c r="N53" i="9" s="1"/>
  <c r="O53" i="9" s="1"/>
  <c r="K31" i="9"/>
  <c r="K30" i="9"/>
  <c r="K29" i="9"/>
  <c r="K28" i="9"/>
  <c r="E32" i="9"/>
  <c r="E31" i="9"/>
  <c r="E30" i="9"/>
  <c r="E29" i="9"/>
  <c r="E28" i="9"/>
  <c r="F19" i="9"/>
  <c r="J7" i="9"/>
  <c r="J12" i="9" s="1"/>
  <c r="T46" i="12" l="1"/>
  <c r="G50" i="11"/>
  <c r="E33" i="9"/>
  <c r="E40" i="9" s="1"/>
  <c r="K33" i="9"/>
  <c r="E41" i="9" s="1"/>
  <c r="F27" i="12"/>
  <c r="E44" i="12" s="1"/>
  <c r="H44" i="12"/>
  <c r="N44" i="12" s="1"/>
  <c r="K13" i="12"/>
  <c r="L8" i="12"/>
  <c r="L13" i="12" s="1"/>
  <c r="E43" i="12" s="1"/>
  <c r="H80" i="12"/>
  <c r="I72" i="12" s="1"/>
  <c r="I82" i="12" s="1"/>
  <c r="H81" i="12"/>
  <c r="I73" i="12" s="1"/>
  <c r="G74" i="2"/>
  <c r="H75" i="2" s="1"/>
  <c r="G75" i="2"/>
  <c r="G82" i="2"/>
  <c r="D10" i="3" s="1"/>
  <c r="I73" i="2"/>
  <c r="G77" i="2"/>
  <c r="C12" i="10"/>
  <c r="C20" i="10"/>
  <c r="C23" i="10" s="1"/>
  <c r="D10" i="10"/>
  <c r="G53" i="12"/>
  <c r="H88" i="12"/>
  <c r="F89" i="12"/>
  <c r="F90" i="12" s="1"/>
  <c r="H8" i="13"/>
  <c r="E20" i="10"/>
  <c r="E23" i="10" s="1"/>
  <c r="F20" i="10"/>
  <c r="F23" i="10" s="1"/>
  <c r="I20" i="10"/>
  <c r="I23" i="10" s="1"/>
  <c r="J20" i="10"/>
  <c r="J23" i="10" s="1"/>
  <c r="G48" i="9"/>
  <c r="F20" i="9"/>
  <c r="H48" i="9"/>
  <c r="G20" i="10"/>
  <c r="K20" i="10"/>
  <c r="J48" i="9"/>
  <c r="D20" i="10"/>
  <c r="D23" i="10" s="1"/>
  <c r="H20" i="10"/>
  <c r="H23" i="10" s="1"/>
  <c r="L20" i="10"/>
  <c r="L23" i="10" s="1"/>
  <c r="F17" i="9"/>
  <c r="F18" i="9"/>
  <c r="K7" i="9"/>
  <c r="K12" i="9" s="1"/>
  <c r="F7" i="9"/>
  <c r="F12" i="9" s="1"/>
  <c r="C9" i="7"/>
  <c r="D9" i="7" s="1"/>
  <c r="E9" i="7" s="1"/>
  <c r="F9" i="7" s="1"/>
  <c r="G9" i="7" s="1"/>
  <c r="H9" i="7" s="1"/>
  <c r="I9" i="7" s="1"/>
  <c r="J9" i="7" s="1"/>
  <c r="K9" i="7" s="1"/>
  <c r="L9" i="7" s="1"/>
  <c r="C12" i="7"/>
  <c r="F48" i="6"/>
  <c r="C7" i="6"/>
  <c r="F7" i="6" s="1"/>
  <c r="F12" i="6" s="1"/>
  <c r="J33" i="6"/>
  <c r="K31" i="6"/>
  <c r="K30" i="6"/>
  <c r="K29" i="6"/>
  <c r="K28" i="6"/>
  <c r="D33" i="6"/>
  <c r="E32" i="6"/>
  <c r="E31" i="6"/>
  <c r="E30" i="6"/>
  <c r="E29" i="6"/>
  <c r="E28" i="6"/>
  <c r="C20" i="6"/>
  <c r="F20" i="6" s="1"/>
  <c r="C17" i="6"/>
  <c r="C19" i="6" s="1"/>
  <c r="F19" i="6" s="1"/>
  <c r="F21" i="6"/>
  <c r="F53" i="2"/>
  <c r="F23" i="8"/>
  <c r="F22" i="8"/>
  <c r="F21" i="8"/>
  <c r="F20" i="8"/>
  <c r="F19" i="8"/>
  <c r="D25" i="8"/>
  <c r="F17" i="8"/>
  <c r="F16" i="8"/>
  <c r="F18" i="5"/>
  <c r="F17" i="5"/>
  <c r="F21" i="5"/>
  <c r="F20" i="5"/>
  <c r="F19" i="5"/>
  <c r="F16" i="5"/>
  <c r="F15" i="5"/>
  <c r="D40" i="9" l="1"/>
  <c r="R40" i="9"/>
  <c r="N40" i="9"/>
  <c r="J40" i="9"/>
  <c r="T40" i="9"/>
  <c r="P40" i="9"/>
  <c r="L40" i="9"/>
  <c r="S40" i="9"/>
  <c r="O40" i="9"/>
  <c r="K40" i="9"/>
  <c r="Q40" i="9"/>
  <c r="M40" i="9"/>
  <c r="I40" i="9"/>
  <c r="D41" i="9"/>
  <c r="Q41" i="9"/>
  <c r="M41" i="9"/>
  <c r="I41" i="9"/>
  <c r="T41" i="9"/>
  <c r="P41" i="9"/>
  <c r="L41" i="9"/>
  <c r="S41" i="9"/>
  <c r="O41" i="9"/>
  <c r="K41" i="9"/>
  <c r="R41" i="9"/>
  <c r="N41" i="9"/>
  <c r="J41" i="9"/>
  <c r="D43" i="12"/>
  <c r="H43" i="12"/>
  <c r="H48" i="12" s="1"/>
  <c r="T43" i="12"/>
  <c r="D44" i="12"/>
  <c r="F56" i="12"/>
  <c r="F51" i="9"/>
  <c r="G51" i="9" s="1"/>
  <c r="H51" i="9" s="1"/>
  <c r="I51" i="9" s="1"/>
  <c r="J51" i="9" s="1"/>
  <c r="K51" i="9" s="1"/>
  <c r="L51" i="9" s="1"/>
  <c r="M51" i="9" s="1"/>
  <c r="N51" i="9" s="1"/>
  <c r="O51" i="9" s="1"/>
  <c r="F23" i="9"/>
  <c r="T44" i="12"/>
  <c r="F55" i="12"/>
  <c r="E48" i="12"/>
  <c r="F80" i="2"/>
  <c r="G53" i="2" s="1"/>
  <c r="K23" i="10"/>
  <c r="G23" i="10"/>
  <c r="C22" i="14" s="1"/>
  <c r="H76" i="2"/>
  <c r="I72" i="2" s="1"/>
  <c r="I81" i="2" s="1"/>
  <c r="H78" i="2"/>
  <c r="I79" i="2" s="1"/>
  <c r="J73" i="2" s="1"/>
  <c r="H82" i="2"/>
  <c r="E10" i="3" s="1"/>
  <c r="H74" i="2"/>
  <c r="H77" i="2"/>
  <c r="I76" i="2"/>
  <c r="N48" i="9"/>
  <c r="K48" i="9"/>
  <c r="O48" i="9" s="1"/>
  <c r="M48" i="9"/>
  <c r="L48" i="9"/>
  <c r="L22" i="10"/>
  <c r="K22" i="10"/>
  <c r="E22" i="10"/>
  <c r="F22" i="10"/>
  <c r="H22" i="10"/>
  <c r="G22" i="10"/>
  <c r="J22" i="10"/>
  <c r="C22" i="10"/>
  <c r="D22" i="10"/>
  <c r="I22" i="10"/>
  <c r="E33" i="6"/>
  <c r="E40" i="6" s="1"/>
  <c r="E7" i="13"/>
  <c r="I8" i="13"/>
  <c r="F52" i="9"/>
  <c r="G52" i="9" s="1"/>
  <c r="H52" i="9" s="1"/>
  <c r="I52" i="9" s="1"/>
  <c r="J52" i="9" s="1"/>
  <c r="K52" i="9" s="1"/>
  <c r="L52" i="9" s="1"/>
  <c r="M52" i="9" s="1"/>
  <c r="N52" i="9" s="1"/>
  <c r="O52" i="9" s="1"/>
  <c r="K33" i="6"/>
  <c r="D12" i="10"/>
  <c r="E10" i="10"/>
  <c r="H7" i="9"/>
  <c r="H12" i="9" s="1"/>
  <c r="L7" i="9"/>
  <c r="L12" i="9" s="1"/>
  <c r="E38" i="9" s="1"/>
  <c r="D12" i="7"/>
  <c r="F17" i="6"/>
  <c r="C18" i="6"/>
  <c r="F18" i="6" s="1"/>
  <c r="J7" i="6"/>
  <c r="H7" i="6"/>
  <c r="H12" i="6" s="1"/>
  <c r="F14" i="5"/>
  <c r="F18" i="8"/>
  <c r="F15" i="8"/>
  <c r="D24" i="5"/>
  <c r="C9" i="3"/>
  <c r="E36" i="2"/>
  <c r="K35" i="2"/>
  <c r="K34" i="2"/>
  <c r="K33" i="2"/>
  <c r="K32" i="2"/>
  <c r="E35" i="2"/>
  <c r="E34" i="2"/>
  <c r="E33" i="2"/>
  <c r="E32" i="2"/>
  <c r="U40" i="9" l="1"/>
  <c r="F25" i="8"/>
  <c r="G24" i="8" s="1"/>
  <c r="E41" i="6"/>
  <c r="Q40" i="6"/>
  <c r="L40" i="6"/>
  <c r="S40" i="6"/>
  <c r="T40" i="6"/>
  <c r="J40" i="6"/>
  <c r="R40" i="6"/>
  <c r="I40" i="6"/>
  <c r="P40" i="6"/>
  <c r="K40" i="6"/>
  <c r="M40" i="6"/>
  <c r="O40" i="6"/>
  <c r="F52" i="6"/>
  <c r="N40" i="6"/>
  <c r="F24" i="5"/>
  <c r="G16" i="5" s="1"/>
  <c r="U41" i="9"/>
  <c r="F83" i="2"/>
  <c r="F88" i="2" s="1"/>
  <c r="F87" i="2"/>
  <c r="T48" i="12"/>
  <c r="T49" i="12" s="1"/>
  <c r="D48" i="12"/>
  <c r="E39" i="9"/>
  <c r="F50" i="9" s="1"/>
  <c r="T38" i="9"/>
  <c r="P38" i="9"/>
  <c r="L38" i="9"/>
  <c r="N38" i="9"/>
  <c r="Q38" i="9"/>
  <c r="I38" i="9"/>
  <c r="S38" i="9"/>
  <c r="O38" i="9"/>
  <c r="K38" i="9"/>
  <c r="R38" i="9"/>
  <c r="J38" i="9"/>
  <c r="M38" i="9"/>
  <c r="K7" i="6"/>
  <c r="J12" i="6"/>
  <c r="F23" i="6"/>
  <c r="E39" i="6" s="1"/>
  <c r="F51" i="6" s="1"/>
  <c r="G51" i="6" s="1"/>
  <c r="H51" i="6" s="1"/>
  <c r="I51" i="6" s="1"/>
  <c r="J51" i="6" s="1"/>
  <c r="K51" i="6" s="1"/>
  <c r="L51" i="6" s="1"/>
  <c r="M51" i="6" s="1"/>
  <c r="N51" i="6" s="1"/>
  <c r="O51" i="6" s="1"/>
  <c r="K37" i="2"/>
  <c r="E46" i="2" s="1"/>
  <c r="F58" i="2" s="1"/>
  <c r="E37" i="2"/>
  <c r="E45" i="2" s="1"/>
  <c r="F57" i="2" s="1"/>
  <c r="C7" i="3"/>
  <c r="C13" i="3" s="1"/>
  <c r="F63" i="12"/>
  <c r="C15" i="13" s="1"/>
  <c r="G55" i="12"/>
  <c r="J72" i="2"/>
  <c r="J81" i="2" s="1"/>
  <c r="G80" i="2"/>
  <c r="G83" i="2" s="1"/>
  <c r="G88" i="2" s="1"/>
  <c r="H80" i="2"/>
  <c r="I75" i="2"/>
  <c r="J76" i="2" s="1"/>
  <c r="I78" i="2"/>
  <c r="J79" i="2" s="1"/>
  <c r="K73" i="2" s="1"/>
  <c r="I74" i="2"/>
  <c r="I82" i="2"/>
  <c r="F10" i="3" s="1"/>
  <c r="I77" i="2"/>
  <c r="D9" i="3"/>
  <c r="G56" i="12"/>
  <c r="H56" i="12" s="1"/>
  <c r="I56" i="12" s="1"/>
  <c r="J56" i="12" s="1"/>
  <c r="K56" i="12" s="1"/>
  <c r="L56" i="12" s="1"/>
  <c r="M56" i="12" s="1"/>
  <c r="N56" i="12" s="1"/>
  <c r="O56" i="12" s="1"/>
  <c r="J8" i="13"/>
  <c r="D38" i="9"/>
  <c r="E12" i="10"/>
  <c r="F10" i="10"/>
  <c r="E12" i="7"/>
  <c r="F34" i="1"/>
  <c r="F23" i="2"/>
  <c r="F24" i="2"/>
  <c r="F25" i="2"/>
  <c r="F19" i="2"/>
  <c r="F8" i="2"/>
  <c r="F47" i="1"/>
  <c r="F46" i="1"/>
  <c r="F45" i="1"/>
  <c r="F44" i="1"/>
  <c r="F43" i="1"/>
  <c r="F42" i="1"/>
  <c r="F41" i="1"/>
  <c r="F33" i="1"/>
  <c r="F32" i="1"/>
  <c r="F89" i="2" l="1"/>
  <c r="G23" i="8"/>
  <c r="F49" i="9"/>
  <c r="F58" i="9" s="1"/>
  <c r="I41" i="6"/>
  <c r="Q41" i="6"/>
  <c r="M41" i="6"/>
  <c r="S41" i="6"/>
  <c r="K41" i="6"/>
  <c r="F53" i="6"/>
  <c r="G53" i="6" s="1"/>
  <c r="H53" i="6" s="1"/>
  <c r="I53" i="6" s="1"/>
  <c r="J53" i="6" s="1"/>
  <c r="K53" i="6" s="1"/>
  <c r="L53" i="6" s="1"/>
  <c r="M53" i="6" s="1"/>
  <c r="N53" i="6" s="1"/>
  <c r="O53" i="6" s="1"/>
  <c r="N41" i="6"/>
  <c r="T41" i="6"/>
  <c r="P41" i="6"/>
  <c r="L41" i="6"/>
  <c r="O41" i="6"/>
  <c r="R41" i="6"/>
  <c r="J41" i="6"/>
  <c r="D41" i="6"/>
  <c r="G15" i="5"/>
  <c r="G18" i="5"/>
  <c r="G21" i="5"/>
  <c r="G17" i="5"/>
  <c r="G20" i="5"/>
  <c r="G22" i="5"/>
  <c r="G23" i="5"/>
  <c r="T39" i="6"/>
  <c r="P39" i="6"/>
  <c r="L39" i="6"/>
  <c r="R39" i="6"/>
  <c r="N39" i="6"/>
  <c r="J39" i="6"/>
  <c r="Q39" i="6"/>
  <c r="M39" i="6"/>
  <c r="I39" i="6"/>
  <c r="S39" i="6"/>
  <c r="O39" i="6"/>
  <c r="K39" i="6"/>
  <c r="G14" i="5"/>
  <c r="G19" i="5"/>
  <c r="F49" i="6"/>
  <c r="F49" i="1"/>
  <c r="G48" i="1" s="1"/>
  <c r="G50" i="9"/>
  <c r="R39" i="9"/>
  <c r="R43" i="9" s="1"/>
  <c r="N39" i="9"/>
  <c r="N43" i="9" s="1"/>
  <c r="I39" i="9"/>
  <c r="I43" i="9" s="1"/>
  <c r="T39" i="9"/>
  <c r="T43" i="9" s="1"/>
  <c r="P39" i="9"/>
  <c r="P43" i="9" s="1"/>
  <c r="L39" i="9"/>
  <c r="L43" i="9" s="1"/>
  <c r="S39" i="9"/>
  <c r="S43" i="9" s="1"/>
  <c r="O39" i="9"/>
  <c r="O43" i="9" s="1"/>
  <c r="K39" i="9"/>
  <c r="K43" i="9" s="1"/>
  <c r="Q39" i="9"/>
  <c r="Q43" i="9" s="1"/>
  <c r="M39" i="9"/>
  <c r="M43" i="9" s="1"/>
  <c r="J39" i="9"/>
  <c r="J43" i="9" s="1"/>
  <c r="D39" i="9"/>
  <c r="E43" i="9"/>
  <c r="D43" i="9" s="1"/>
  <c r="U38" i="9"/>
  <c r="H44" i="2"/>
  <c r="N44" i="2" s="1"/>
  <c r="D40" i="6"/>
  <c r="G52" i="6"/>
  <c r="H52" i="6" s="1"/>
  <c r="I52" i="6" s="1"/>
  <c r="J52" i="6" s="1"/>
  <c r="K52" i="6" s="1"/>
  <c r="L52" i="6" s="1"/>
  <c r="M52" i="6" s="1"/>
  <c r="N52" i="6" s="1"/>
  <c r="O52" i="6" s="1"/>
  <c r="L7" i="6"/>
  <c r="L12" i="6" s="1"/>
  <c r="E38" i="6" s="1"/>
  <c r="K12" i="6"/>
  <c r="H49" i="12"/>
  <c r="H55" i="12"/>
  <c r="G63" i="12"/>
  <c r="J13" i="2"/>
  <c r="H8" i="2"/>
  <c r="H13" i="2" s="1"/>
  <c r="F13" i="2"/>
  <c r="F27" i="2"/>
  <c r="E44" i="2" s="1"/>
  <c r="F56" i="2" s="1"/>
  <c r="L82" i="2"/>
  <c r="K72" i="2"/>
  <c r="D7" i="3"/>
  <c r="D13" i="3" s="1"/>
  <c r="H53" i="2"/>
  <c r="G87" i="2"/>
  <c r="G89" i="2" s="1"/>
  <c r="J78" i="2"/>
  <c r="K79" i="2" s="1"/>
  <c r="L73" i="2" s="1"/>
  <c r="I80" i="2"/>
  <c r="I83" i="2" s="1"/>
  <c r="I88" i="2" s="1"/>
  <c r="J75" i="2"/>
  <c r="K76" i="2" s="1"/>
  <c r="J74" i="2"/>
  <c r="J82" i="2"/>
  <c r="G10" i="3" s="1"/>
  <c r="J77" i="2"/>
  <c r="H83" i="2"/>
  <c r="H88" i="2" s="1"/>
  <c r="H87" i="2"/>
  <c r="I53" i="2"/>
  <c r="E7" i="3"/>
  <c r="F91" i="12"/>
  <c r="F94" i="12" s="1"/>
  <c r="F92" i="12"/>
  <c r="F95" i="12" s="1"/>
  <c r="F64" i="12"/>
  <c r="E9" i="3"/>
  <c r="K8" i="13"/>
  <c r="D39" i="6"/>
  <c r="I44" i="2"/>
  <c r="J44" i="2" s="1"/>
  <c r="K44" i="2" s="1"/>
  <c r="L44" i="2" s="1"/>
  <c r="M44" i="2" s="1"/>
  <c r="O44" i="2" s="1"/>
  <c r="P44" i="2" s="1"/>
  <c r="Q44" i="2" s="1"/>
  <c r="R44" i="2" s="1"/>
  <c r="S44" i="2" s="1"/>
  <c r="G15" i="8"/>
  <c r="F12" i="10"/>
  <c r="G10" i="10"/>
  <c r="G58" i="2"/>
  <c r="H58" i="2" s="1"/>
  <c r="I58" i="2" s="1"/>
  <c r="J58" i="2" s="1"/>
  <c r="K58" i="2" s="1"/>
  <c r="L58" i="2" s="1"/>
  <c r="M58" i="2" s="1"/>
  <c r="N58" i="2" s="1"/>
  <c r="O58" i="2" s="1"/>
  <c r="F12" i="7"/>
  <c r="G22" i="8"/>
  <c r="G20" i="8"/>
  <c r="G17" i="8"/>
  <c r="G16" i="8"/>
  <c r="G21" i="8"/>
  <c r="G19" i="8"/>
  <c r="G18" i="8"/>
  <c r="D49" i="1"/>
  <c r="U41" i="6" l="1"/>
  <c r="G24" i="5"/>
  <c r="U39" i="6"/>
  <c r="G25" i="8"/>
  <c r="H50" i="9"/>
  <c r="G58" i="9"/>
  <c r="U39" i="9"/>
  <c r="U43" i="9" s="1"/>
  <c r="T44" i="2"/>
  <c r="U40" i="6"/>
  <c r="S38" i="6"/>
  <c r="S43" i="6" s="1"/>
  <c r="K38" i="6"/>
  <c r="K43" i="6" s="1"/>
  <c r="R38" i="6"/>
  <c r="R43" i="6" s="1"/>
  <c r="N38" i="6"/>
  <c r="N43" i="6" s="1"/>
  <c r="J38" i="6"/>
  <c r="J43" i="6" s="1"/>
  <c r="Q38" i="6"/>
  <c r="Q43" i="6" s="1"/>
  <c r="M38" i="6"/>
  <c r="M43" i="6" s="1"/>
  <c r="I38" i="6"/>
  <c r="I43" i="6" s="1"/>
  <c r="T38" i="6"/>
  <c r="T43" i="6" s="1"/>
  <c r="P38" i="6"/>
  <c r="P43" i="6" s="1"/>
  <c r="L38" i="6"/>
  <c r="L43" i="6" s="1"/>
  <c r="O38" i="6"/>
  <c r="O43" i="6" s="1"/>
  <c r="E43" i="6"/>
  <c r="D43" i="6" s="1"/>
  <c r="D38" i="6"/>
  <c r="F50" i="6"/>
  <c r="S46" i="2"/>
  <c r="O46" i="2"/>
  <c r="K46" i="2"/>
  <c r="R46" i="2"/>
  <c r="N46" i="2"/>
  <c r="J46" i="2"/>
  <c r="Q46" i="2"/>
  <c r="M46" i="2"/>
  <c r="I46" i="2"/>
  <c r="P46" i="2"/>
  <c r="L46" i="2"/>
  <c r="H46" i="2"/>
  <c r="R45" i="2"/>
  <c r="N45" i="2"/>
  <c r="J45" i="2"/>
  <c r="P45" i="2"/>
  <c r="H45" i="2"/>
  <c r="O45" i="2"/>
  <c r="Q45" i="2"/>
  <c r="M45" i="2"/>
  <c r="I45" i="2"/>
  <c r="L45" i="2"/>
  <c r="S45" i="2"/>
  <c r="K45" i="2"/>
  <c r="I55" i="12"/>
  <c r="H63" i="12"/>
  <c r="E15" i="13" s="1"/>
  <c r="L8" i="2"/>
  <c r="K13" i="2"/>
  <c r="G38" i="1"/>
  <c r="G47" i="1"/>
  <c r="G37" i="1"/>
  <c r="G40" i="1"/>
  <c r="G36" i="1"/>
  <c r="G39" i="1"/>
  <c r="G35" i="1"/>
  <c r="G64" i="12"/>
  <c r="D15" i="13"/>
  <c r="E13" i="3"/>
  <c r="M82" i="2"/>
  <c r="K81" i="2"/>
  <c r="H10" i="3" s="1"/>
  <c r="K78" i="2"/>
  <c r="L79" i="2" s="1"/>
  <c r="M73" i="2" s="1"/>
  <c r="J80" i="2"/>
  <c r="G7" i="3" s="1"/>
  <c r="K75" i="2"/>
  <c r="L76" i="2" s="1"/>
  <c r="I87" i="2"/>
  <c r="I89" i="2" s="1"/>
  <c r="F7" i="3"/>
  <c r="J53" i="2"/>
  <c r="H89" i="2"/>
  <c r="C7" i="14" s="1"/>
  <c r="C14" i="10"/>
  <c r="C15" i="10" s="1"/>
  <c r="C27" i="10" s="1"/>
  <c r="C24" i="10"/>
  <c r="C26" i="10" s="1"/>
  <c r="K74" i="2"/>
  <c r="L75" i="2" s="1"/>
  <c r="K77" i="2"/>
  <c r="G57" i="2"/>
  <c r="H57" i="2" s="1"/>
  <c r="I57" i="2" s="1"/>
  <c r="J57" i="2" s="1"/>
  <c r="K57" i="2" s="1"/>
  <c r="L57" i="2" s="1"/>
  <c r="M57" i="2" s="1"/>
  <c r="N57" i="2" s="1"/>
  <c r="O57" i="2" s="1"/>
  <c r="D45" i="2"/>
  <c r="F9" i="3"/>
  <c r="L8" i="13"/>
  <c r="F59" i="9"/>
  <c r="D46" i="2"/>
  <c r="H10" i="10"/>
  <c r="G12" i="10"/>
  <c r="G12" i="7"/>
  <c r="F54" i="2"/>
  <c r="G33" i="1"/>
  <c r="G46" i="1"/>
  <c r="G32" i="1"/>
  <c r="G45" i="1"/>
  <c r="G41" i="1"/>
  <c r="G44" i="1"/>
  <c r="G34" i="1"/>
  <c r="G43" i="1"/>
  <c r="G42" i="1"/>
  <c r="D44" i="2"/>
  <c r="G56" i="2"/>
  <c r="H56" i="2" s="1"/>
  <c r="I56" i="2" s="1"/>
  <c r="J56" i="2" s="1"/>
  <c r="K56" i="2" s="1"/>
  <c r="L56" i="2" s="1"/>
  <c r="M56" i="2" s="1"/>
  <c r="N56" i="2" s="1"/>
  <c r="O56" i="2" s="1"/>
  <c r="U44" i="9" l="1"/>
  <c r="O44" i="9"/>
  <c r="P44" i="9"/>
  <c r="N44" i="9"/>
  <c r="I44" i="9"/>
  <c r="K44" i="9"/>
  <c r="R44" i="9"/>
  <c r="S44" i="9"/>
  <c r="J44" i="9"/>
  <c r="Q44" i="9"/>
  <c r="I50" i="9"/>
  <c r="H58" i="9"/>
  <c r="L44" i="9"/>
  <c r="T44" i="9"/>
  <c r="M44" i="9"/>
  <c r="G49" i="1"/>
  <c r="U38" i="6"/>
  <c r="G50" i="6"/>
  <c r="F58" i="6"/>
  <c r="T46" i="2"/>
  <c r="T45" i="2"/>
  <c r="J55" i="12"/>
  <c r="I63" i="12"/>
  <c r="F15" i="13" s="1"/>
  <c r="L13" i="2"/>
  <c r="E43" i="2" s="1"/>
  <c r="F13" i="3"/>
  <c r="C16" i="10"/>
  <c r="N82" i="2"/>
  <c r="L78" i="2"/>
  <c r="M79" i="2" s="1"/>
  <c r="N73" i="2" s="1"/>
  <c r="L72" i="2"/>
  <c r="L81" i="2" s="1"/>
  <c r="K80" i="2"/>
  <c r="H7" i="3" s="1"/>
  <c r="L77" i="2"/>
  <c r="L74" i="2"/>
  <c r="J83" i="2"/>
  <c r="J88" i="2" s="1"/>
  <c r="J87" i="2"/>
  <c r="M76" i="2"/>
  <c r="C28" i="10"/>
  <c r="C25" i="14" s="1"/>
  <c r="K53" i="2"/>
  <c r="G9" i="3"/>
  <c r="G13" i="3" s="1"/>
  <c r="H12" i="10"/>
  <c r="I10" i="10"/>
  <c r="H12" i="7"/>
  <c r="U43" i="6" l="1"/>
  <c r="U44" i="6" s="1"/>
  <c r="J50" i="9"/>
  <c r="I58" i="9"/>
  <c r="Q43" i="2"/>
  <c r="M43" i="2"/>
  <c r="I43" i="2"/>
  <c r="S43" i="2"/>
  <c r="O43" i="2"/>
  <c r="K43" i="2"/>
  <c r="R43" i="2"/>
  <c r="N43" i="2"/>
  <c r="J43" i="2"/>
  <c r="P43" i="2"/>
  <c r="L43" i="2"/>
  <c r="F55" i="2"/>
  <c r="H43" i="2"/>
  <c r="H48" i="2" s="1"/>
  <c r="C24" i="7"/>
  <c r="C26" i="7" s="1"/>
  <c r="C14" i="7"/>
  <c r="C15" i="7" s="1"/>
  <c r="C27" i="7" s="1"/>
  <c r="C28" i="7" s="1"/>
  <c r="C18" i="14" s="1"/>
  <c r="F59" i="6"/>
  <c r="H50" i="6"/>
  <c r="G58" i="6"/>
  <c r="K55" i="12"/>
  <c r="J63" i="12"/>
  <c r="G15" i="13" s="1"/>
  <c r="E48" i="2"/>
  <c r="D43" i="2"/>
  <c r="O82" i="2"/>
  <c r="M78" i="2"/>
  <c r="N79" i="2" s="1"/>
  <c r="O73" i="2" s="1"/>
  <c r="M75" i="2"/>
  <c r="N76" i="2" s="1"/>
  <c r="L80" i="2"/>
  <c r="L83" i="2" s="1"/>
  <c r="I10" i="3"/>
  <c r="M72" i="2"/>
  <c r="M74" i="2"/>
  <c r="M77" i="2"/>
  <c r="K83" i="2"/>
  <c r="K87" i="2"/>
  <c r="J89" i="2"/>
  <c r="C16" i="13"/>
  <c r="C17" i="13" s="1"/>
  <c r="H9" i="3"/>
  <c r="H13" i="3" s="1"/>
  <c r="J10" i="10"/>
  <c r="I12" i="10"/>
  <c r="I12" i="7"/>
  <c r="P44" i="6" l="1"/>
  <c r="J44" i="6"/>
  <c r="L44" i="6"/>
  <c r="Q44" i="6"/>
  <c r="R44" i="6"/>
  <c r="N44" i="6"/>
  <c r="I44" i="6"/>
  <c r="O44" i="6"/>
  <c r="T44" i="6"/>
  <c r="C17" i="14"/>
  <c r="M44" i="6"/>
  <c r="S44" i="6"/>
  <c r="K50" i="9"/>
  <c r="J58" i="9"/>
  <c r="T43" i="2"/>
  <c r="T48" i="2" s="1"/>
  <c r="C16" i="7"/>
  <c r="I50" i="6"/>
  <c r="H58" i="6"/>
  <c r="D24" i="7"/>
  <c r="D26" i="7" s="1"/>
  <c r="G59" i="6"/>
  <c r="D14" i="7"/>
  <c r="D15" i="7" s="1"/>
  <c r="L55" i="12"/>
  <c r="K63" i="12"/>
  <c r="H15" i="13" s="1"/>
  <c r="G55" i="2"/>
  <c r="F63" i="2"/>
  <c r="F91" i="2" s="1"/>
  <c r="D48" i="2"/>
  <c r="I7" i="3"/>
  <c r="N78" i="2"/>
  <c r="O79" i="2" s="1"/>
  <c r="M80" i="2"/>
  <c r="N75" i="2"/>
  <c r="O76" i="2" s="1"/>
  <c r="M81" i="2"/>
  <c r="J10" i="3" s="1"/>
  <c r="L88" i="2"/>
  <c r="L87" i="2"/>
  <c r="N77" i="2"/>
  <c r="O78" i="2" s="1"/>
  <c r="N74" i="2"/>
  <c r="O75" i="2" s="1"/>
  <c r="L53" i="2"/>
  <c r="K88" i="2"/>
  <c r="M53" i="2"/>
  <c r="C18" i="13"/>
  <c r="C19" i="13" s="1"/>
  <c r="I9" i="3"/>
  <c r="J12" i="10"/>
  <c r="K10" i="10"/>
  <c r="J12" i="7"/>
  <c r="L50" i="9" l="1"/>
  <c r="K58" i="9"/>
  <c r="E24" i="7"/>
  <c r="H59" i="6"/>
  <c r="E14" i="7"/>
  <c r="E15" i="7" s="1"/>
  <c r="D27" i="7"/>
  <c r="D28" i="7" s="1"/>
  <c r="D16" i="7"/>
  <c r="J50" i="6"/>
  <c r="I58" i="6"/>
  <c r="M55" i="12"/>
  <c r="L63" i="12"/>
  <c r="I15" i="13" s="1"/>
  <c r="F64" i="2"/>
  <c r="F94" i="2"/>
  <c r="F90" i="2"/>
  <c r="F93" i="2" s="1"/>
  <c r="C15" i="3"/>
  <c r="C16" i="3" s="1"/>
  <c r="H55" i="2"/>
  <c r="G63" i="2"/>
  <c r="T49" i="2"/>
  <c r="H49" i="2"/>
  <c r="I13" i="3"/>
  <c r="N80" i="2"/>
  <c r="N72" i="2"/>
  <c r="L89" i="2"/>
  <c r="M83" i="2"/>
  <c r="M88" i="2" s="1"/>
  <c r="M87" i="2"/>
  <c r="J7" i="3"/>
  <c r="O77" i="2"/>
  <c r="O74" i="2"/>
  <c r="C20" i="13"/>
  <c r="C34" i="14" s="1"/>
  <c r="C33" i="14"/>
  <c r="K89" i="2"/>
  <c r="N53" i="2"/>
  <c r="J9" i="3"/>
  <c r="L10" i="10"/>
  <c r="L12" i="10" s="1"/>
  <c r="K12" i="10"/>
  <c r="L12" i="7"/>
  <c r="K12" i="7"/>
  <c r="M50" i="9" l="1"/>
  <c r="L58" i="9"/>
  <c r="K50" i="6"/>
  <c r="J58" i="6"/>
  <c r="C16" i="14"/>
  <c r="E26" i="7"/>
  <c r="F24" i="7"/>
  <c r="F26" i="7" s="1"/>
  <c r="F14" i="7"/>
  <c r="F15" i="7" s="1"/>
  <c r="I59" i="6"/>
  <c r="E27" i="7"/>
  <c r="E28" i="7" s="1"/>
  <c r="E16" i="7"/>
  <c r="N55" i="12"/>
  <c r="M63" i="12"/>
  <c r="J15" i="13" s="1"/>
  <c r="I55" i="2"/>
  <c r="H63" i="2"/>
  <c r="C19" i="3"/>
  <c r="C17" i="3"/>
  <c r="C18" i="3"/>
  <c r="G90" i="2"/>
  <c r="G93" i="2" s="1"/>
  <c r="D15" i="3"/>
  <c r="D16" i="3" s="1"/>
  <c r="G64" i="2"/>
  <c r="G91" i="2"/>
  <c r="G94" i="2" s="1"/>
  <c r="O80" i="2"/>
  <c r="N81" i="2"/>
  <c r="K10" i="3" s="1"/>
  <c r="J13" i="3"/>
  <c r="M89" i="2"/>
  <c r="N87" i="2"/>
  <c r="K7" i="3"/>
  <c r="K9" i="3"/>
  <c r="L9" i="3"/>
  <c r="N50" i="9" l="1"/>
  <c r="M58" i="9"/>
  <c r="F27" i="7"/>
  <c r="F28" i="7" s="1"/>
  <c r="F16" i="7"/>
  <c r="G24" i="7"/>
  <c r="G26" i="7" s="1"/>
  <c r="J59" i="6"/>
  <c r="G14" i="7"/>
  <c r="G15" i="7" s="1"/>
  <c r="L50" i="6"/>
  <c r="K58" i="6"/>
  <c r="O53" i="2"/>
  <c r="O55" i="12"/>
  <c r="O63" i="12" s="1"/>
  <c r="L15" i="13" s="1"/>
  <c r="N63" i="12"/>
  <c r="K15" i="13" s="1"/>
  <c r="D18" i="3"/>
  <c r="J55" i="2"/>
  <c r="I63" i="2"/>
  <c r="D17" i="3"/>
  <c r="D19" i="3"/>
  <c r="D20" i="3" s="1"/>
  <c r="C20" i="3"/>
  <c r="C10" i="14"/>
  <c r="H91" i="2"/>
  <c r="H64" i="2"/>
  <c r="H90" i="2"/>
  <c r="E15" i="3"/>
  <c r="E16" i="3" s="1"/>
  <c r="N83" i="2"/>
  <c r="N88" i="2" s="1"/>
  <c r="O72" i="2"/>
  <c r="O81" i="2" s="1"/>
  <c r="L10" i="3" s="1"/>
  <c r="K13" i="3"/>
  <c r="O87" i="2"/>
  <c r="L7" i="3"/>
  <c r="O50" i="9" l="1"/>
  <c r="O58" i="9" s="1"/>
  <c r="N58" i="9"/>
  <c r="H24" i="7"/>
  <c r="H26" i="7" s="1"/>
  <c r="H14" i="7"/>
  <c r="H15" i="7" s="1"/>
  <c r="K59" i="6"/>
  <c r="M50" i="6"/>
  <c r="L58" i="6"/>
  <c r="G27" i="7"/>
  <c r="G28" i="7" s="1"/>
  <c r="G16" i="7"/>
  <c r="H94" i="2"/>
  <c r="C9" i="14"/>
  <c r="I91" i="2"/>
  <c r="I94" i="2" s="1"/>
  <c r="I64" i="2"/>
  <c r="F15" i="3"/>
  <c r="F16" i="3" s="1"/>
  <c r="I90" i="2"/>
  <c r="I93" i="2" s="1"/>
  <c r="E19" i="3"/>
  <c r="E20" i="3" s="1"/>
  <c r="E17" i="3"/>
  <c r="C8" i="14"/>
  <c r="H93" i="2"/>
  <c r="K55" i="2"/>
  <c r="J63" i="2"/>
  <c r="E18" i="3"/>
  <c r="O83" i="2"/>
  <c r="O88" i="2" s="1"/>
  <c r="O89" i="2" s="1"/>
  <c r="L13" i="3"/>
  <c r="N89" i="2"/>
  <c r="N50" i="6" l="1"/>
  <c r="M58" i="6"/>
  <c r="H27" i="7"/>
  <c r="H28" i="7" s="1"/>
  <c r="H16" i="7"/>
  <c r="I24" i="7"/>
  <c r="I26" i="7" s="1"/>
  <c r="I14" i="7"/>
  <c r="I15" i="7" s="1"/>
  <c r="L59" i="6"/>
  <c r="F18" i="3"/>
  <c r="F17" i="3"/>
  <c r="F19" i="3"/>
  <c r="F20" i="3" s="1"/>
  <c r="C11" i="14" s="1"/>
  <c r="J90" i="2"/>
  <c r="J93" i="2" s="1"/>
  <c r="J64" i="2"/>
  <c r="G15" i="3"/>
  <c r="G16" i="3" s="1"/>
  <c r="J91" i="2"/>
  <c r="J94" i="2" s="1"/>
  <c r="L55" i="2"/>
  <c r="K63" i="2"/>
  <c r="I27" i="7" l="1"/>
  <c r="I28" i="7" s="1"/>
  <c r="I16" i="7"/>
  <c r="J24" i="7"/>
  <c r="J26" i="7" s="1"/>
  <c r="J14" i="7"/>
  <c r="J15" i="7" s="1"/>
  <c r="M59" i="6"/>
  <c r="O50" i="6"/>
  <c r="O58" i="6" s="1"/>
  <c r="N58" i="6"/>
  <c r="G18" i="3"/>
  <c r="G17" i="3"/>
  <c r="G19" i="3"/>
  <c r="G20" i="3" s="1"/>
  <c r="K90" i="2"/>
  <c r="K93" i="2" s="1"/>
  <c r="H15" i="3"/>
  <c r="H16" i="3" s="1"/>
  <c r="K91" i="2"/>
  <c r="K94" i="2" s="1"/>
  <c r="K64" i="2"/>
  <c r="M55" i="2"/>
  <c r="L63" i="2"/>
  <c r="H18" i="3" l="1"/>
  <c r="J27" i="7"/>
  <c r="J28" i="7" s="1"/>
  <c r="J16" i="7"/>
  <c r="K24" i="7"/>
  <c r="K26" i="7" s="1"/>
  <c r="N59" i="6"/>
  <c r="K14" i="7"/>
  <c r="K15" i="7" s="1"/>
  <c r="L24" i="7"/>
  <c r="L26" i="7" s="1"/>
  <c r="L14" i="7"/>
  <c r="L15" i="7" s="1"/>
  <c r="O59" i="6"/>
  <c r="L91" i="2"/>
  <c r="L94" i="2" s="1"/>
  <c r="L64" i="2"/>
  <c r="L90" i="2"/>
  <c r="L93" i="2" s="1"/>
  <c r="I15" i="3"/>
  <c r="I16" i="3" s="1"/>
  <c r="I18" i="3" s="1"/>
  <c r="H19" i="3"/>
  <c r="H20" i="3" s="1"/>
  <c r="H17" i="3"/>
  <c r="N55" i="2"/>
  <c r="M63" i="2"/>
  <c r="G77" i="12"/>
  <c r="H78" i="12" s="1"/>
  <c r="G92" i="12"/>
  <c r="G95" i="12" s="1"/>
  <c r="G74" i="12"/>
  <c r="G83" i="12"/>
  <c r="L27" i="7" l="1"/>
  <c r="L28" i="7" s="1"/>
  <c r="L16" i="7"/>
  <c r="K27" i="7"/>
  <c r="K28" i="7" s="1"/>
  <c r="K16" i="7"/>
  <c r="J15" i="3"/>
  <c r="J16" i="3" s="1"/>
  <c r="M91" i="2"/>
  <c r="M94" i="2" s="1"/>
  <c r="M90" i="2"/>
  <c r="M93" i="2" s="1"/>
  <c r="M64" i="2"/>
  <c r="I17" i="3"/>
  <c r="I19" i="3"/>
  <c r="I20" i="3" s="1"/>
  <c r="O55" i="2"/>
  <c r="O63" i="2" s="1"/>
  <c r="N63" i="2"/>
  <c r="G84" i="12"/>
  <c r="D10" i="13"/>
  <c r="D12" i="13" s="1"/>
  <c r="D13" i="13" s="1"/>
  <c r="D16" i="13" s="1"/>
  <c r="I79" i="12"/>
  <c r="H53" i="12"/>
  <c r="H64" i="12" s="1"/>
  <c r="H75" i="12"/>
  <c r="I76" i="12" s="1"/>
  <c r="H92" i="12"/>
  <c r="H74" i="12"/>
  <c r="I75" i="12" s="1"/>
  <c r="J76" i="12" s="1"/>
  <c r="J80" i="12" s="1"/>
  <c r="H83" i="12"/>
  <c r="E10" i="13" s="1"/>
  <c r="E12" i="13" s="1"/>
  <c r="G89" i="12"/>
  <c r="N90" i="2" l="1"/>
  <c r="N93" i="2" s="1"/>
  <c r="N64" i="2"/>
  <c r="N91" i="2"/>
  <c r="N94" i="2" s="1"/>
  <c r="K15" i="3"/>
  <c r="K16" i="3" s="1"/>
  <c r="O91" i="2"/>
  <c r="O94" i="2" s="1"/>
  <c r="L15" i="3"/>
  <c r="L16" i="3" s="1"/>
  <c r="O90" i="2"/>
  <c r="O93" i="2" s="1"/>
  <c r="O64" i="2"/>
  <c r="J17" i="3"/>
  <c r="J19" i="3"/>
  <c r="J20" i="3" s="1"/>
  <c r="J18" i="3"/>
  <c r="I80" i="12"/>
  <c r="J72" i="12" s="1"/>
  <c r="K72" i="12" s="1"/>
  <c r="I81" i="12"/>
  <c r="J73" i="12" s="1"/>
  <c r="H95" i="12"/>
  <c r="C32" i="14"/>
  <c r="D18" i="13"/>
  <c r="D19" i="13" s="1"/>
  <c r="D20" i="13" s="1"/>
  <c r="D17" i="13"/>
  <c r="H84" i="12"/>
  <c r="G91" i="12"/>
  <c r="G94" i="12" s="1"/>
  <c r="G90" i="12"/>
  <c r="E9" i="13"/>
  <c r="E13" i="13" s="1"/>
  <c r="H77" i="12"/>
  <c r="I78" i="12" s="1"/>
  <c r="J79" i="12" s="1"/>
  <c r="J81" i="12" s="1"/>
  <c r="H89" i="12"/>
  <c r="I88" i="12"/>
  <c r="K18" i="3" l="1"/>
  <c r="L18" i="3" s="1"/>
  <c r="F7" i="13"/>
  <c r="K17" i="3"/>
  <c r="K19" i="3"/>
  <c r="K20" i="3" s="1"/>
  <c r="L19" i="3"/>
  <c r="L20" i="3" s="1"/>
  <c r="L17" i="3"/>
  <c r="K73" i="12"/>
  <c r="J83" i="12"/>
  <c r="G10" i="13" s="1"/>
  <c r="G12" i="13" s="1"/>
  <c r="J88" i="12"/>
  <c r="G7" i="13"/>
  <c r="H91" i="12"/>
  <c r="H90" i="12"/>
  <c r="C30" i="14" s="1"/>
  <c r="E16" i="13"/>
  <c r="E18" i="13" s="1"/>
  <c r="E19" i="13" s="1"/>
  <c r="E20" i="13" s="1"/>
  <c r="I53" i="12"/>
  <c r="I64" i="12" s="1"/>
  <c r="I77" i="12"/>
  <c r="J78" i="12" s="1"/>
  <c r="K79" i="12" s="1"/>
  <c r="K81" i="12" s="1"/>
  <c r="I92" i="12"/>
  <c r="I95" i="12" s="1"/>
  <c r="I74" i="12"/>
  <c r="J75" i="12" s="1"/>
  <c r="K76" i="12" s="1"/>
  <c r="I83" i="12"/>
  <c r="F10" i="13" s="1"/>
  <c r="F12" i="13" s="1"/>
  <c r="K80" i="12" l="1"/>
  <c r="L72" i="12" s="1"/>
  <c r="L73" i="12"/>
  <c r="H94" i="12"/>
  <c r="C31" i="14"/>
  <c r="H7" i="13"/>
  <c r="I84" i="12"/>
  <c r="E17" i="13"/>
  <c r="I89" i="12"/>
  <c r="F9" i="13"/>
  <c r="F13" i="13" s="1"/>
  <c r="K88" i="12"/>
  <c r="F16" i="13" l="1"/>
  <c r="F18" i="13" s="1"/>
  <c r="F19" i="13" s="1"/>
  <c r="F20" i="13" s="1"/>
  <c r="I91" i="12"/>
  <c r="I94" i="12" s="1"/>
  <c r="I90" i="12"/>
  <c r="J92" i="12"/>
  <c r="J95" i="12" s="1"/>
  <c r="J77" i="12"/>
  <c r="K78" i="12" s="1"/>
  <c r="L79" i="12" s="1"/>
  <c r="L81" i="12" s="1"/>
  <c r="J74" i="12"/>
  <c r="K75" i="12" s="1"/>
  <c r="L76" i="12" s="1"/>
  <c r="L80" i="12" s="1"/>
  <c r="M72" i="12" s="1"/>
  <c r="J53" i="12"/>
  <c r="J64" i="12" s="1"/>
  <c r="M73" i="12" l="1"/>
  <c r="I7" i="13"/>
  <c r="F17" i="13"/>
  <c r="K89" i="12"/>
  <c r="K91" i="12" s="1"/>
  <c r="K94" i="12" s="1"/>
  <c r="K84" i="12"/>
  <c r="J84" i="12"/>
  <c r="L88" i="12"/>
  <c r="K77" i="12"/>
  <c r="L78" i="12" s="1"/>
  <c r="M79" i="12" s="1"/>
  <c r="M81" i="12" s="1"/>
  <c r="K74" i="12"/>
  <c r="K92" i="12"/>
  <c r="K95" i="12" s="1"/>
  <c r="J89" i="12"/>
  <c r="N73" i="12" l="1"/>
  <c r="L84" i="12"/>
  <c r="K90" i="12"/>
  <c r="J91" i="12"/>
  <c r="J94" i="12" s="1"/>
  <c r="J90" i="12"/>
  <c r="L89" i="12"/>
  <c r="G9" i="13"/>
  <c r="H9" i="13"/>
  <c r="L92" i="12"/>
  <c r="L95" i="12" s="1"/>
  <c r="L77" i="12"/>
  <c r="M78" i="12" s="1"/>
  <c r="N79" i="12" s="1"/>
  <c r="N81" i="12" s="1"/>
  <c r="L74" i="12"/>
  <c r="K53" i="12"/>
  <c r="K64" i="12" s="1"/>
  <c r="L75" i="12"/>
  <c r="M76" i="12" s="1"/>
  <c r="L53" i="12"/>
  <c r="L64" i="12" s="1"/>
  <c r="H13" i="13" l="1"/>
  <c r="H16" i="13" s="1"/>
  <c r="H17" i="13" s="1"/>
  <c r="G13" i="13"/>
  <c r="G16" i="13" s="1"/>
  <c r="G18" i="13" s="1"/>
  <c r="G19" i="13" s="1"/>
  <c r="G20" i="13" s="1"/>
  <c r="O73" i="12"/>
  <c r="M80" i="12"/>
  <c r="J7" i="13" s="1"/>
  <c r="J9" i="13" s="1"/>
  <c r="L91" i="12"/>
  <c r="L94" i="12" s="1"/>
  <c r="L90" i="12"/>
  <c r="I9" i="13"/>
  <c r="M88" i="12"/>
  <c r="M77" i="12"/>
  <c r="N78" i="12" s="1"/>
  <c r="O79" i="12" s="1"/>
  <c r="O81" i="12" s="1"/>
  <c r="M74" i="12"/>
  <c r="N75" i="12" s="1"/>
  <c r="O76" i="12" s="1"/>
  <c r="O80" i="12" s="1"/>
  <c r="M92" i="12"/>
  <c r="M95" i="12" s="1"/>
  <c r="M75" i="12"/>
  <c r="N76" i="12" s="1"/>
  <c r="M53" i="12"/>
  <c r="M64" i="12" s="1"/>
  <c r="M89" i="12"/>
  <c r="H18" i="13" l="1"/>
  <c r="H19" i="13" s="1"/>
  <c r="H20" i="13" s="1"/>
  <c r="G17" i="13"/>
  <c r="M84" i="12"/>
  <c r="I13" i="13"/>
  <c r="I16" i="13" s="1"/>
  <c r="I18" i="13" s="1"/>
  <c r="I19" i="13" s="1"/>
  <c r="I20" i="13" s="1"/>
  <c r="J13" i="13"/>
  <c r="J16" i="13" s="1"/>
  <c r="N72" i="12"/>
  <c r="N80" i="12"/>
  <c r="N84" i="12" s="1"/>
  <c r="M91" i="12"/>
  <c r="M94" i="12" s="1"/>
  <c r="L7" i="13"/>
  <c r="M90" i="12"/>
  <c r="N53" i="12"/>
  <c r="N64" i="12" s="1"/>
  <c r="N92" i="12"/>
  <c r="N95" i="12" s="1"/>
  <c r="N74" i="12"/>
  <c r="O75" i="12" s="1"/>
  <c r="N77" i="12"/>
  <c r="O78" i="12" s="1"/>
  <c r="N88" i="12"/>
  <c r="O88" i="12"/>
  <c r="J18" i="13" l="1"/>
  <c r="J19" i="13" s="1"/>
  <c r="J20" i="13" s="1"/>
  <c r="K7" i="13"/>
  <c r="K9" i="13" s="1"/>
  <c r="K13" i="13" s="1"/>
  <c r="K16" i="13" s="1"/>
  <c r="K17" i="13" s="1"/>
  <c r="O72" i="12"/>
  <c r="I17" i="13"/>
  <c r="J17" i="13"/>
  <c r="O84" i="12"/>
  <c r="L9" i="13"/>
  <c r="O77" i="12"/>
  <c r="O74" i="12"/>
  <c r="O92" i="12"/>
  <c r="O95" i="12" s="1"/>
  <c r="O53" i="12"/>
  <c r="O64" i="12" s="1"/>
  <c r="O89" i="12"/>
  <c r="N89" i="12"/>
  <c r="K18" i="13" l="1"/>
  <c r="K19" i="13" s="1"/>
  <c r="K20" i="13" s="1"/>
  <c r="L13" i="13"/>
  <c r="L16" i="13" s="1"/>
  <c r="L18" i="13" s="1"/>
  <c r="L19" i="13" s="1"/>
  <c r="L20" i="13" s="1"/>
  <c r="N91" i="12"/>
  <c r="N94" i="12" s="1"/>
  <c r="N90" i="12"/>
  <c r="O91" i="12"/>
  <c r="O94" i="12" s="1"/>
  <c r="O90" i="12"/>
  <c r="L17" i="13" l="1"/>
  <c r="S48" i="2"/>
  <c r="S49" i="2" s="1"/>
  <c r="R48" i="2"/>
  <c r="R49" i="2" s="1"/>
  <c r="K48" i="2"/>
  <c r="K49" i="2" s="1"/>
  <c r="O48" i="2"/>
  <c r="O49" i="2" s="1"/>
  <c r="I48" i="2"/>
  <c r="I49" i="2" s="1"/>
  <c r="M48" i="2"/>
  <c r="M49" i="2" s="1"/>
  <c r="Q48" i="2"/>
  <c r="Q49" i="2" s="1"/>
  <c r="N48" i="2"/>
  <c r="N49" i="2" s="1"/>
  <c r="J48" i="2"/>
  <c r="J49" i="2" s="1"/>
  <c r="P48" i="2"/>
  <c r="P49" i="2" s="1"/>
  <c r="L48" i="2"/>
  <c r="L49" i="2" s="1"/>
  <c r="S43" i="12"/>
  <c r="S48" i="12" s="1"/>
  <c r="S49" i="12" s="1"/>
  <c r="K43" i="12"/>
  <c r="K48" i="12" s="1"/>
  <c r="K49" i="12" s="1"/>
  <c r="L43" i="12"/>
  <c r="L48" i="12" s="1"/>
  <c r="L49" i="12" s="1"/>
  <c r="N43" i="12"/>
  <c r="N48" i="12" s="1"/>
  <c r="N49" i="12" s="1"/>
  <c r="P43" i="12"/>
  <c r="P48" i="12" s="1"/>
  <c r="P49" i="12" s="1"/>
  <c r="J43" i="12"/>
  <c r="J48" i="12" s="1"/>
  <c r="J49" i="12" s="1"/>
  <c r="R43" i="12"/>
  <c r="R48" i="12" s="1"/>
  <c r="R49" i="12" s="1"/>
  <c r="M43" i="12"/>
  <c r="M48" i="12" s="1"/>
  <c r="M49" i="12" s="1"/>
  <c r="O43" i="12"/>
  <c r="O48" i="12" s="1"/>
  <c r="O49" i="12" s="1"/>
  <c r="I43" i="12"/>
  <c r="I48" i="12" s="1"/>
  <c r="I49" i="12" s="1"/>
  <c r="Q43" i="12"/>
  <c r="Q48" i="12" s="1"/>
  <c r="Q49" i="12" s="1"/>
  <c r="K44" i="6"/>
  <c r="G59" i="9"/>
  <c r="D24" i="10"/>
  <c r="D26" i="10" s="1"/>
  <c r="D14" i="10"/>
  <c r="D15" i="10" s="1"/>
  <c r="D27" i="10" s="1"/>
  <c r="D28" i="10" l="1"/>
  <c r="C24" i="14"/>
  <c r="D16" i="10"/>
  <c r="E14" i="10"/>
  <c r="E15" i="10" s="1"/>
  <c r="H59" i="9"/>
  <c r="E24" i="10"/>
  <c r="E26" i="10" l="1"/>
  <c r="E27" i="10"/>
  <c r="E28" i="10" s="1"/>
  <c r="E16" i="10"/>
  <c r="F24" i="10" l="1"/>
  <c r="F26" i="10" s="1"/>
  <c r="F14" i="10"/>
  <c r="F15" i="10" s="1"/>
  <c r="I59" i="9"/>
  <c r="F16" i="10" l="1"/>
  <c r="F27" i="10"/>
  <c r="F28" i="10" s="1"/>
  <c r="J59" i="9"/>
  <c r="G24" i="10"/>
  <c r="G26" i="10" s="1"/>
  <c r="G14" i="10"/>
  <c r="G15" i="10" s="1"/>
  <c r="G27" i="10" l="1"/>
  <c r="G28" i="10" s="1"/>
  <c r="G16" i="10"/>
  <c r="K59" i="9"/>
  <c r="H24" i="10"/>
  <c r="H14" i="10"/>
  <c r="H15" i="10" s="1"/>
  <c r="H26" i="10" l="1"/>
  <c r="C23" i="14"/>
  <c r="H16" i="10"/>
  <c r="H27" i="10"/>
  <c r="H28" i="10" s="1"/>
  <c r="L59" i="9"/>
  <c r="I14" i="10"/>
  <c r="I15" i="10" s="1"/>
  <c r="I24" i="10"/>
  <c r="I26" i="10" s="1"/>
  <c r="I16" i="10" l="1"/>
  <c r="I27" i="10"/>
  <c r="I28" i="10" s="1"/>
  <c r="J14" i="10"/>
  <c r="J15" i="10" s="1"/>
  <c r="M59" i="9"/>
  <c r="J24" i="10"/>
  <c r="J26" i="10" s="1"/>
  <c r="N59" i="9" l="1"/>
  <c r="K24" i="10"/>
  <c r="K26" i="10" s="1"/>
  <c r="K14" i="10"/>
  <c r="K15" i="10" s="1"/>
  <c r="O59" i="9"/>
  <c r="L14" i="10"/>
  <c r="L15" i="10" s="1"/>
  <c r="L24" i="10"/>
  <c r="L26" i="10" s="1"/>
  <c r="J16" i="10"/>
  <c r="J27" i="10"/>
  <c r="J28" i="10" s="1"/>
  <c r="K27" i="10" l="1"/>
  <c r="K28" i="10" s="1"/>
  <c r="K16" i="10"/>
  <c r="L16" i="10"/>
  <c r="L27" i="10"/>
  <c r="L2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5" authorId="0" shapeId="0" xr:uid="{00000000-0006-0000-0100-000001000000}">
      <text>
        <r>
          <rPr>
            <b/>
            <sz val="9"/>
            <color indexed="81"/>
            <rFont val="Tahoma"/>
            <family val="2"/>
          </rPr>
          <t>Usuario:</t>
        </r>
        <r>
          <rPr>
            <sz val="9"/>
            <color indexed="81"/>
            <rFont val="Tahoma"/>
            <family val="2"/>
          </rPr>
          <t xml:space="preserve">
Número de Ha en pasturas aprovechables, excluya cuerpos de agua, bosque, instalaciones y áreas protegidas.  </t>
        </r>
      </text>
    </comment>
    <comment ref="D5" authorId="0" shapeId="0" xr:uid="{00000000-0006-0000-0100-000002000000}">
      <text>
        <r>
          <rPr>
            <b/>
            <sz val="9"/>
            <color indexed="81"/>
            <rFont val="Tahoma"/>
            <family val="2"/>
          </rPr>
          <t>Usuario:</t>
        </r>
        <r>
          <rPr>
            <sz val="9"/>
            <color indexed="81"/>
            <rFont val="Tahoma"/>
            <family val="2"/>
          </rPr>
          <t xml:space="preserve">
Escriba aquí el número de Ha de su predio ganadero; recuerde descontar construcciones, áreas de bosque y áreas sin pasturas.</t>
        </r>
      </text>
    </comment>
    <comment ref="D6" authorId="0" shapeId="0" xr:uid="{00000000-0006-0000-0100-000003000000}">
      <text>
        <r>
          <rPr>
            <b/>
            <sz val="9"/>
            <color indexed="81"/>
            <rFont val="Tahoma"/>
            <family val="2"/>
          </rPr>
          <t>Usuario:</t>
        </r>
        <r>
          <rPr>
            <sz val="9"/>
            <color indexed="81"/>
            <rFont val="Tahoma"/>
            <family val="2"/>
          </rPr>
          <t xml:space="preserve">
Escriba aquí el número de noviillas preñadas y vacas (preñadas o no) que posee o con las que piensa empezar su negocio de cría. Tenga en cuenta la capacidad de carga de su predio.</t>
        </r>
      </text>
    </comment>
    <comment ref="D7" authorId="0" shapeId="0" xr:uid="{00000000-0006-0000-0100-000004000000}">
      <text>
        <r>
          <rPr>
            <b/>
            <sz val="9"/>
            <color indexed="81"/>
            <rFont val="Tahoma"/>
            <family val="2"/>
          </rPr>
          <t>Usuario:</t>
        </r>
        <r>
          <rPr>
            <sz val="9"/>
            <color indexed="81"/>
            <rFont val="Tahoma"/>
            <family val="2"/>
          </rPr>
          <t xml:space="preserve">
Escriba aquí el número de toros que posee o con los que piensa empezar su negocio de cría; tenga en cuenta el número de vacas por toro, este puede cambiar dependiendo la raza y la condición de estos.</t>
        </r>
      </text>
    </comment>
    <comment ref="D8" authorId="0" shapeId="0" xr:uid="{00000000-0006-0000-0100-000005000000}">
      <text>
        <r>
          <rPr>
            <b/>
            <sz val="9"/>
            <color indexed="81"/>
            <rFont val="Tahoma"/>
            <family val="2"/>
          </rPr>
          <t>Usuario:</t>
        </r>
        <r>
          <rPr>
            <sz val="9"/>
            <color indexed="81"/>
            <rFont val="Tahoma"/>
            <family val="2"/>
          </rPr>
          <t xml:space="preserve">
Escriba aquí el número de terneros menores de 1 año que posee.</t>
        </r>
      </text>
    </comment>
    <comment ref="D9" authorId="0" shapeId="0" xr:uid="{00000000-0006-0000-0100-000006000000}">
      <text>
        <r>
          <rPr>
            <b/>
            <sz val="9"/>
            <color indexed="81"/>
            <rFont val="Tahoma"/>
            <family val="2"/>
          </rPr>
          <t>Usuario:</t>
        </r>
        <r>
          <rPr>
            <sz val="9"/>
            <color indexed="81"/>
            <rFont val="Tahoma"/>
            <family val="2"/>
          </rPr>
          <t xml:space="preserve">
Escriba aquí el número de terneros de 1 a 2 años que posee.</t>
        </r>
      </text>
    </comment>
    <comment ref="D10" authorId="0" shapeId="0" xr:uid="{00000000-0006-0000-0100-000007000000}">
      <text>
        <r>
          <rPr>
            <b/>
            <sz val="9"/>
            <color indexed="81"/>
            <rFont val="Tahoma"/>
            <family val="2"/>
          </rPr>
          <t>Usuario:</t>
        </r>
        <r>
          <rPr>
            <sz val="9"/>
            <color indexed="81"/>
            <rFont val="Tahoma"/>
            <family val="2"/>
          </rPr>
          <t xml:space="preserve">
Escriba aquí el número de novillos de 2 a 3 años que posee.</t>
        </r>
      </text>
    </comment>
    <comment ref="D11" authorId="0" shapeId="0" xr:uid="{00000000-0006-0000-0100-000008000000}">
      <text>
        <r>
          <rPr>
            <b/>
            <sz val="9"/>
            <color indexed="81"/>
            <rFont val="Tahoma"/>
            <family val="2"/>
          </rPr>
          <t>Usuario:</t>
        </r>
        <r>
          <rPr>
            <sz val="9"/>
            <color indexed="81"/>
            <rFont val="Tahoma"/>
            <family val="2"/>
          </rPr>
          <t xml:space="preserve">
Escriba aquí el número de terneras menores de 1 año que posee.</t>
        </r>
      </text>
    </comment>
    <comment ref="D12" authorId="0" shapeId="0" xr:uid="{00000000-0006-0000-0100-000009000000}">
      <text>
        <r>
          <rPr>
            <b/>
            <sz val="9"/>
            <color indexed="81"/>
            <rFont val="Tahoma"/>
            <family val="2"/>
          </rPr>
          <t>Usuario:</t>
        </r>
        <r>
          <rPr>
            <sz val="9"/>
            <color indexed="81"/>
            <rFont val="Tahoma"/>
            <family val="2"/>
          </rPr>
          <t xml:space="preserve">
Escriba aquí el número de terneras de 1 a 2 años que posee.</t>
        </r>
      </text>
    </comment>
    <comment ref="D13" authorId="0" shapeId="0" xr:uid="{00000000-0006-0000-0100-00000A000000}">
      <text>
        <r>
          <rPr>
            <b/>
            <sz val="9"/>
            <color indexed="81"/>
            <rFont val="Tahoma"/>
            <family val="2"/>
          </rPr>
          <t>Usuario:</t>
        </r>
        <r>
          <rPr>
            <sz val="9"/>
            <color indexed="81"/>
            <rFont val="Tahoma"/>
            <family val="2"/>
          </rPr>
          <t xml:space="preserve">
Escriba aquí el número de novillas de 2 a 3 años que posee.</t>
        </r>
      </text>
    </comment>
    <comment ref="D14" authorId="0" shapeId="0" xr:uid="{00000000-0006-0000-0100-00000B000000}">
      <text>
        <r>
          <rPr>
            <b/>
            <sz val="9"/>
            <color indexed="81"/>
            <rFont val="Tahoma"/>
            <family val="2"/>
          </rPr>
          <t>Usuario:</t>
        </r>
        <r>
          <rPr>
            <sz val="9"/>
            <color indexed="81"/>
            <rFont val="Tahoma"/>
            <family val="2"/>
          </rPr>
          <t xml:space="preserve">
Estos no suman al inventario pues ya están contabilizados arriba.</t>
        </r>
      </text>
    </comment>
    <comment ref="D15" authorId="0" shapeId="0" xr:uid="{00000000-0006-0000-0100-00000C000000}">
      <text>
        <r>
          <rPr>
            <b/>
            <sz val="9"/>
            <color indexed="81"/>
            <rFont val="Tahoma"/>
            <family val="2"/>
          </rPr>
          <t>Usuario:</t>
        </r>
        <r>
          <rPr>
            <sz val="9"/>
            <color indexed="81"/>
            <rFont val="Tahoma"/>
            <family val="2"/>
          </rPr>
          <t xml:space="preserve">
Estas no suman al inventario pues ya están contabilizadas arriba.</t>
        </r>
      </text>
    </comment>
    <comment ref="D16" authorId="0" shapeId="0" xr:uid="{00000000-0006-0000-0100-00000D000000}">
      <text>
        <r>
          <rPr>
            <b/>
            <sz val="9"/>
            <color indexed="81"/>
            <rFont val="Tahoma"/>
            <family val="2"/>
          </rPr>
          <t>Usuario:</t>
        </r>
        <r>
          <rPr>
            <sz val="9"/>
            <color indexed="81"/>
            <rFont val="Tahoma"/>
            <family val="2"/>
          </rPr>
          <t xml:space="preserve">
Acá no se sumarán los despajes pues ya están incluidos en el inventario general.</t>
        </r>
      </text>
    </comment>
    <comment ref="D19" authorId="0" shapeId="0" xr:uid="{00000000-0006-0000-0100-00000E000000}">
      <text>
        <r>
          <rPr>
            <b/>
            <sz val="9"/>
            <color indexed="81"/>
            <rFont val="Tahoma"/>
            <family val="2"/>
          </rPr>
          <t>Usuario:</t>
        </r>
        <r>
          <rPr>
            <sz val="9"/>
            <color indexed="81"/>
            <rFont val="Tahoma"/>
            <family val="2"/>
          </rPr>
          <t xml:space="preserve">
Peso promedio de los animales de este grupo.</t>
        </r>
      </text>
    </comment>
    <comment ref="D20" authorId="0" shapeId="0" xr:uid="{00000000-0006-0000-0100-00000F000000}">
      <text>
        <r>
          <rPr>
            <b/>
            <sz val="9"/>
            <color indexed="81"/>
            <rFont val="Tahoma"/>
            <family val="2"/>
          </rPr>
          <t>Usuario:</t>
        </r>
        <r>
          <rPr>
            <sz val="9"/>
            <color indexed="81"/>
            <rFont val="Tahoma"/>
            <family val="2"/>
          </rPr>
          <t xml:space="preserve">
Peso promedio de los animales de este grupo.</t>
        </r>
      </text>
    </comment>
    <comment ref="D21" authorId="0" shapeId="0" xr:uid="{00000000-0006-0000-0100-000010000000}">
      <text>
        <r>
          <rPr>
            <b/>
            <sz val="9"/>
            <color indexed="81"/>
            <rFont val="Tahoma"/>
            <family val="2"/>
          </rPr>
          <t>Usuario:</t>
        </r>
        <r>
          <rPr>
            <sz val="9"/>
            <color indexed="81"/>
            <rFont val="Tahoma"/>
            <family val="2"/>
          </rPr>
          <t xml:space="preserve">
Peso promedio de los animales de este grupo.</t>
        </r>
      </text>
    </comment>
    <comment ref="D22" authorId="0" shapeId="0" xr:uid="{00000000-0006-0000-0100-000011000000}">
      <text>
        <r>
          <rPr>
            <b/>
            <sz val="9"/>
            <color indexed="81"/>
            <rFont val="Tahoma"/>
            <family val="2"/>
          </rPr>
          <t>Usuario:</t>
        </r>
        <r>
          <rPr>
            <sz val="9"/>
            <color indexed="81"/>
            <rFont val="Tahoma"/>
            <family val="2"/>
          </rPr>
          <t xml:space="preserve">
Peso promedio de los animales de este grupo.</t>
        </r>
      </text>
    </comment>
    <comment ref="D23" authorId="0" shapeId="0" xr:uid="{00000000-0006-0000-0100-000012000000}">
      <text>
        <r>
          <rPr>
            <b/>
            <sz val="9"/>
            <color indexed="81"/>
            <rFont val="Tahoma"/>
            <family val="2"/>
          </rPr>
          <t>Usuario:</t>
        </r>
        <r>
          <rPr>
            <sz val="9"/>
            <color indexed="81"/>
            <rFont val="Tahoma"/>
            <family val="2"/>
          </rPr>
          <t xml:space="preserve">
Peso promedio de los animales de este grupo.</t>
        </r>
      </text>
    </comment>
    <comment ref="D24" authorId="0" shapeId="0" xr:uid="{00000000-0006-0000-0100-000013000000}">
      <text>
        <r>
          <rPr>
            <b/>
            <sz val="9"/>
            <color indexed="81"/>
            <rFont val="Tahoma"/>
            <family val="2"/>
          </rPr>
          <t>Usuario:</t>
        </r>
        <r>
          <rPr>
            <sz val="9"/>
            <color indexed="81"/>
            <rFont val="Tahoma"/>
            <family val="2"/>
          </rPr>
          <t xml:space="preserve">
Peso promedio de los animales de este grupo.</t>
        </r>
      </text>
    </comment>
    <comment ref="D25" authorId="0" shapeId="0" xr:uid="{00000000-0006-0000-0100-000014000000}">
      <text>
        <r>
          <rPr>
            <b/>
            <sz val="9"/>
            <color indexed="81"/>
            <rFont val="Tahoma"/>
            <family val="2"/>
          </rPr>
          <t>Usuario:</t>
        </r>
        <r>
          <rPr>
            <sz val="9"/>
            <color indexed="81"/>
            <rFont val="Tahoma"/>
            <family val="2"/>
          </rPr>
          <t xml:space="preserve">
Peso promedio de los animales de este grupo.</t>
        </r>
      </text>
    </comment>
    <comment ref="D26" authorId="0" shapeId="0" xr:uid="{00000000-0006-0000-0100-000015000000}">
      <text>
        <r>
          <rPr>
            <b/>
            <sz val="9"/>
            <color indexed="81"/>
            <rFont val="Tahoma"/>
            <family val="2"/>
          </rPr>
          <t>Usuario:</t>
        </r>
        <r>
          <rPr>
            <sz val="9"/>
            <color indexed="81"/>
            <rFont val="Tahoma"/>
            <family val="2"/>
          </rPr>
          <t xml:space="preserve">
Peso promedio de los animales de este grupo.</t>
        </r>
      </text>
    </comment>
    <comment ref="E32" authorId="0" shapeId="0" xr:uid="{00000000-0006-0000-0100-000016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33" authorId="0" shapeId="0" xr:uid="{00000000-0006-0000-0100-000017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34" authorId="0" shapeId="0" xr:uid="{00000000-0006-0000-0100-000018000000}">
      <text>
        <r>
          <rPr>
            <b/>
            <sz val="9"/>
            <color indexed="81"/>
            <rFont val="Tahoma"/>
            <family val="2"/>
          </rPr>
          <t>Usuario:</t>
        </r>
        <r>
          <rPr>
            <sz val="9"/>
            <color indexed="81"/>
            <rFont val="Tahoma"/>
            <family val="2"/>
          </rPr>
          <t xml:space="preserve">
Valor estimado según edad y condición. Ajuste según sus propias características</t>
        </r>
      </text>
    </comment>
    <comment ref="B35" authorId="0" shapeId="0" xr:uid="{00000000-0006-0000-0100-000019000000}">
      <text>
        <r>
          <rPr>
            <b/>
            <sz val="9"/>
            <color indexed="81"/>
            <rFont val="Tahoma"/>
            <family val="2"/>
          </rPr>
          <t>Usuario:</t>
        </r>
        <r>
          <rPr>
            <sz val="9"/>
            <color indexed="81"/>
            <rFont val="Tahoma"/>
            <family val="2"/>
          </rPr>
          <t xml:space="preserve">
Aca se detallan los animales por sexo y por edades que ya están en la producción (en caso de ya estar implementada y funcionando) y no se relacionan como compra
pero suman al inventario físico y a la inversión establecida.
</t>
        </r>
      </text>
    </comment>
    <comment ref="E35" authorId="0" shapeId="0" xr:uid="{00000000-0006-0000-0100-00001A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36" authorId="0" shapeId="0" xr:uid="{00000000-0006-0000-0100-00001B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37" authorId="0" shapeId="0" xr:uid="{00000000-0006-0000-0100-00001C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38" authorId="0" shapeId="0" xr:uid="{00000000-0006-0000-0100-00001D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39" authorId="0" shapeId="0" xr:uid="{00000000-0006-0000-0100-00001E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40" authorId="0" shapeId="0" xr:uid="{00000000-0006-0000-0100-00001F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41" authorId="0" shapeId="0" xr:uid="{00000000-0006-0000-0100-000020000000}">
      <text>
        <r>
          <rPr>
            <b/>
            <sz val="9"/>
            <color indexed="81"/>
            <rFont val="Tahoma"/>
            <family val="2"/>
          </rPr>
          <t>Usuario:</t>
        </r>
        <r>
          <rPr>
            <sz val="9"/>
            <color indexed="81"/>
            <rFont val="Tahoma"/>
            <family val="2"/>
          </rPr>
          <t xml:space="preserve">
ajuste según su propia condición, si ya lo tiene maruqe cero.</t>
        </r>
      </text>
    </comment>
    <comment ref="D42" authorId="0" shapeId="0" xr:uid="{00000000-0006-0000-0100-000021000000}">
      <text>
        <r>
          <rPr>
            <b/>
            <sz val="9"/>
            <color indexed="81"/>
            <rFont val="Tahoma"/>
            <family val="2"/>
          </rPr>
          <t>Usuario:</t>
        </r>
        <r>
          <rPr>
            <sz val="9"/>
            <color indexed="81"/>
            <rFont val="Tahoma"/>
            <family val="2"/>
          </rPr>
          <t xml:space="preserve">
favor ajustar según susu necesiades en un año.</t>
        </r>
      </text>
    </comment>
    <comment ref="E42" authorId="0" shapeId="0" xr:uid="{00000000-0006-0000-0100-000022000000}">
      <text>
        <r>
          <rPr>
            <b/>
            <sz val="9"/>
            <color indexed="81"/>
            <rFont val="Tahoma"/>
            <family val="2"/>
          </rPr>
          <t>Usuario:</t>
        </r>
        <r>
          <rPr>
            <sz val="9"/>
            <color indexed="81"/>
            <rFont val="Tahoma"/>
            <family val="2"/>
          </rPr>
          <t xml:space="preserve">
Ajuste según valor promedio en el mercado del dinero promedio invertido en este rubro en un año.</t>
        </r>
      </text>
    </comment>
    <comment ref="D43" authorId="0" shapeId="0" xr:uid="{00000000-0006-0000-0100-000023000000}">
      <text>
        <r>
          <rPr>
            <b/>
            <sz val="9"/>
            <color indexed="81"/>
            <rFont val="Tahoma"/>
            <family val="2"/>
          </rPr>
          <t>Usuario:</t>
        </r>
        <r>
          <rPr>
            <sz val="9"/>
            <color indexed="81"/>
            <rFont val="Tahoma"/>
            <family val="2"/>
          </rPr>
          <t xml:space="preserve">
Favor ajustar según sus necesidades en un año.</t>
        </r>
      </text>
    </comment>
    <comment ref="E43" authorId="0" shapeId="0" xr:uid="{00000000-0006-0000-0100-000024000000}">
      <text>
        <r>
          <rPr>
            <b/>
            <sz val="9"/>
            <color indexed="81"/>
            <rFont val="Tahoma"/>
            <family val="2"/>
          </rPr>
          <t>Usuario:</t>
        </r>
        <r>
          <rPr>
            <sz val="9"/>
            <color indexed="81"/>
            <rFont val="Tahoma"/>
            <family val="2"/>
          </rPr>
          <t xml:space="preserve">
Ajuste según valor promedio en el mercado del dinero promedio invertido en este rubro en un año.</t>
        </r>
      </text>
    </comment>
    <comment ref="E44" authorId="0" shapeId="0" xr:uid="{00000000-0006-0000-0100-000025000000}">
      <text>
        <r>
          <rPr>
            <b/>
            <sz val="9"/>
            <color indexed="81"/>
            <rFont val="Tahoma"/>
            <family val="2"/>
          </rPr>
          <t>Usuario:</t>
        </r>
        <r>
          <rPr>
            <sz val="9"/>
            <color indexed="81"/>
            <rFont val="Tahoma"/>
            <family val="2"/>
          </rPr>
          <t xml:space="preserve">
Ajuste según valor promedio en el mercado del dinero promedio invertido en este rubro en un año.</t>
        </r>
      </text>
    </comment>
    <comment ref="E45" authorId="0" shapeId="0" xr:uid="{00000000-0006-0000-0100-000026000000}">
      <text>
        <r>
          <rPr>
            <b/>
            <sz val="9"/>
            <color indexed="81"/>
            <rFont val="Tahoma"/>
            <family val="2"/>
          </rPr>
          <t>Usuario:</t>
        </r>
        <r>
          <rPr>
            <sz val="9"/>
            <color indexed="81"/>
            <rFont val="Tahoma"/>
            <family val="2"/>
          </rPr>
          <t xml:space="preserve">
Ajuste según valor promedio en el mercado del dinero promedio invertido en este rubro en un año. Ajuste por favor.</t>
        </r>
      </text>
    </comment>
    <comment ref="E46" authorId="0" shapeId="0" xr:uid="{00000000-0006-0000-0100-000027000000}">
      <text>
        <r>
          <rPr>
            <b/>
            <sz val="9"/>
            <color indexed="81"/>
            <rFont val="Tahoma"/>
            <family val="2"/>
          </rPr>
          <t>Usuario:</t>
        </r>
        <r>
          <rPr>
            <sz val="9"/>
            <color indexed="81"/>
            <rFont val="Tahoma"/>
            <family val="2"/>
          </rPr>
          <t xml:space="preserve">
Ajuste según valor promedio en el mercado del dinero promedio invertido en este rubro en un año. Ajuste por favor.</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5" authorId="0" shapeId="0" xr:uid="{00000000-0006-0000-0A00-000001000000}">
      <text>
        <r>
          <rPr>
            <b/>
            <sz val="9"/>
            <color indexed="81"/>
            <rFont val="Tahoma"/>
            <family val="2"/>
          </rPr>
          <t>Usuario:</t>
        </r>
        <r>
          <rPr>
            <sz val="9"/>
            <color indexed="81"/>
            <rFont val="Tahoma"/>
            <family val="2"/>
          </rPr>
          <t xml:space="preserve">
Número de Ha en pasturas aprovechables, excluya cuerpos de agua, bosque, instalaciones y áreas protegidas.  </t>
        </r>
      </text>
    </comment>
    <comment ref="D5" authorId="0" shapeId="0" xr:uid="{00000000-0006-0000-0A00-000002000000}">
      <text>
        <r>
          <rPr>
            <b/>
            <sz val="9"/>
            <color indexed="81"/>
            <rFont val="Tahoma"/>
            <family val="2"/>
          </rPr>
          <t>Usuario:</t>
        </r>
        <r>
          <rPr>
            <sz val="9"/>
            <color indexed="81"/>
            <rFont val="Tahoma"/>
            <family val="2"/>
          </rPr>
          <t xml:space="preserve">
Escriba aquí el número de Ha de su predio ganadero; recuerde descontar construcciones, áreas de bosque y áreas sin pasturas.</t>
        </r>
      </text>
    </comment>
    <comment ref="D6" authorId="0" shapeId="0" xr:uid="{00000000-0006-0000-0A00-000003000000}">
      <text>
        <r>
          <rPr>
            <b/>
            <sz val="9"/>
            <color indexed="81"/>
            <rFont val="Tahoma"/>
            <family val="2"/>
          </rPr>
          <t>Usuario:</t>
        </r>
        <r>
          <rPr>
            <sz val="9"/>
            <color indexed="81"/>
            <rFont val="Tahoma"/>
            <family val="2"/>
          </rPr>
          <t xml:space="preserve">
Escriba aquí el número de noviillas preñadas y vacas (preñadas o no) que posee o con las que piensa empezar su negocio de cría. Tenga en cuenta la capacidad de carga de su predio.</t>
        </r>
      </text>
    </comment>
    <comment ref="D7" authorId="0" shapeId="0" xr:uid="{00000000-0006-0000-0A00-000004000000}">
      <text>
        <r>
          <rPr>
            <b/>
            <sz val="9"/>
            <color indexed="81"/>
            <rFont val="Tahoma"/>
            <family val="2"/>
          </rPr>
          <t>Usuario:</t>
        </r>
        <r>
          <rPr>
            <sz val="9"/>
            <color indexed="81"/>
            <rFont val="Tahoma"/>
            <family val="2"/>
          </rPr>
          <t xml:space="preserve">
Escriba aquí el número de toros que posee o con los que piensa empezar su negocio de cría; tener en cuenta el número de vacas por cada toro que puede cambiar por la raza y la condición de estos.
</t>
        </r>
      </text>
    </comment>
    <comment ref="D8" authorId="0" shapeId="0" xr:uid="{00000000-0006-0000-0A00-000005000000}">
      <text>
        <r>
          <rPr>
            <b/>
            <sz val="9"/>
            <color indexed="81"/>
            <rFont val="Tahoma"/>
            <family val="2"/>
          </rPr>
          <t>Usuario:</t>
        </r>
        <r>
          <rPr>
            <sz val="9"/>
            <color indexed="81"/>
            <rFont val="Tahoma"/>
            <family val="2"/>
          </rPr>
          <t xml:space="preserve">
Escriba aquí el número de terneros menores de 1 año que posee.</t>
        </r>
      </text>
    </comment>
    <comment ref="D9" authorId="0" shapeId="0" xr:uid="{00000000-0006-0000-0A00-000006000000}">
      <text>
        <r>
          <rPr>
            <b/>
            <sz val="9"/>
            <color indexed="81"/>
            <rFont val="Tahoma"/>
            <family val="2"/>
          </rPr>
          <t>Usuario:</t>
        </r>
        <r>
          <rPr>
            <sz val="9"/>
            <color indexed="81"/>
            <rFont val="Tahoma"/>
            <family val="2"/>
          </rPr>
          <t xml:space="preserve">
Escriba aquí el número de terneros de 1 a 2  años que posee.</t>
        </r>
      </text>
    </comment>
    <comment ref="D10" authorId="0" shapeId="0" xr:uid="{00000000-0006-0000-0A00-000007000000}">
      <text>
        <r>
          <rPr>
            <b/>
            <sz val="9"/>
            <color indexed="81"/>
            <rFont val="Tahoma"/>
            <family val="2"/>
          </rPr>
          <t>Usuario:</t>
        </r>
        <r>
          <rPr>
            <sz val="9"/>
            <color indexed="81"/>
            <rFont val="Tahoma"/>
            <family val="2"/>
          </rPr>
          <t xml:space="preserve">
Escriba aquí el número de novillos de 1 a 2  años que posee.</t>
        </r>
      </text>
    </comment>
    <comment ref="D11" authorId="0" shapeId="0" xr:uid="{00000000-0006-0000-0A00-000008000000}">
      <text>
        <r>
          <rPr>
            <b/>
            <sz val="9"/>
            <color indexed="81"/>
            <rFont val="Tahoma"/>
            <family val="2"/>
          </rPr>
          <t>Usuario:</t>
        </r>
        <r>
          <rPr>
            <sz val="9"/>
            <color indexed="81"/>
            <rFont val="Tahoma"/>
            <family val="2"/>
          </rPr>
          <t xml:space="preserve">
Escriba aquí el número de terneras de menores de 1  año que posee.</t>
        </r>
      </text>
    </comment>
    <comment ref="D12" authorId="0" shapeId="0" xr:uid="{00000000-0006-0000-0A00-000009000000}">
      <text>
        <r>
          <rPr>
            <b/>
            <sz val="9"/>
            <color indexed="81"/>
            <rFont val="Tahoma"/>
            <family val="2"/>
          </rPr>
          <t>Usuario:</t>
        </r>
        <r>
          <rPr>
            <sz val="9"/>
            <color indexed="81"/>
            <rFont val="Tahoma"/>
            <family val="2"/>
          </rPr>
          <t xml:space="preserve">
Escriba aquí el número de terneras de 1 a 2  años que posee.</t>
        </r>
      </text>
    </comment>
    <comment ref="D13" authorId="0" shapeId="0" xr:uid="{00000000-0006-0000-0A00-00000A000000}">
      <text>
        <r>
          <rPr>
            <b/>
            <sz val="9"/>
            <color indexed="81"/>
            <rFont val="Tahoma"/>
            <family val="2"/>
          </rPr>
          <t>Usuario:</t>
        </r>
        <r>
          <rPr>
            <sz val="9"/>
            <color indexed="81"/>
            <rFont val="Tahoma"/>
            <family val="2"/>
          </rPr>
          <t xml:space="preserve">
Escriba aquí el número de novillas de 2 a 3  años vacias que posee.</t>
        </r>
      </text>
    </comment>
    <comment ref="D14" authorId="0" shapeId="0" xr:uid="{00000000-0006-0000-0A00-00000B000000}">
      <text>
        <r>
          <rPr>
            <b/>
            <sz val="9"/>
            <color indexed="81"/>
            <rFont val="Tahoma"/>
            <family val="2"/>
          </rPr>
          <t>Usuario:</t>
        </r>
        <r>
          <rPr>
            <sz val="9"/>
            <color indexed="81"/>
            <rFont val="Tahoma"/>
            <family val="2"/>
          </rPr>
          <t xml:space="preserve">
Estos no suman al inventario pues ya están contabilizados arriba.</t>
        </r>
      </text>
    </comment>
    <comment ref="D15" authorId="0" shapeId="0" xr:uid="{00000000-0006-0000-0A00-00000C000000}">
      <text>
        <r>
          <rPr>
            <b/>
            <sz val="9"/>
            <color indexed="81"/>
            <rFont val="Tahoma"/>
            <family val="2"/>
          </rPr>
          <t>Usuario:</t>
        </r>
        <r>
          <rPr>
            <sz val="9"/>
            <color indexed="81"/>
            <rFont val="Tahoma"/>
            <family val="2"/>
          </rPr>
          <t xml:space="preserve">
Estas no suman al inventario pues ya están contabilizadas arriba.</t>
        </r>
      </text>
    </comment>
    <comment ref="D16" authorId="0" shapeId="0" xr:uid="{00000000-0006-0000-0A00-00000D000000}">
      <text>
        <r>
          <rPr>
            <b/>
            <sz val="9"/>
            <color indexed="81"/>
            <rFont val="Tahoma"/>
            <family val="2"/>
          </rPr>
          <t>Usuario:</t>
        </r>
        <r>
          <rPr>
            <sz val="9"/>
            <color indexed="81"/>
            <rFont val="Tahoma"/>
            <family val="2"/>
          </rPr>
          <t xml:space="preserve">
Acá no se sumarán los despajes pues ya están incluidos en el inventario general.</t>
        </r>
      </text>
    </comment>
    <comment ref="D19" authorId="0" shapeId="0" xr:uid="{00000000-0006-0000-0A00-00000E000000}">
      <text>
        <r>
          <rPr>
            <b/>
            <sz val="9"/>
            <color indexed="81"/>
            <rFont val="Tahoma"/>
            <family val="2"/>
          </rPr>
          <t>Usuario:</t>
        </r>
        <r>
          <rPr>
            <sz val="9"/>
            <color indexed="81"/>
            <rFont val="Tahoma"/>
            <family val="2"/>
          </rPr>
          <t xml:space="preserve">
Peso promedio de los animales de este grupo.</t>
        </r>
      </text>
    </comment>
    <comment ref="D20" authorId="0" shapeId="0" xr:uid="{00000000-0006-0000-0A00-00000F000000}">
      <text>
        <r>
          <rPr>
            <b/>
            <sz val="9"/>
            <color indexed="81"/>
            <rFont val="Tahoma"/>
            <family val="2"/>
          </rPr>
          <t>Usuario:</t>
        </r>
        <r>
          <rPr>
            <sz val="9"/>
            <color indexed="81"/>
            <rFont val="Tahoma"/>
            <family val="2"/>
          </rPr>
          <t xml:space="preserve">
Peso promedio de los animales de este grupo.</t>
        </r>
      </text>
    </comment>
    <comment ref="D21" authorId="0" shapeId="0" xr:uid="{00000000-0006-0000-0A00-000010000000}">
      <text>
        <r>
          <rPr>
            <b/>
            <sz val="9"/>
            <color indexed="81"/>
            <rFont val="Tahoma"/>
            <family val="2"/>
          </rPr>
          <t>Usuario:</t>
        </r>
        <r>
          <rPr>
            <sz val="9"/>
            <color indexed="81"/>
            <rFont val="Tahoma"/>
            <family val="2"/>
          </rPr>
          <t xml:space="preserve">
Peso promedio de los animales de este grupo.</t>
        </r>
      </text>
    </comment>
    <comment ref="D22" authorId="0" shapeId="0" xr:uid="{00000000-0006-0000-0A00-000011000000}">
      <text>
        <r>
          <rPr>
            <b/>
            <sz val="9"/>
            <color indexed="81"/>
            <rFont val="Tahoma"/>
            <family val="2"/>
          </rPr>
          <t>Usuario:</t>
        </r>
        <r>
          <rPr>
            <sz val="9"/>
            <color indexed="81"/>
            <rFont val="Tahoma"/>
            <family val="2"/>
          </rPr>
          <t xml:space="preserve">
Peso promedio de los animales de este grupo.</t>
        </r>
      </text>
    </comment>
    <comment ref="D23" authorId="0" shapeId="0" xr:uid="{00000000-0006-0000-0A00-000012000000}">
      <text>
        <r>
          <rPr>
            <b/>
            <sz val="9"/>
            <color indexed="81"/>
            <rFont val="Tahoma"/>
            <family val="2"/>
          </rPr>
          <t>Usuario:</t>
        </r>
        <r>
          <rPr>
            <sz val="9"/>
            <color indexed="81"/>
            <rFont val="Tahoma"/>
            <family val="2"/>
          </rPr>
          <t xml:space="preserve">
Peso promedio de los animales de este grupo.</t>
        </r>
      </text>
    </comment>
    <comment ref="D24" authorId="0" shapeId="0" xr:uid="{00000000-0006-0000-0A00-000013000000}">
      <text>
        <r>
          <rPr>
            <b/>
            <sz val="9"/>
            <color indexed="81"/>
            <rFont val="Tahoma"/>
            <family val="2"/>
          </rPr>
          <t>Usuario:</t>
        </r>
        <r>
          <rPr>
            <sz val="9"/>
            <color indexed="81"/>
            <rFont val="Tahoma"/>
            <family val="2"/>
          </rPr>
          <t xml:space="preserve">
Peso promedio de los animales de este grupo.</t>
        </r>
      </text>
    </comment>
    <comment ref="D25" authorId="0" shapeId="0" xr:uid="{00000000-0006-0000-0A00-000014000000}">
      <text>
        <r>
          <rPr>
            <b/>
            <sz val="9"/>
            <color indexed="81"/>
            <rFont val="Tahoma"/>
            <family val="2"/>
          </rPr>
          <t>Usuario:</t>
        </r>
        <r>
          <rPr>
            <sz val="9"/>
            <color indexed="81"/>
            <rFont val="Tahoma"/>
            <family val="2"/>
          </rPr>
          <t xml:space="preserve">
Peso promedio de los animales de este grupo.</t>
        </r>
      </text>
    </comment>
    <comment ref="D26" authorId="0" shapeId="0" xr:uid="{00000000-0006-0000-0A00-000015000000}">
      <text>
        <r>
          <rPr>
            <b/>
            <sz val="9"/>
            <color indexed="81"/>
            <rFont val="Tahoma"/>
            <family val="2"/>
          </rPr>
          <t>Usuario:</t>
        </r>
        <r>
          <rPr>
            <sz val="9"/>
            <color indexed="81"/>
            <rFont val="Tahoma"/>
            <family val="2"/>
          </rPr>
          <t xml:space="preserve">
Peso promedio de los animales de este grupo.</t>
        </r>
      </text>
    </comment>
    <comment ref="E33" authorId="0" shapeId="0" xr:uid="{00000000-0006-0000-0A00-000016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34" authorId="0" shapeId="0" xr:uid="{00000000-0006-0000-0A00-000017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35" authorId="0" shapeId="0" xr:uid="{00000000-0006-0000-0A00-000018000000}">
      <text>
        <r>
          <rPr>
            <b/>
            <sz val="9"/>
            <color indexed="81"/>
            <rFont val="Tahoma"/>
            <family val="2"/>
          </rPr>
          <t>Usuario:</t>
        </r>
        <r>
          <rPr>
            <sz val="9"/>
            <color indexed="81"/>
            <rFont val="Tahoma"/>
            <family val="2"/>
          </rPr>
          <t xml:space="preserve">
Valor estimado según edad y condición. Ajuste según sus propias características-</t>
        </r>
      </text>
    </comment>
    <comment ref="E36" authorId="0" shapeId="0" xr:uid="{00000000-0006-0000-0A00-000019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37" authorId="0" shapeId="0" xr:uid="{00000000-0006-0000-0A00-00001A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38" authorId="0" shapeId="0" xr:uid="{00000000-0006-0000-0A00-00001B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39" authorId="0" shapeId="0" xr:uid="{00000000-0006-0000-0A00-00001C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40" authorId="0" shapeId="0" xr:uid="{00000000-0006-0000-0A00-00001D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41" authorId="0" shapeId="0" xr:uid="{00000000-0006-0000-0A00-00001E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42" authorId="0" shapeId="0" xr:uid="{00000000-0006-0000-0A00-00001F000000}">
      <text>
        <r>
          <rPr>
            <b/>
            <sz val="9"/>
            <color indexed="81"/>
            <rFont val="Tahoma"/>
            <family val="2"/>
          </rPr>
          <t>Usuario:</t>
        </r>
        <r>
          <rPr>
            <sz val="9"/>
            <color indexed="81"/>
            <rFont val="Tahoma"/>
            <family val="2"/>
          </rPr>
          <t xml:space="preserve">
Ajuste según su propia condición.</t>
        </r>
      </text>
    </comment>
    <comment ref="D43" authorId="0" shapeId="0" xr:uid="{00000000-0006-0000-0A00-000020000000}">
      <text>
        <r>
          <rPr>
            <b/>
            <sz val="9"/>
            <color indexed="81"/>
            <rFont val="Tahoma"/>
            <family val="2"/>
          </rPr>
          <t>Usuario:</t>
        </r>
        <r>
          <rPr>
            <sz val="9"/>
            <color indexed="81"/>
            <rFont val="Tahoma"/>
            <family val="2"/>
          </rPr>
          <t xml:space="preserve">
Favor ajustar según sus necesidades en un año.</t>
        </r>
      </text>
    </comment>
    <comment ref="E43" authorId="0" shapeId="0" xr:uid="{00000000-0006-0000-0A00-000021000000}">
      <text>
        <r>
          <rPr>
            <b/>
            <sz val="9"/>
            <color indexed="81"/>
            <rFont val="Tahoma"/>
            <family val="2"/>
          </rPr>
          <t>Usuario:</t>
        </r>
        <r>
          <rPr>
            <sz val="9"/>
            <color indexed="81"/>
            <rFont val="Tahoma"/>
            <family val="2"/>
          </rPr>
          <t xml:space="preserve">
Ajuste según sus propias necesidades y valores en el mercado.</t>
        </r>
      </text>
    </comment>
    <comment ref="D44" authorId="0" shapeId="0" xr:uid="{00000000-0006-0000-0A00-000022000000}">
      <text>
        <r>
          <rPr>
            <b/>
            <sz val="9"/>
            <color indexed="81"/>
            <rFont val="Tahoma"/>
            <family val="2"/>
          </rPr>
          <t>Usuario:</t>
        </r>
        <r>
          <rPr>
            <sz val="9"/>
            <color indexed="81"/>
            <rFont val="Tahoma"/>
            <family val="2"/>
          </rPr>
          <t xml:space="preserve">
Favor ajustar según sus necesidades en un año.</t>
        </r>
      </text>
    </comment>
    <comment ref="E44" authorId="0" shapeId="0" xr:uid="{00000000-0006-0000-0A00-000023000000}">
      <text>
        <r>
          <rPr>
            <b/>
            <sz val="9"/>
            <color indexed="81"/>
            <rFont val="Tahoma"/>
            <family val="2"/>
          </rPr>
          <t>Usuario:</t>
        </r>
        <r>
          <rPr>
            <sz val="9"/>
            <color indexed="81"/>
            <rFont val="Tahoma"/>
            <family val="2"/>
          </rPr>
          <t xml:space="preserve">
Ajuste según sus propias necesidades y valores en el mercado.</t>
        </r>
      </text>
    </comment>
    <comment ref="E45" authorId="0" shapeId="0" xr:uid="{00000000-0006-0000-0A00-000024000000}">
      <text>
        <r>
          <rPr>
            <b/>
            <sz val="9"/>
            <color indexed="81"/>
            <rFont val="Tahoma"/>
            <family val="2"/>
          </rPr>
          <t>Usuario:</t>
        </r>
        <r>
          <rPr>
            <sz val="9"/>
            <color indexed="81"/>
            <rFont val="Tahoma"/>
            <family val="2"/>
          </rPr>
          <t xml:space="preserve">
Favor ajustar según sus necesidades en un año.</t>
        </r>
      </text>
    </comment>
    <comment ref="E46" authorId="0" shapeId="0" xr:uid="{00000000-0006-0000-0A00-000025000000}">
      <text>
        <r>
          <rPr>
            <b/>
            <sz val="9"/>
            <color indexed="81"/>
            <rFont val="Tahoma"/>
            <family val="2"/>
          </rPr>
          <t>Usuario:</t>
        </r>
        <r>
          <rPr>
            <sz val="9"/>
            <color indexed="81"/>
            <rFont val="Tahoma"/>
            <family val="2"/>
          </rPr>
          <t xml:space="preserve">
Ajuste según valor promedio en el mercado del dinero promedio invertido en este rubro en un año. Ajuste por favor.</t>
        </r>
      </text>
    </comment>
    <comment ref="E47" authorId="0" shapeId="0" xr:uid="{00000000-0006-0000-0A00-000026000000}">
      <text>
        <r>
          <rPr>
            <b/>
            <sz val="9"/>
            <color indexed="81"/>
            <rFont val="Tahoma"/>
            <family val="2"/>
          </rPr>
          <t>Usuario:</t>
        </r>
        <r>
          <rPr>
            <sz val="9"/>
            <color indexed="81"/>
            <rFont val="Tahoma"/>
            <family val="2"/>
          </rPr>
          <t xml:space="preserve">
Ajuste según valor promedio en el mercado del dinero promedio invertido en este rubro en un año. Ajuste por favor.</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E8" authorId="0" shapeId="0" xr:uid="{00000000-0006-0000-0B00-000001000000}">
      <text>
        <r>
          <rPr>
            <b/>
            <sz val="9"/>
            <color indexed="81"/>
            <rFont val="Tahoma"/>
            <family val="2"/>
          </rPr>
          <t>Usuario:</t>
        </r>
        <r>
          <rPr>
            <sz val="9"/>
            <color indexed="81"/>
            <rFont val="Tahoma"/>
            <family val="2"/>
          </rPr>
          <t xml:space="preserve">
(sugerencia, favor ajustar según su propia experiencia)</t>
        </r>
      </text>
    </comment>
    <comment ref="G8" authorId="0" shapeId="0" xr:uid="{00000000-0006-0000-0B00-000002000000}">
      <text>
        <r>
          <rPr>
            <b/>
            <sz val="9"/>
            <color indexed="81"/>
            <rFont val="Tahoma"/>
            <family val="2"/>
          </rPr>
          <t>Usuario:</t>
        </r>
        <r>
          <rPr>
            <sz val="9"/>
            <color indexed="81"/>
            <rFont val="Tahoma"/>
            <family val="2"/>
          </rPr>
          <t xml:space="preserve">
(sugerencia, favor ajustar según su propia experiencia)</t>
        </r>
      </text>
    </comment>
    <comment ref="I8" authorId="0" shapeId="0" xr:uid="{00000000-0006-0000-0B00-000003000000}">
      <text>
        <r>
          <rPr>
            <b/>
            <sz val="9"/>
            <color indexed="81"/>
            <rFont val="Tahoma"/>
            <family val="2"/>
          </rPr>
          <t>Usuario:</t>
        </r>
        <r>
          <rPr>
            <sz val="9"/>
            <color indexed="81"/>
            <rFont val="Tahoma"/>
            <family val="2"/>
          </rPr>
          <t xml:space="preserve">
(sugerencia, favor ajustar según su propia experiencia)</t>
        </r>
      </text>
    </comment>
    <comment ref="E9" authorId="0" shapeId="0" xr:uid="{00000000-0006-0000-0B00-000004000000}">
      <text>
        <r>
          <rPr>
            <b/>
            <sz val="9"/>
            <color indexed="81"/>
            <rFont val="Tahoma"/>
            <family val="2"/>
          </rPr>
          <t>Usuario:</t>
        </r>
        <r>
          <rPr>
            <sz val="9"/>
            <color indexed="81"/>
            <rFont val="Tahoma"/>
            <family val="2"/>
          </rPr>
          <t xml:space="preserve">
(sugerencia, favor ajustar según su propia experiencia)</t>
        </r>
      </text>
    </comment>
    <comment ref="G9" authorId="0" shapeId="0" xr:uid="{00000000-0006-0000-0B00-000005000000}">
      <text>
        <r>
          <rPr>
            <b/>
            <sz val="9"/>
            <color indexed="81"/>
            <rFont val="Tahoma"/>
            <family val="2"/>
          </rPr>
          <t>Usuario:</t>
        </r>
        <r>
          <rPr>
            <sz val="9"/>
            <color indexed="81"/>
            <rFont val="Tahoma"/>
            <family val="2"/>
          </rPr>
          <t xml:space="preserve">
(sugerencia, favor ajustar según su propia experiencia)</t>
        </r>
      </text>
    </comment>
    <comment ref="I9" authorId="0" shapeId="0" xr:uid="{00000000-0006-0000-0B00-000006000000}">
      <text>
        <r>
          <rPr>
            <b/>
            <sz val="9"/>
            <color indexed="81"/>
            <rFont val="Tahoma"/>
            <family val="2"/>
          </rPr>
          <t>Usuario:</t>
        </r>
        <r>
          <rPr>
            <sz val="9"/>
            <color indexed="81"/>
            <rFont val="Tahoma"/>
            <family val="2"/>
          </rPr>
          <t xml:space="preserve">
(sugerencia, favor ajustar según su propia experiencia)</t>
        </r>
      </text>
    </comment>
    <comment ref="E10" authorId="0" shapeId="0" xr:uid="{00000000-0006-0000-0B00-000007000000}">
      <text>
        <r>
          <rPr>
            <b/>
            <sz val="9"/>
            <color indexed="81"/>
            <rFont val="Tahoma"/>
            <family val="2"/>
          </rPr>
          <t>Usuario:</t>
        </r>
        <r>
          <rPr>
            <sz val="9"/>
            <color indexed="81"/>
            <rFont val="Tahoma"/>
            <family val="2"/>
          </rPr>
          <t xml:space="preserve">
(sugerencia, favor ajustar según su propia experiencia)</t>
        </r>
      </text>
    </comment>
    <comment ref="G10" authorId="0" shapeId="0" xr:uid="{00000000-0006-0000-0B00-000008000000}">
      <text>
        <r>
          <rPr>
            <b/>
            <sz val="9"/>
            <color indexed="81"/>
            <rFont val="Tahoma"/>
            <family val="2"/>
          </rPr>
          <t>Usuario:</t>
        </r>
        <r>
          <rPr>
            <sz val="9"/>
            <color indexed="81"/>
            <rFont val="Tahoma"/>
            <family val="2"/>
          </rPr>
          <t xml:space="preserve">
(sugerencia, favor ajustar según su propia experiencia)</t>
        </r>
      </text>
    </comment>
    <comment ref="E11" authorId="0" shapeId="0" xr:uid="{00000000-0006-0000-0B00-000009000000}">
      <text>
        <r>
          <rPr>
            <b/>
            <sz val="9"/>
            <color indexed="81"/>
            <rFont val="Tahoma"/>
            <family val="2"/>
          </rPr>
          <t>Usuario:</t>
        </r>
        <r>
          <rPr>
            <sz val="9"/>
            <color indexed="81"/>
            <rFont val="Tahoma"/>
            <family val="2"/>
          </rPr>
          <t xml:space="preserve">
(sugerencia, favor ajustar según su propia experiencia)</t>
        </r>
      </text>
    </comment>
    <comment ref="G11" authorId="0" shapeId="0" xr:uid="{00000000-0006-0000-0B00-00000A000000}">
      <text>
        <r>
          <rPr>
            <b/>
            <sz val="9"/>
            <color indexed="81"/>
            <rFont val="Tahoma"/>
            <family val="2"/>
          </rPr>
          <t>Usuario:</t>
        </r>
        <r>
          <rPr>
            <sz val="9"/>
            <color indexed="81"/>
            <rFont val="Tahoma"/>
            <family val="2"/>
          </rPr>
          <t xml:space="preserve">
(sugerencia, favor ajustar según su propia experiencia)</t>
        </r>
      </text>
    </comment>
    <comment ref="I11" authorId="0" shapeId="0" xr:uid="{00000000-0006-0000-0B00-00000B000000}">
      <text>
        <r>
          <rPr>
            <b/>
            <sz val="9"/>
            <color indexed="81"/>
            <rFont val="Tahoma"/>
            <family val="2"/>
          </rPr>
          <t>Usuario:</t>
        </r>
        <r>
          <rPr>
            <sz val="9"/>
            <color indexed="81"/>
            <rFont val="Tahoma"/>
            <family val="2"/>
          </rPr>
          <t xml:space="preserve">
(sugerencia, favor ajustar según su propia experiencia)</t>
        </r>
      </text>
    </comment>
    <comment ref="D19" authorId="0" shapeId="0" xr:uid="{00000000-0006-0000-0B00-00000C000000}">
      <text>
        <r>
          <rPr>
            <sz val="9"/>
            <color indexed="81"/>
            <rFont val="Tahoma"/>
            <family val="2"/>
          </rPr>
          <t>Ivermectina/ Levamisol/ Albendazol costo dosis por animal dos veces al año (sugerencia, favor ajustar según su propia experiencia)</t>
        </r>
      </text>
    </comment>
    <comment ref="D20" authorId="0" shapeId="0" xr:uid="{00000000-0006-0000-0B00-00000D000000}">
      <text>
        <r>
          <rPr>
            <b/>
            <sz val="9"/>
            <color indexed="81"/>
            <rFont val="Tahoma"/>
            <family val="2"/>
          </rPr>
          <t>Usuario:</t>
        </r>
        <r>
          <rPr>
            <sz val="9"/>
            <color indexed="81"/>
            <rFont val="Tahoma"/>
            <family val="2"/>
          </rPr>
          <t xml:space="preserve">
Favor ajustar valor dosis / animal</t>
        </r>
      </text>
    </comment>
    <comment ref="D21" authorId="0" shapeId="0" xr:uid="{00000000-0006-0000-0B00-00000E000000}">
      <text>
        <r>
          <rPr>
            <b/>
            <sz val="9"/>
            <color indexed="81"/>
            <rFont val="Tahoma"/>
            <family val="2"/>
          </rPr>
          <t>Usuario:</t>
        </r>
        <r>
          <rPr>
            <sz val="9"/>
            <color indexed="81"/>
            <rFont val="Tahoma"/>
            <family val="2"/>
          </rPr>
          <t xml:space="preserve">
Favor ajustar valor dosis / animal</t>
        </r>
      </text>
    </comment>
    <comment ref="D22" authorId="0" shapeId="0" xr:uid="{00000000-0006-0000-0B00-00000F000000}">
      <text>
        <r>
          <rPr>
            <b/>
            <sz val="9"/>
            <color indexed="81"/>
            <rFont val="Tahoma"/>
            <family val="2"/>
          </rPr>
          <t>Usuario:</t>
        </r>
        <r>
          <rPr>
            <sz val="9"/>
            <color indexed="81"/>
            <rFont val="Tahoma"/>
            <family val="2"/>
          </rPr>
          <t xml:space="preserve">
Favor ajustar valor dosis / animal</t>
        </r>
      </text>
    </comment>
    <comment ref="D23" authorId="0" shapeId="0" xr:uid="{00000000-0006-0000-0B00-000010000000}">
      <text>
        <r>
          <rPr>
            <b/>
            <sz val="9"/>
            <color indexed="81"/>
            <rFont val="Tahoma"/>
            <family val="2"/>
          </rPr>
          <t>Usuario:</t>
        </r>
        <r>
          <rPr>
            <sz val="9"/>
            <color indexed="81"/>
            <rFont val="Tahoma"/>
            <family val="2"/>
          </rPr>
          <t xml:space="preserve">
Ajuste o introduzca valor según su propia experiencia.</t>
        </r>
      </text>
    </comment>
    <comment ref="D24" authorId="0" shapeId="0" xr:uid="{00000000-0006-0000-0B00-000011000000}">
      <text>
        <r>
          <rPr>
            <b/>
            <sz val="9"/>
            <color indexed="81"/>
            <rFont val="Tahoma"/>
            <family val="2"/>
          </rPr>
          <t xml:space="preserve">Usuario:
</t>
        </r>
        <r>
          <rPr>
            <sz val="9"/>
            <color indexed="81"/>
            <rFont val="Tahoma"/>
            <family val="2"/>
          </rPr>
          <t>Costo promedio en pesos COP gastado  dos veces al año (sugerencia, favor ajustar según su propia experiencia)</t>
        </r>
      </text>
    </comment>
    <comment ref="D25" authorId="0" shapeId="0" xr:uid="{00000000-0006-0000-0B00-000012000000}">
      <text>
        <r>
          <rPr>
            <b/>
            <sz val="9"/>
            <color indexed="81"/>
            <rFont val="Tahoma"/>
            <family val="2"/>
          </rPr>
          <t>Usuario:</t>
        </r>
        <r>
          <rPr>
            <sz val="9"/>
            <color indexed="81"/>
            <rFont val="Tahoma"/>
            <family val="2"/>
          </rPr>
          <t xml:space="preserve">
Costo estimado  promedio en pesos COP al año  (sugerencia, favor ajustar según su propia experiencia)
</t>
        </r>
      </text>
    </comment>
    <comment ref="D26" authorId="0" shapeId="0" xr:uid="{00000000-0006-0000-0B00-000013000000}">
      <text>
        <r>
          <rPr>
            <b/>
            <sz val="9"/>
            <color indexed="81"/>
            <rFont val="Tahoma"/>
            <family val="2"/>
          </rPr>
          <t>Usuario:</t>
        </r>
        <r>
          <rPr>
            <sz val="9"/>
            <color indexed="81"/>
            <rFont val="Tahoma"/>
            <family val="2"/>
          </rPr>
          <t xml:space="preserve">
Relacione aca otros gastos relacionados con sanidad como jeringas, mangas u otros 
(sugerencia, favor ajustar según su propia experiencia)</t>
        </r>
      </text>
    </comment>
    <comment ref="D32" authorId="0" shapeId="0" xr:uid="{00000000-0006-0000-0B00-000014000000}">
      <text>
        <r>
          <rPr>
            <b/>
            <sz val="9"/>
            <color indexed="81"/>
            <rFont val="Tahoma"/>
            <family val="2"/>
          </rPr>
          <t>Usuario:</t>
        </r>
        <r>
          <rPr>
            <sz val="9"/>
            <color indexed="81"/>
            <rFont val="Tahoma"/>
            <family val="2"/>
          </rPr>
          <t xml:space="preserve">
Relacione aca el costo mensual de su mano de obra. (sugerencia, favor ajustar según su propia experiencia)</t>
        </r>
      </text>
    </comment>
    <comment ref="J32" authorId="0" shapeId="0" xr:uid="{00000000-0006-0000-0B00-000015000000}">
      <text>
        <r>
          <rPr>
            <b/>
            <sz val="9"/>
            <color indexed="81"/>
            <rFont val="Tahoma"/>
            <family val="2"/>
          </rPr>
          <t>Usuario:</t>
        </r>
        <r>
          <rPr>
            <sz val="9"/>
            <color indexed="81"/>
            <rFont val="Tahoma"/>
            <family val="2"/>
          </rPr>
          <t xml:space="preserve">
(sugerencia, favor ajustar según su propia experiencia)</t>
        </r>
      </text>
    </comment>
    <comment ref="D33" authorId="0" shapeId="0" xr:uid="{00000000-0006-0000-0B00-000016000000}">
      <text>
        <r>
          <rPr>
            <b/>
            <sz val="9"/>
            <color indexed="81"/>
            <rFont val="Tahoma"/>
            <family val="2"/>
          </rPr>
          <t>Usuario:</t>
        </r>
        <r>
          <rPr>
            <sz val="9"/>
            <color indexed="81"/>
            <rFont val="Tahoma"/>
            <family val="2"/>
          </rPr>
          <t xml:space="preserve">
(sugerencia, favor ajustar según su propia experiencia)</t>
        </r>
      </text>
    </comment>
    <comment ref="J33" authorId="0" shapeId="0" xr:uid="{00000000-0006-0000-0B00-000017000000}">
      <text>
        <r>
          <rPr>
            <b/>
            <sz val="9"/>
            <color indexed="81"/>
            <rFont val="Tahoma"/>
            <family val="2"/>
          </rPr>
          <t>Usuario:</t>
        </r>
        <r>
          <rPr>
            <sz val="9"/>
            <color indexed="81"/>
            <rFont val="Tahoma"/>
            <family val="2"/>
          </rPr>
          <t xml:space="preserve">
(sugerencia, favor ajustar según su propia experiencia)</t>
        </r>
      </text>
    </comment>
    <comment ref="D34" authorId="0" shapeId="0" xr:uid="{00000000-0006-0000-0B00-000018000000}">
      <text>
        <r>
          <rPr>
            <b/>
            <sz val="9"/>
            <color indexed="81"/>
            <rFont val="Tahoma"/>
            <family val="2"/>
          </rPr>
          <t>Usuario:</t>
        </r>
        <r>
          <rPr>
            <sz val="9"/>
            <color indexed="81"/>
            <rFont val="Tahoma"/>
            <family val="2"/>
          </rPr>
          <t xml:space="preserve">
(sugerencia, favor ajustar según su propia experiencia)</t>
        </r>
      </text>
    </comment>
    <comment ref="J34" authorId="0" shapeId="0" xr:uid="{00000000-0006-0000-0B00-000019000000}">
      <text>
        <r>
          <rPr>
            <b/>
            <sz val="9"/>
            <color indexed="81"/>
            <rFont val="Tahoma"/>
            <family val="2"/>
          </rPr>
          <t>Usuario:</t>
        </r>
        <r>
          <rPr>
            <sz val="9"/>
            <color indexed="81"/>
            <rFont val="Tahoma"/>
            <family val="2"/>
          </rPr>
          <t xml:space="preserve">
(sugerencia, favor ajustar según su propia experiencia)</t>
        </r>
      </text>
    </comment>
    <comment ref="D35" authorId="0" shapeId="0" xr:uid="{00000000-0006-0000-0B00-00001A000000}">
      <text>
        <r>
          <rPr>
            <b/>
            <sz val="9"/>
            <color indexed="81"/>
            <rFont val="Tahoma"/>
            <family val="2"/>
          </rPr>
          <t>Usuario:</t>
        </r>
        <r>
          <rPr>
            <sz val="9"/>
            <color indexed="81"/>
            <rFont val="Tahoma"/>
            <family val="2"/>
          </rPr>
          <t xml:space="preserve">
(sugerencia, favor ajustar según su propia experiencia)</t>
        </r>
      </text>
    </comment>
    <comment ref="J35" authorId="0" shapeId="0" xr:uid="{00000000-0006-0000-0B00-00001B000000}">
      <text>
        <r>
          <rPr>
            <b/>
            <sz val="9"/>
            <color indexed="81"/>
            <rFont val="Tahoma"/>
            <family val="2"/>
          </rPr>
          <t>Usuario:</t>
        </r>
        <r>
          <rPr>
            <sz val="9"/>
            <color indexed="81"/>
            <rFont val="Tahoma"/>
            <family val="2"/>
          </rPr>
          <t xml:space="preserve">
(sugerencia, favor ajustar según su propia experiencia)</t>
        </r>
      </text>
    </comment>
    <comment ref="J72" authorId="0" shapeId="0" xr:uid="{00000000-0006-0000-0B00-00001C000000}">
      <text>
        <r>
          <rPr>
            <b/>
            <sz val="9"/>
            <color indexed="81"/>
            <rFont val="Tahoma"/>
            <family val="2"/>
          </rPr>
          <t>Usuario:</t>
        </r>
        <r>
          <rPr>
            <sz val="9"/>
            <color indexed="81"/>
            <rFont val="Tahoma"/>
            <family val="2"/>
          </rPr>
          <t xml:space="preserve">
Toros iniciales más primer toro de reemplazo.
</t>
        </r>
      </text>
    </comment>
    <comment ref="I73" authorId="0" shapeId="0" xr:uid="{00000000-0006-0000-0B00-00001D000000}">
      <text>
        <r>
          <rPr>
            <b/>
            <sz val="9"/>
            <color indexed="81"/>
            <rFont val="Tahoma"/>
            <family val="2"/>
          </rPr>
          <t>Usuario:</t>
        </r>
        <r>
          <rPr>
            <sz val="9"/>
            <color indexed="81"/>
            <rFont val="Tahoma"/>
            <family val="2"/>
          </rPr>
          <t xml:space="preserve">
vacas mas primeras novillas de reposición.</t>
        </r>
      </text>
    </comment>
    <comment ref="H80" authorId="0" shapeId="0" xr:uid="{00000000-0006-0000-0B00-00001E000000}">
      <text>
        <r>
          <rPr>
            <b/>
            <sz val="9"/>
            <color indexed="81"/>
            <rFont val="Tahoma"/>
            <family val="2"/>
          </rPr>
          <t>Usuario:</t>
        </r>
        <r>
          <rPr>
            <sz val="9"/>
            <color indexed="81"/>
            <rFont val="Tahoma"/>
            <family val="2"/>
          </rPr>
          <t xml:space="preserve">
98% novillos para sacrificio, 2% para reemplazo.</t>
        </r>
      </text>
    </comment>
    <comment ref="H81" authorId="0" shapeId="0" xr:uid="{00000000-0006-0000-0B00-00001F000000}">
      <text>
        <r>
          <rPr>
            <b/>
            <sz val="9"/>
            <color indexed="81"/>
            <rFont val="Tahoma"/>
            <family val="2"/>
          </rPr>
          <t>Usuario:</t>
        </r>
        <r>
          <rPr>
            <sz val="9"/>
            <color indexed="81"/>
            <rFont val="Tahoma"/>
            <family val="2"/>
          </rPr>
          <t xml:space="preserve">
80% novillas para sacrificio, 20% para reemplazo.</t>
        </r>
      </text>
    </comment>
    <comment ref="J82" authorId="0" shapeId="0" xr:uid="{00000000-0006-0000-0B00-000020000000}">
      <text>
        <r>
          <rPr>
            <b/>
            <sz val="9"/>
            <color indexed="81"/>
            <rFont val="Tahoma"/>
            <family val="2"/>
          </rPr>
          <t>Usuario:</t>
        </r>
        <r>
          <rPr>
            <sz val="9"/>
            <color indexed="81"/>
            <rFont val="Tahoma"/>
            <family val="2"/>
          </rPr>
          <t xml:space="preserve">
Primero(s) toro(s) de descarte o el 25% de los toros iniciales. Opcional, no dejar machos como reemplazo y comprar el toro según necesidades.</t>
        </r>
      </text>
    </comment>
    <comment ref="K82" authorId="0" shapeId="0" xr:uid="{00000000-0006-0000-0B00-000021000000}">
      <text>
        <r>
          <rPr>
            <b/>
            <sz val="9"/>
            <color indexed="81"/>
            <rFont val="Tahoma"/>
            <family val="2"/>
          </rPr>
          <t>Usuario:</t>
        </r>
        <r>
          <rPr>
            <sz val="9"/>
            <color indexed="81"/>
            <rFont val="Tahoma"/>
            <family val="2"/>
          </rPr>
          <t xml:space="preserve">
Segundo(s) toro(s) de descarte o el 25% de los toros iniciales. Opcional, no dejar machos como reemplazo y comprar el toro según necesidades.</t>
        </r>
      </text>
    </comment>
    <comment ref="K83" authorId="0" shapeId="0" xr:uid="{00000000-0006-0000-0B00-000022000000}">
      <text>
        <r>
          <rPr>
            <b/>
            <sz val="9"/>
            <color indexed="81"/>
            <rFont val="Tahoma"/>
            <family val="2"/>
          </rPr>
          <t>Usuario:</t>
        </r>
        <r>
          <rPr>
            <sz val="9"/>
            <color indexed="81"/>
            <rFont val="Tahoma"/>
            <family val="2"/>
          </rPr>
          <t xml:space="preserve">
primeras vacas de descarte.
</t>
        </r>
      </text>
    </comment>
    <comment ref="L83" authorId="0" shapeId="0" xr:uid="{00000000-0006-0000-0B00-000023000000}">
      <text>
        <r>
          <rPr>
            <b/>
            <sz val="9"/>
            <color indexed="81"/>
            <rFont val="Tahoma"/>
            <family val="2"/>
          </rPr>
          <t>Usuario:</t>
        </r>
        <r>
          <rPr>
            <sz val="9"/>
            <color indexed="81"/>
            <rFont val="Tahoma"/>
            <family val="2"/>
          </rPr>
          <t xml:space="preserve">
segundas vacas de descarte.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D7" authorId="0" shapeId="0" xr:uid="{00000000-0006-0000-0200-000001000000}">
      <text>
        <r>
          <rPr>
            <b/>
            <sz val="9"/>
            <color indexed="81"/>
            <rFont val="Tahoma"/>
            <family val="2"/>
          </rPr>
          <t>Usuario:</t>
        </r>
        <r>
          <rPr>
            <sz val="9"/>
            <color indexed="81"/>
            <rFont val="Tahoma"/>
            <family val="2"/>
          </rPr>
          <t xml:space="preserve">
Dividir el valor del kilogramos en mil
</t>
        </r>
      </text>
    </comment>
    <comment ref="E8" authorId="0" shapeId="0" xr:uid="{00000000-0006-0000-0200-000002000000}">
      <text>
        <r>
          <rPr>
            <b/>
            <sz val="9"/>
            <color indexed="81"/>
            <rFont val="Tahoma"/>
            <family val="2"/>
          </rPr>
          <t>Usuario:</t>
        </r>
        <r>
          <rPr>
            <sz val="9"/>
            <color indexed="81"/>
            <rFont val="Tahoma"/>
            <family val="2"/>
          </rPr>
          <t xml:space="preserve">
(sugerencia, favor ajustar según su propia experiencia)</t>
        </r>
      </text>
    </comment>
    <comment ref="G8" authorId="0" shapeId="0" xr:uid="{00000000-0006-0000-0200-000003000000}">
      <text>
        <r>
          <rPr>
            <b/>
            <sz val="9"/>
            <color indexed="81"/>
            <rFont val="Tahoma"/>
            <family val="2"/>
          </rPr>
          <t>Usuario:</t>
        </r>
        <r>
          <rPr>
            <sz val="9"/>
            <color indexed="81"/>
            <rFont val="Tahoma"/>
            <family val="2"/>
          </rPr>
          <t xml:space="preserve">
(sugerencia, favor ajustar según su propia experiencia)</t>
        </r>
      </text>
    </comment>
    <comment ref="I8" authorId="0" shapeId="0" xr:uid="{00000000-0006-0000-0200-000004000000}">
      <text>
        <r>
          <rPr>
            <b/>
            <sz val="9"/>
            <color indexed="81"/>
            <rFont val="Tahoma"/>
            <family val="2"/>
          </rPr>
          <t>Usuario:</t>
        </r>
        <r>
          <rPr>
            <sz val="9"/>
            <color indexed="81"/>
            <rFont val="Tahoma"/>
            <family val="2"/>
          </rPr>
          <t xml:space="preserve">
(sugerencia, favor ajustar según su propia experiencia)</t>
        </r>
      </text>
    </comment>
    <comment ref="E9" authorId="0" shapeId="0" xr:uid="{00000000-0006-0000-0200-000005000000}">
      <text>
        <r>
          <rPr>
            <b/>
            <sz val="9"/>
            <color indexed="81"/>
            <rFont val="Tahoma"/>
            <family val="2"/>
          </rPr>
          <t>Usuario:</t>
        </r>
        <r>
          <rPr>
            <sz val="9"/>
            <color indexed="81"/>
            <rFont val="Tahoma"/>
            <family val="2"/>
          </rPr>
          <t xml:space="preserve">
sugerencia, favor ajustar según su propia experiencia)</t>
        </r>
      </text>
    </comment>
    <comment ref="G9" authorId="0" shapeId="0" xr:uid="{00000000-0006-0000-0200-000006000000}">
      <text>
        <r>
          <rPr>
            <b/>
            <sz val="9"/>
            <color indexed="81"/>
            <rFont val="Tahoma"/>
            <family val="2"/>
          </rPr>
          <t>Usuario:</t>
        </r>
        <r>
          <rPr>
            <sz val="9"/>
            <color indexed="81"/>
            <rFont val="Tahoma"/>
            <family val="2"/>
          </rPr>
          <t xml:space="preserve">
(sugerencia, favor ajustar según su propia experiencia)</t>
        </r>
      </text>
    </comment>
    <comment ref="I9" authorId="0" shapeId="0" xr:uid="{00000000-0006-0000-0200-000007000000}">
      <text>
        <r>
          <rPr>
            <b/>
            <sz val="9"/>
            <color indexed="81"/>
            <rFont val="Tahoma"/>
            <family val="2"/>
          </rPr>
          <t>Usuario:</t>
        </r>
        <r>
          <rPr>
            <sz val="9"/>
            <color indexed="81"/>
            <rFont val="Tahoma"/>
            <family val="2"/>
          </rPr>
          <t xml:space="preserve">
(sugerencia, favor ajustar según su propia experiencia)</t>
        </r>
      </text>
    </comment>
    <comment ref="E10" authorId="0" shapeId="0" xr:uid="{00000000-0006-0000-0200-000008000000}">
      <text>
        <r>
          <rPr>
            <b/>
            <sz val="9"/>
            <color indexed="81"/>
            <rFont val="Tahoma"/>
            <family val="2"/>
          </rPr>
          <t>Usuario:</t>
        </r>
        <r>
          <rPr>
            <sz val="9"/>
            <color indexed="81"/>
            <rFont val="Tahoma"/>
            <family val="2"/>
          </rPr>
          <t xml:space="preserve">
(sugerencia, favor ajustar según su propia experiencia)</t>
        </r>
      </text>
    </comment>
    <comment ref="G10" authorId="0" shapeId="0" xr:uid="{00000000-0006-0000-0200-000009000000}">
      <text>
        <r>
          <rPr>
            <b/>
            <sz val="9"/>
            <color indexed="81"/>
            <rFont val="Tahoma"/>
            <family val="2"/>
          </rPr>
          <t>Usuario:</t>
        </r>
        <r>
          <rPr>
            <sz val="9"/>
            <color indexed="81"/>
            <rFont val="Tahoma"/>
            <family val="2"/>
          </rPr>
          <t xml:space="preserve">
(sugerencia, favor ajustar según su propia experiencia)</t>
        </r>
      </text>
    </comment>
    <comment ref="I10" authorId="0" shapeId="0" xr:uid="{00000000-0006-0000-0200-00000A000000}">
      <text>
        <r>
          <rPr>
            <b/>
            <sz val="9"/>
            <color indexed="81"/>
            <rFont val="Tahoma"/>
            <family val="2"/>
          </rPr>
          <t>Usuario:</t>
        </r>
        <r>
          <rPr>
            <sz val="9"/>
            <color indexed="81"/>
            <rFont val="Tahoma"/>
            <family val="2"/>
          </rPr>
          <t xml:space="preserve">
(sugerencia, favor ajustar según su propia experiencia)</t>
        </r>
      </text>
    </comment>
    <comment ref="E11" authorId="0" shapeId="0" xr:uid="{00000000-0006-0000-0200-00000B000000}">
      <text>
        <r>
          <rPr>
            <b/>
            <sz val="9"/>
            <color indexed="81"/>
            <rFont val="Tahoma"/>
            <family val="2"/>
          </rPr>
          <t>Usuario:</t>
        </r>
        <r>
          <rPr>
            <sz val="9"/>
            <color indexed="81"/>
            <rFont val="Tahoma"/>
            <family val="2"/>
          </rPr>
          <t xml:space="preserve">
(sugerencia, favor ajustar según su propia experiencia)</t>
        </r>
      </text>
    </comment>
    <comment ref="G11" authorId="0" shapeId="0" xr:uid="{00000000-0006-0000-0200-00000C000000}">
      <text>
        <r>
          <rPr>
            <b/>
            <sz val="9"/>
            <color indexed="81"/>
            <rFont val="Tahoma"/>
            <family val="2"/>
          </rPr>
          <t>Usuario:</t>
        </r>
        <r>
          <rPr>
            <sz val="9"/>
            <color indexed="81"/>
            <rFont val="Tahoma"/>
            <family val="2"/>
          </rPr>
          <t xml:space="preserve">
(sugerencia, favor ajustar según su propia experiencia)</t>
        </r>
      </text>
    </comment>
    <comment ref="I11" authorId="0" shapeId="0" xr:uid="{00000000-0006-0000-0200-00000D000000}">
      <text>
        <r>
          <rPr>
            <b/>
            <sz val="9"/>
            <color indexed="81"/>
            <rFont val="Tahoma"/>
            <family val="2"/>
          </rPr>
          <t>Usuario:</t>
        </r>
        <r>
          <rPr>
            <sz val="9"/>
            <color indexed="81"/>
            <rFont val="Tahoma"/>
            <family val="2"/>
          </rPr>
          <t xml:space="preserve">
(sugerencia, favor ajustar según su propia experiencia)</t>
        </r>
      </text>
    </comment>
    <comment ref="D19" authorId="0" shapeId="0" xr:uid="{00000000-0006-0000-0200-00000E000000}">
      <text>
        <r>
          <rPr>
            <b/>
            <sz val="9"/>
            <color indexed="81"/>
            <rFont val="Tahoma"/>
            <family val="2"/>
          </rPr>
          <t>Usuario:</t>
        </r>
        <r>
          <rPr>
            <sz val="9"/>
            <color indexed="81"/>
            <rFont val="Tahoma"/>
            <family val="2"/>
          </rPr>
          <t xml:space="preserve">
Ivermectina/ Levamisol/ Albendazol costo dosis por animal dos veces al año (sugerencia, favor ajustar según su propia experiencia)</t>
        </r>
      </text>
    </comment>
    <comment ref="D20" authorId="0" shapeId="0" xr:uid="{00000000-0006-0000-0200-00000F000000}">
      <text>
        <r>
          <rPr>
            <b/>
            <sz val="9"/>
            <color indexed="81"/>
            <rFont val="Tahoma"/>
            <family val="2"/>
          </rPr>
          <t>Usuario:</t>
        </r>
        <r>
          <rPr>
            <sz val="9"/>
            <color indexed="81"/>
            <rFont val="Tahoma"/>
            <family val="2"/>
          </rPr>
          <t xml:space="preserve">
Favor ajustar valor dosis / animal</t>
        </r>
      </text>
    </comment>
    <comment ref="D21" authorId="0" shapeId="0" xr:uid="{00000000-0006-0000-0200-000010000000}">
      <text>
        <r>
          <rPr>
            <b/>
            <sz val="9"/>
            <color indexed="81"/>
            <rFont val="Tahoma"/>
            <family val="2"/>
          </rPr>
          <t>Usuario:</t>
        </r>
        <r>
          <rPr>
            <sz val="9"/>
            <color indexed="81"/>
            <rFont val="Tahoma"/>
            <family val="2"/>
          </rPr>
          <t xml:space="preserve">
Favor ajustar valor dosis / animal</t>
        </r>
      </text>
    </comment>
    <comment ref="D22" authorId="0" shapeId="0" xr:uid="{00000000-0006-0000-0200-000011000000}">
      <text>
        <r>
          <rPr>
            <b/>
            <sz val="9"/>
            <color indexed="81"/>
            <rFont val="Tahoma"/>
            <family val="2"/>
          </rPr>
          <t>Usuario:</t>
        </r>
        <r>
          <rPr>
            <sz val="9"/>
            <color indexed="81"/>
            <rFont val="Tahoma"/>
            <family val="2"/>
          </rPr>
          <t xml:space="preserve">
Favor ajustar valor dosis / animal</t>
        </r>
      </text>
    </comment>
    <comment ref="D23" authorId="0" shapeId="0" xr:uid="{00000000-0006-0000-0200-000012000000}">
      <text>
        <r>
          <rPr>
            <b/>
            <sz val="9"/>
            <color indexed="81"/>
            <rFont val="Tahoma"/>
            <family val="2"/>
          </rPr>
          <t>Usuario:</t>
        </r>
        <r>
          <rPr>
            <sz val="9"/>
            <color indexed="81"/>
            <rFont val="Tahoma"/>
            <family val="2"/>
          </rPr>
          <t xml:space="preserve">
(sugerencia, favor ajustar según su propia experincia)</t>
        </r>
      </text>
    </comment>
    <comment ref="D24" authorId="0" shapeId="0" xr:uid="{00000000-0006-0000-0200-000013000000}">
      <text>
        <r>
          <rPr>
            <b/>
            <sz val="9"/>
            <color indexed="81"/>
            <rFont val="Tahoma"/>
            <family val="2"/>
          </rPr>
          <t>Usuario:</t>
        </r>
        <r>
          <rPr>
            <sz val="9"/>
            <color indexed="81"/>
            <rFont val="Tahoma"/>
            <family val="2"/>
          </rPr>
          <t xml:space="preserve">
Costo promedio en pesos COP gastado  dos veces al año (sugerencia, favor ajustar según su propia experiencia)</t>
        </r>
      </text>
    </comment>
    <comment ref="D25" authorId="0" shapeId="0" xr:uid="{00000000-0006-0000-0200-000014000000}">
      <text>
        <r>
          <rPr>
            <b/>
            <sz val="9"/>
            <color indexed="81"/>
            <rFont val="Tahoma"/>
            <family val="2"/>
          </rPr>
          <t>Usuario:</t>
        </r>
        <r>
          <rPr>
            <sz val="9"/>
            <color indexed="81"/>
            <rFont val="Tahoma"/>
            <family val="2"/>
          </rPr>
          <t xml:space="preserve">
Costo estimado  promedio en pesos COP al año  (sugerencia, favor ajustar según su propia experiencia)
</t>
        </r>
      </text>
    </comment>
    <comment ref="D26" authorId="0" shapeId="0" xr:uid="{00000000-0006-0000-0200-000015000000}">
      <text>
        <r>
          <rPr>
            <b/>
            <sz val="9"/>
            <color indexed="81"/>
            <rFont val="Tahoma"/>
            <family val="2"/>
          </rPr>
          <t>Usuario:</t>
        </r>
        <r>
          <rPr>
            <sz val="9"/>
            <color indexed="81"/>
            <rFont val="Tahoma"/>
            <family val="2"/>
          </rPr>
          <t xml:space="preserve">
Relacione aca otros gastos relacionados con sanidad como jeringas, mangas u otros 
(sugerencia, favor ajustar según su propia experiencia)</t>
        </r>
      </text>
    </comment>
    <comment ref="D32" authorId="0" shapeId="0" xr:uid="{00000000-0006-0000-0200-000016000000}">
      <text>
        <r>
          <rPr>
            <b/>
            <sz val="9"/>
            <color indexed="81"/>
            <rFont val="Tahoma"/>
            <family val="2"/>
          </rPr>
          <t>Usuario:</t>
        </r>
        <r>
          <rPr>
            <sz val="9"/>
            <color indexed="81"/>
            <rFont val="Tahoma"/>
            <family val="2"/>
          </rPr>
          <t xml:space="preserve">
Relacione aca el costo mensual de su mano de obra. (sugerencia, favor ajustar según su propia experiencia)
</t>
        </r>
      </text>
    </comment>
    <comment ref="J32" authorId="0" shapeId="0" xr:uid="{00000000-0006-0000-0200-000017000000}">
      <text>
        <r>
          <rPr>
            <b/>
            <sz val="9"/>
            <color indexed="81"/>
            <rFont val="Tahoma"/>
            <family val="2"/>
          </rPr>
          <t>Usuario:</t>
        </r>
        <r>
          <rPr>
            <sz val="9"/>
            <color indexed="81"/>
            <rFont val="Tahoma"/>
            <family val="2"/>
          </rPr>
          <t xml:space="preserve">
(sugerencia, favor ajustar según su propia experiencia)</t>
        </r>
      </text>
    </comment>
    <comment ref="D33" authorId="0" shapeId="0" xr:uid="{00000000-0006-0000-0200-000018000000}">
      <text>
        <r>
          <rPr>
            <b/>
            <sz val="9"/>
            <color indexed="81"/>
            <rFont val="Tahoma"/>
            <family val="2"/>
          </rPr>
          <t>Usuario:</t>
        </r>
        <r>
          <rPr>
            <sz val="9"/>
            <color indexed="81"/>
            <rFont val="Tahoma"/>
            <family val="2"/>
          </rPr>
          <t xml:space="preserve">
(sugerencia, favor ajustar según su propia experiencia)</t>
        </r>
      </text>
    </comment>
    <comment ref="J33" authorId="0" shapeId="0" xr:uid="{00000000-0006-0000-0200-000019000000}">
      <text>
        <r>
          <rPr>
            <b/>
            <sz val="9"/>
            <color indexed="81"/>
            <rFont val="Tahoma"/>
            <family val="2"/>
          </rPr>
          <t>Usuario:</t>
        </r>
        <r>
          <rPr>
            <sz val="9"/>
            <color indexed="81"/>
            <rFont val="Tahoma"/>
            <family val="2"/>
          </rPr>
          <t xml:space="preserve">
(sugerencia, favor ajustar según su propia experiencia)</t>
        </r>
      </text>
    </comment>
    <comment ref="D34" authorId="0" shapeId="0" xr:uid="{00000000-0006-0000-0200-00001A000000}">
      <text>
        <r>
          <rPr>
            <b/>
            <sz val="9"/>
            <color indexed="81"/>
            <rFont val="Tahoma"/>
            <family val="2"/>
          </rPr>
          <t>Usuario:</t>
        </r>
        <r>
          <rPr>
            <sz val="9"/>
            <color indexed="81"/>
            <rFont val="Tahoma"/>
            <family val="2"/>
          </rPr>
          <t xml:space="preserve">
(sugerencia, favor ajustar según su propia experiencia)</t>
        </r>
      </text>
    </comment>
    <comment ref="J34" authorId="0" shapeId="0" xr:uid="{00000000-0006-0000-0200-00001B000000}">
      <text>
        <r>
          <rPr>
            <b/>
            <sz val="9"/>
            <color indexed="81"/>
            <rFont val="Tahoma"/>
            <family val="2"/>
          </rPr>
          <t>Usuario:</t>
        </r>
        <r>
          <rPr>
            <sz val="9"/>
            <color indexed="81"/>
            <rFont val="Tahoma"/>
            <family val="2"/>
          </rPr>
          <t xml:space="preserve">
(sugerencia, favor ajustar según su propia experiencia)</t>
        </r>
      </text>
    </comment>
    <comment ref="D35" authorId="0" shapeId="0" xr:uid="{00000000-0006-0000-0200-00001C000000}">
      <text>
        <r>
          <rPr>
            <b/>
            <sz val="9"/>
            <color indexed="81"/>
            <rFont val="Tahoma"/>
            <family val="2"/>
          </rPr>
          <t>Usuario:</t>
        </r>
        <r>
          <rPr>
            <sz val="9"/>
            <color indexed="81"/>
            <rFont val="Tahoma"/>
            <family val="2"/>
          </rPr>
          <t xml:space="preserve">
(sugerencia, favor ajustar según su propia experiencia)</t>
        </r>
      </text>
    </comment>
    <comment ref="J35" authorId="0" shapeId="0" xr:uid="{00000000-0006-0000-0200-00001D000000}">
      <text>
        <r>
          <rPr>
            <b/>
            <sz val="9"/>
            <color indexed="81"/>
            <rFont val="Tahoma"/>
            <family val="2"/>
          </rPr>
          <t>Usuario:</t>
        </r>
        <r>
          <rPr>
            <sz val="9"/>
            <color indexed="81"/>
            <rFont val="Tahoma"/>
            <family val="2"/>
          </rPr>
          <t xml:space="preserve">
(sugerencia, favor ajustar según su propia experiencia)</t>
        </r>
      </text>
    </comment>
    <comment ref="J72" authorId="0" shapeId="0" xr:uid="{00000000-0006-0000-0200-00001E000000}">
      <text>
        <r>
          <rPr>
            <b/>
            <sz val="9"/>
            <color indexed="81"/>
            <rFont val="Tahoma"/>
            <family val="2"/>
          </rPr>
          <t>Usuario:</t>
        </r>
        <r>
          <rPr>
            <sz val="9"/>
            <color indexed="81"/>
            <rFont val="Tahoma"/>
            <family val="2"/>
          </rPr>
          <t xml:space="preserve">
Toro(s) inicial(es) más  primer novillo(s) criado(s) para reposición.</t>
        </r>
      </text>
    </comment>
    <comment ref="I73" authorId="0" shapeId="0" xr:uid="{00000000-0006-0000-0200-00001F000000}">
      <text>
        <r>
          <rPr>
            <b/>
            <sz val="9"/>
            <color indexed="81"/>
            <rFont val="Tahoma"/>
            <family val="2"/>
          </rPr>
          <t>Usuario:</t>
        </r>
        <r>
          <rPr>
            <sz val="9"/>
            <color indexed="81"/>
            <rFont val="Tahoma"/>
            <family val="2"/>
          </rPr>
          <t xml:space="preserve">
Vacas iniciales más novilla(s) criadas y dejadas el primer año para reposición.</t>
        </r>
      </text>
    </comment>
    <comment ref="H75" authorId="0" shapeId="0" xr:uid="{00000000-0006-0000-0200-000020000000}">
      <text>
        <r>
          <rPr>
            <b/>
            <sz val="9"/>
            <color indexed="81"/>
            <rFont val="Tahoma"/>
            <family val="2"/>
          </rPr>
          <t>Usuario:</t>
        </r>
        <r>
          <rPr>
            <sz val="9"/>
            <color indexed="81"/>
            <rFont val="Tahoma"/>
            <family val="2"/>
          </rPr>
          <t xml:space="preserve">
Ternero de 1 a 2 años que se dejo el año anterior como reposición.</t>
        </r>
      </text>
    </comment>
    <comment ref="L75" authorId="0" shapeId="0" xr:uid="{00000000-0006-0000-0200-000021000000}">
      <text>
        <r>
          <rPr>
            <b/>
            <sz val="9"/>
            <color indexed="81"/>
            <rFont val="Tahoma"/>
            <family val="2"/>
          </rPr>
          <t>Usuario:</t>
        </r>
        <r>
          <rPr>
            <sz val="9"/>
            <color indexed="81"/>
            <rFont val="Tahoma"/>
            <family val="2"/>
          </rPr>
          <t xml:space="preserve">
Ternero de 1 a 2 años que se dejo el año anterior como reposición</t>
        </r>
      </text>
    </comment>
    <comment ref="G80" authorId="0" shapeId="0" xr:uid="{00000000-0006-0000-0200-000022000000}">
      <text>
        <r>
          <rPr>
            <b/>
            <sz val="9"/>
            <color indexed="81"/>
            <rFont val="Tahoma"/>
            <family val="2"/>
          </rPr>
          <t>Usuario:</t>
        </r>
        <r>
          <rPr>
            <sz val="9"/>
            <color indexed="81"/>
            <rFont val="Tahoma"/>
            <family val="2"/>
          </rPr>
          <t xml:space="preserve">
Número de terneros nacidos menos número de terneros dejados para reposición.</t>
        </r>
      </text>
    </comment>
    <comment ref="H80" authorId="0" shapeId="0" xr:uid="{00000000-0006-0000-0200-000023000000}">
      <text>
        <r>
          <rPr>
            <b/>
            <sz val="9"/>
            <color indexed="81"/>
            <rFont val="Tahoma"/>
            <family val="2"/>
          </rPr>
          <t>Usuario:</t>
        </r>
        <r>
          <rPr>
            <sz val="9"/>
            <color indexed="81"/>
            <rFont val="Tahoma"/>
            <family val="2"/>
          </rPr>
          <t xml:space="preserve">
Número de terneros nacidos menos número de terneros dejados para reposición.</t>
        </r>
      </text>
    </comment>
    <comment ref="I80" authorId="0" shapeId="0" xr:uid="{00000000-0006-0000-0200-000024000000}">
      <text>
        <r>
          <rPr>
            <b/>
            <sz val="9"/>
            <color indexed="81"/>
            <rFont val="Tahoma"/>
            <family val="2"/>
          </rPr>
          <t>Usuario:</t>
        </r>
        <r>
          <rPr>
            <sz val="9"/>
            <color indexed="81"/>
            <rFont val="Tahoma"/>
            <family val="2"/>
          </rPr>
          <t xml:space="preserve">
Número de terneros nacidos menos número de terneros dejados para reposición.</t>
        </r>
      </text>
    </comment>
    <comment ref="J80" authorId="0" shapeId="0" xr:uid="{00000000-0006-0000-0200-000025000000}">
      <text>
        <r>
          <rPr>
            <b/>
            <sz val="9"/>
            <color indexed="81"/>
            <rFont val="Tahoma"/>
            <family val="2"/>
          </rPr>
          <t>Usuario:</t>
        </r>
        <r>
          <rPr>
            <sz val="9"/>
            <color indexed="81"/>
            <rFont val="Tahoma"/>
            <family val="2"/>
          </rPr>
          <t xml:space="preserve">
Número de terneros nacidos menos número de terneros dejados para reposición.</t>
        </r>
      </text>
    </comment>
    <comment ref="K80" authorId="0" shapeId="0" xr:uid="{00000000-0006-0000-0200-000026000000}">
      <text>
        <r>
          <rPr>
            <b/>
            <sz val="9"/>
            <color indexed="81"/>
            <rFont val="Tahoma"/>
            <family val="2"/>
          </rPr>
          <t>Usuario:</t>
        </r>
        <r>
          <rPr>
            <sz val="9"/>
            <color indexed="81"/>
            <rFont val="Tahoma"/>
            <family val="2"/>
          </rPr>
          <t xml:space="preserve">
Número de terneros nacidos menos número de terneros dejados para reposición.</t>
        </r>
      </text>
    </comment>
    <comment ref="L80" authorId="0" shapeId="0" xr:uid="{00000000-0006-0000-0200-000027000000}">
      <text>
        <r>
          <rPr>
            <b/>
            <sz val="9"/>
            <color indexed="81"/>
            <rFont val="Tahoma"/>
            <family val="2"/>
          </rPr>
          <t>Usuario:</t>
        </r>
        <r>
          <rPr>
            <sz val="9"/>
            <color indexed="81"/>
            <rFont val="Tahoma"/>
            <family val="2"/>
          </rPr>
          <t xml:space="preserve">
Número de terneros nacidos menos número de terneros dejados para reposición.</t>
        </r>
      </text>
    </comment>
    <comment ref="M80" authorId="0" shapeId="0" xr:uid="{00000000-0006-0000-0200-000028000000}">
      <text>
        <r>
          <rPr>
            <b/>
            <sz val="9"/>
            <color indexed="81"/>
            <rFont val="Tahoma"/>
            <family val="2"/>
          </rPr>
          <t>Usuario:</t>
        </r>
        <r>
          <rPr>
            <sz val="9"/>
            <color indexed="81"/>
            <rFont val="Tahoma"/>
            <family val="2"/>
          </rPr>
          <t xml:space="preserve">
Número de terneros nacidos menos número de terneros dejados para reposición.</t>
        </r>
      </text>
    </comment>
    <comment ref="N80" authorId="0" shapeId="0" xr:uid="{00000000-0006-0000-0200-000029000000}">
      <text>
        <r>
          <rPr>
            <b/>
            <sz val="9"/>
            <color indexed="81"/>
            <rFont val="Tahoma"/>
            <family val="2"/>
          </rPr>
          <t>Usuario:</t>
        </r>
        <r>
          <rPr>
            <sz val="9"/>
            <color indexed="81"/>
            <rFont val="Tahoma"/>
            <family val="2"/>
          </rPr>
          <t xml:space="preserve">
Número de terneros nacidos menos número de terneros dejados para reposición.</t>
        </r>
      </text>
    </comment>
    <comment ref="O80" authorId="0" shapeId="0" xr:uid="{00000000-0006-0000-0200-00002A000000}">
      <text>
        <r>
          <rPr>
            <b/>
            <sz val="9"/>
            <color indexed="81"/>
            <rFont val="Tahoma"/>
            <family val="2"/>
          </rPr>
          <t>Usuario:</t>
        </r>
        <r>
          <rPr>
            <sz val="9"/>
            <color indexed="81"/>
            <rFont val="Tahoma"/>
            <family val="2"/>
          </rPr>
          <t xml:space="preserve">
Número de terneros nacidos menos número de terneros dejados para reposición.</t>
        </r>
      </text>
    </comment>
    <comment ref="J81" authorId="0" shapeId="0" xr:uid="{00000000-0006-0000-0200-00002B000000}">
      <text>
        <r>
          <rPr>
            <b/>
            <sz val="9"/>
            <color indexed="81"/>
            <rFont val="Tahoma"/>
            <family val="2"/>
          </rPr>
          <t>Usuario:</t>
        </r>
        <r>
          <rPr>
            <sz val="9"/>
            <color indexed="81"/>
            <rFont val="Tahoma"/>
            <family val="2"/>
          </rPr>
          <t xml:space="preserve">
Primer toro de descarte</t>
        </r>
      </text>
    </comment>
    <comment ref="K81" authorId="0" shapeId="0" xr:uid="{00000000-0006-0000-0200-00002C000000}">
      <text>
        <r>
          <rPr>
            <b/>
            <sz val="9"/>
            <color indexed="81"/>
            <rFont val="Tahoma"/>
            <family val="2"/>
          </rPr>
          <t>Usuario:</t>
        </r>
        <r>
          <rPr>
            <sz val="9"/>
            <color indexed="81"/>
            <rFont val="Tahoma"/>
            <family val="2"/>
          </rPr>
          <t xml:space="preserve">
Segundo toro de descarte</t>
        </r>
      </text>
    </comment>
    <comment ref="M81" authorId="0" shapeId="0" xr:uid="{00000000-0006-0000-0200-00002D000000}">
      <text>
        <r>
          <rPr>
            <b/>
            <sz val="9"/>
            <color indexed="81"/>
            <rFont val="Tahoma"/>
            <family val="2"/>
          </rPr>
          <t>Usuario:</t>
        </r>
        <r>
          <rPr>
            <sz val="9"/>
            <color indexed="81"/>
            <rFont val="Tahoma"/>
            <family val="2"/>
          </rPr>
          <t xml:space="preserve">
Tercer toro de descarte</t>
        </r>
      </text>
    </comment>
    <comment ref="N81" authorId="0" shapeId="0" xr:uid="{00000000-0006-0000-0200-00002E000000}">
      <text>
        <r>
          <rPr>
            <b/>
            <sz val="9"/>
            <color indexed="81"/>
            <rFont val="Tahoma"/>
            <family val="2"/>
          </rPr>
          <t>Usuario:</t>
        </r>
        <r>
          <rPr>
            <sz val="9"/>
            <color indexed="81"/>
            <rFont val="Tahoma"/>
            <family val="2"/>
          </rPr>
          <t xml:space="preserve">
Cuarto toro de desacrte</t>
        </r>
      </text>
    </comment>
    <comment ref="K82" authorId="0" shapeId="0" xr:uid="{00000000-0006-0000-0200-00002F000000}">
      <text>
        <r>
          <rPr>
            <b/>
            <sz val="9"/>
            <color indexed="81"/>
            <rFont val="Tahoma"/>
            <family val="2"/>
          </rPr>
          <t>Usuario:</t>
        </r>
        <r>
          <rPr>
            <sz val="9"/>
            <color indexed="81"/>
            <rFont val="Tahoma"/>
            <family val="2"/>
          </rPr>
          <t xml:space="preserve">
Vacas de despaje (15% aprox de las vacas iniciales) </t>
        </r>
      </text>
    </comment>
    <comment ref="L82" authorId="0" shapeId="0" xr:uid="{00000000-0006-0000-0200-000030000000}">
      <text>
        <r>
          <rPr>
            <b/>
            <sz val="9"/>
            <color indexed="81"/>
            <rFont val="Tahoma"/>
            <family val="2"/>
          </rPr>
          <t>Usuario:</t>
        </r>
        <r>
          <rPr>
            <sz val="9"/>
            <color indexed="81"/>
            <rFont val="Tahoma"/>
            <family val="2"/>
          </rPr>
          <t xml:space="preserve">
Vacas de despaje (15% aprox de las vacas iniciales) </t>
        </r>
      </text>
    </comment>
    <comment ref="M82" authorId="0" shapeId="0" xr:uid="{00000000-0006-0000-0200-000031000000}">
      <text>
        <r>
          <rPr>
            <b/>
            <sz val="9"/>
            <color indexed="81"/>
            <rFont val="Tahoma"/>
            <family val="2"/>
          </rPr>
          <t>Usuario:</t>
        </r>
        <r>
          <rPr>
            <sz val="9"/>
            <color indexed="81"/>
            <rFont val="Tahoma"/>
            <family val="2"/>
          </rPr>
          <t xml:space="preserve">
Vacas de despaje (15% aprox de las vacas iniciales) </t>
        </r>
      </text>
    </comment>
    <comment ref="N82" authorId="0" shapeId="0" xr:uid="{00000000-0006-0000-0200-000032000000}">
      <text>
        <r>
          <rPr>
            <b/>
            <sz val="9"/>
            <color indexed="81"/>
            <rFont val="Tahoma"/>
            <family val="2"/>
          </rPr>
          <t>Usuario:</t>
        </r>
        <r>
          <rPr>
            <sz val="9"/>
            <color indexed="81"/>
            <rFont val="Tahoma"/>
            <family val="2"/>
          </rPr>
          <t xml:space="preserve">
Vacas de despaje (15% aprox de las vacas iniciales) </t>
        </r>
      </text>
    </comment>
    <comment ref="O82" authorId="0" shapeId="0" xr:uid="{00000000-0006-0000-0200-000033000000}">
      <text>
        <r>
          <rPr>
            <b/>
            <sz val="9"/>
            <color indexed="81"/>
            <rFont val="Tahoma"/>
            <family val="2"/>
          </rPr>
          <t>Usuario:</t>
        </r>
        <r>
          <rPr>
            <sz val="9"/>
            <color indexed="81"/>
            <rFont val="Tahoma"/>
            <family val="2"/>
          </rPr>
          <t xml:space="preserve">
Vacas de despaje (15% aprox de las vacas iniciales)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12" authorId="0" shapeId="0" xr:uid="{00000000-0006-0000-0300-000001000000}">
      <text>
        <r>
          <rPr>
            <b/>
            <sz val="9"/>
            <color indexed="81"/>
            <rFont val="Tahoma"/>
            <family val="2"/>
          </rPr>
          <t>Usuario:</t>
        </r>
        <r>
          <rPr>
            <sz val="9"/>
            <color indexed="81"/>
            <rFont val="Tahoma"/>
            <family val="2"/>
          </rPr>
          <t xml:space="preserve">
Venta primer toro descartado, promedio 500 kilos a $7000/kg</t>
        </r>
      </text>
    </comment>
    <comment ref="H12" authorId="0" shapeId="0" xr:uid="{00000000-0006-0000-0300-000002000000}">
      <text>
        <r>
          <rPr>
            <b/>
            <sz val="9"/>
            <color indexed="81"/>
            <rFont val="Tahoma"/>
            <family val="2"/>
          </rPr>
          <t>Usuario:</t>
        </r>
        <r>
          <rPr>
            <sz val="9"/>
            <color indexed="81"/>
            <rFont val="Tahoma"/>
            <family val="2"/>
          </rPr>
          <t xml:space="preserve">
Venta primer lote 5 vacas de descarte, promedio 350 kilos a $7500/kg y segundo toro descartado, promedio 500 kilos a $7500/Kg
</t>
        </r>
      </text>
    </comment>
    <comment ref="I12" authorId="0" shapeId="0" xr:uid="{00000000-0006-0000-0300-000003000000}">
      <text>
        <r>
          <rPr>
            <b/>
            <sz val="9"/>
            <color indexed="81"/>
            <rFont val="Tahoma"/>
            <family val="2"/>
          </rPr>
          <t>Usuario:</t>
        </r>
        <r>
          <rPr>
            <sz val="9"/>
            <color indexed="81"/>
            <rFont val="Tahoma"/>
            <family val="2"/>
          </rPr>
          <t xml:space="preserve">
Venta segundo lote 5 vacas de descarte, promedio 350 kilos a $8000/kg
</t>
        </r>
      </text>
    </comment>
    <comment ref="J12" authorId="0" shapeId="0" xr:uid="{00000000-0006-0000-0300-000004000000}">
      <text>
        <r>
          <rPr>
            <b/>
            <sz val="9"/>
            <color indexed="81"/>
            <rFont val="Tahoma"/>
            <family val="2"/>
          </rPr>
          <t>Usuario:</t>
        </r>
        <r>
          <rPr>
            <sz val="9"/>
            <color indexed="81"/>
            <rFont val="Tahoma"/>
            <family val="2"/>
          </rPr>
          <t xml:space="preserve">
Venta tercer lote 5 vacas de descarte, promedio 350 kilos a $8500/kg, más un toro de descarte promedio 500 kilos a $8500/Kg
</t>
        </r>
      </text>
    </comment>
    <comment ref="K12" authorId="0" shapeId="0" xr:uid="{00000000-0006-0000-0300-000005000000}">
      <text>
        <r>
          <rPr>
            <b/>
            <sz val="9"/>
            <color indexed="81"/>
            <rFont val="Tahoma"/>
            <family val="2"/>
          </rPr>
          <t>Usuario:</t>
        </r>
        <r>
          <rPr>
            <sz val="9"/>
            <color indexed="81"/>
            <rFont val="Tahoma"/>
            <family val="2"/>
          </rPr>
          <t xml:space="preserve">
Venta cuarto lote 5 vacas de descarte, promedio 350 kilos a $9000/kg, más un toro de descarte promedio 500 kilos a $9000/Kg</t>
        </r>
      </text>
    </comment>
    <comment ref="L12" authorId="0" shapeId="0" xr:uid="{00000000-0006-0000-0300-000006000000}">
      <text>
        <r>
          <rPr>
            <b/>
            <sz val="9"/>
            <color indexed="81"/>
            <rFont val="Tahoma"/>
            <family val="2"/>
          </rPr>
          <t>Usuario:</t>
        </r>
        <r>
          <rPr>
            <sz val="9"/>
            <color indexed="81"/>
            <rFont val="Tahoma"/>
            <family val="2"/>
          </rPr>
          <t xml:space="preserve">
Venta quinto lote 5 vacas de descarte, promedio 350 kilos a $9500/kg,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H4" authorId="0" shapeId="0" xr:uid="{00000000-0006-0000-0400-000001000000}">
      <text>
        <r>
          <rPr>
            <b/>
            <sz val="9"/>
            <color indexed="81"/>
            <rFont val="Tahoma"/>
            <family val="2"/>
          </rPr>
          <t>Usuario:</t>
        </r>
        <r>
          <rPr>
            <sz val="9"/>
            <color indexed="81"/>
            <rFont val="Tahoma"/>
            <family val="2"/>
          </rPr>
          <t xml:space="preserve">
Escriba aquí el número de Ha de su predio ganadero</t>
        </r>
      </text>
    </comment>
    <comment ref="H5" authorId="0" shapeId="0" xr:uid="{00000000-0006-0000-0400-000002000000}">
      <text>
        <r>
          <rPr>
            <b/>
            <sz val="9"/>
            <color indexed="81"/>
            <rFont val="Tahoma"/>
            <family val="2"/>
          </rPr>
          <t>Usuario:</t>
        </r>
        <r>
          <rPr>
            <sz val="9"/>
            <color indexed="81"/>
            <rFont val="Tahoma"/>
            <family val="2"/>
          </rPr>
          <t xml:space="preserve">
Escriba aquí el valor a día de hoy del kilo en pie de machos destetos</t>
        </r>
      </text>
    </comment>
    <comment ref="H6" authorId="0" shapeId="0" xr:uid="{00000000-0006-0000-0400-000003000000}">
      <text>
        <r>
          <rPr>
            <b/>
            <sz val="9"/>
            <color indexed="81"/>
            <rFont val="Tahoma"/>
            <family val="2"/>
          </rPr>
          <t>Usuario:</t>
        </r>
        <r>
          <rPr>
            <sz val="9"/>
            <color indexed="81"/>
            <rFont val="Tahoma"/>
            <family val="2"/>
          </rPr>
          <t xml:space="preserve">
Escriba aquí el peso promedio de los machos destetos que posee o con los que desea comenzar su producción de levante.</t>
        </r>
      </text>
    </comment>
    <comment ref="H7" authorId="0" shapeId="0" xr:uid="{00000000-0006-0000-0400-000004000000}">
      <text>
        <r>
          <rPr>
            <b/>
            <sz val="9"/>
            <color indexed="81"/>
            <rFont val="Tahoma"/>
            <family val="2"/>
          </rPr>
          <t>Usuario:</t>
        </r>
        <r>
          <rPr>
            <sz val="9"/>
            <color indexed="81"/>
            <rFont val="Tahoma"/>
            <family val="2"/>
          </rPr>
          <t xml:space="preserve">
Escriba aquí el número de terneros destetos que posee o con los que piensa iniciar su producción de levante. Tenga en cuenta la capacidad de carga de su predio.</t>
        </r>
      </text>
    </comment>
    <comment ref="E14" authorId="0" shapeId="0" xr:uid="{00000000-0006-0000-0400-000005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15" authorId="0" shapeId="0" xr:uid="{00000000-0006-0000-0400-000006000000}">
      <text>
        <r>
          <rPr>
            <b/>
            <sz val="9"/>
            <color indexed="81"/>
            <rFont val="Tahoma"/>
            <family val="2"/>
          </rPr>
          <t>Usuario:</t>
        </r>
        <r>
          <rPr>
            <sz val="9"/>
            <color indexed="81"/>
            <rFont val="Tahoma"/>
            <family val="2"/>
          </rPr>
          <t xml:space="preserve">
Valor estimado según edad y condición. Ajuste según sus propias características</t>
        </r>
      </text>
    </comment>
    <comment ref="E16" authorId="0" shapeId="0" xr:uid="{00000000-0006-0000-0400-000007000000}">
      <text>
        <r>
          <rPr>
            <b/>
            <sz val="9"/>
            <color indexed="81"/>
            <rFont val="Tahoma"/>
            <family val="2"/>
          </rPr>
          <t>Usuario:</t>
        </r>
        <r>
          <rPr>
            <sz val="9"/>
            <color indexed="81"/>
            <rFont val="Tahoma"/>
            <family val="2"/>
          </rPr>
          <t xml:space="preserve">
Ajuste según su propia condición</t>
        </r>
      </text>
    </comment>
    <comment ref="D17" authorId="0" shapeId="0" xr:uid="{00000000-0006-0000-0400-000008000000}">
      <text>
        <r>
          <rPr>
            <b/>
            <sz val="9"/>
            <color indexed="81"/>
            <rFont val="Tahoma"/>
            <family val="2"/>
          </rPr>
          <t>Usuario:</t>
        </r>
        <r>
          <rPr>
            <sz val="9"/>
            <color indexed="81"/>
            <rFont val="Tahoma"/>
            <family val="2"/>
          </rPr>
          <t xml:space="preserve">
Favor ajustar según sus necesidades en un año.
</t>
        </r>
      </text>
    </comment>
    <comment ref="E17" authorId="0" shapeId="0" xr:uid="{00000000-0006-0000-0400-000009000000}">
      <text>
        <r>
          <rPr>
            <b/>
            <sz val="9"/>
            <color indexed="81"/>
            <rFont val="Tahoma"/>
            <family val="2"/>
          </rPr>
          <t>Usuario:</t>
        </r>
        <r>
          <rPr>
            <sz val="9"/>
            <color indexed="81"/>
            <rFont val="Tahoma"/>
            <family val="2"/>
          </rPr>
          <t xml:space="preserve">
Ajuste según valor promedio en el mercado</t>
        </r>
      </text>
    </comment>
    <comment ref="D18" authorId="0" shapeId="0" xr:uid="{00000000-0006-0000-0400-00000A000000}">
      <text>
        <r>
          <rPr>
            <b/>
            <sz val="9"/>
            <color indexed="81"/>
            <rFont val="Tahoma"/>
            <family val="2"/>
          </rPr>
          <t>Usuario:</t>
        </r>
        <r>
          <rPr>
            <sz val="9"/>
            <color indexed="81"/>
            <rFont val="Tahoma"/>
            <family val="2"/>
          </rPr>
          <t xml:space="preserve">
Favor ajustar según sus necesidades en un año.</t>
        </r>
      </text>
    </comment>
    <comment ref="E18" authorId="0" shapeId="0" xr:uid="{00000000-0006-0000-0400-00000B000000}">
      <text>
        <r>
          <rPr>
            <b/>
            <sz val="9"/>
            <color indexed="81"/>
            <rFont val="Tahoma"/>
            <family val="2"/>
          </rPr>
          <t>Usuario:</t>
        </r>
        <r>
          <rPr>
            <sz val="9"/>
            <color indexed="81"/>
            <rFont val="Tahoma"/>
            <family val="2"/>
          </rPr>
          <t xml:space="preserve">
Ajuste según valor promedio en el mercado</t>
        </r>
      </text>
    </comment>
    <comment ref="E19" authorId="0" shapeId="0" xr:uid="{00000000-0006-0000-0400-00000C000000}">
      <text>
        <r>
          <rPr>
            <b/>
            <sz val="9"/>
            <color indexed="81"/>
            <rFont val="Tahoma"/>
            <family val="2"/>
          </rPr>
          <t>Usuario:</t>
        </r>
        <r>
          <rPr>
            <sz val="9"/>
            <color indexed="81"/>
            <rFont val="Tahoma"/>
            <family val="2"/>
          </rPr>
          <t xml:space="preserve">
Ajuste según valor promedio en el mercado</t>
        </r>
      </text>
    </comment>
    <comment ref="E20" authorId="0" shapeId="0" xr:uid="{00000000-0006-0000-0400-00000D000000}">
      <text>
        <r>
          <rPr>
            <b/>
            <sz val="9"/>
            <color indexed="81"/>
            <rFont val="Tahoma"/>
            <family val="2"/>
          </rPr>
          <t>Usuario:</t>
        </r>
        <r>
          <rPr>
            <sz val="9"/>
            <color indexed="81"/>
            <rFont val="Tahoma"/>
            <family val="2"/>
          </rPr>
          <t xml:space="preserve">
Ajuste según valor promedio en el mercado del dinero promedio invertido en este rubro en un año. Ajuste por favor.</t>
        </r>
      </text>
    </comment>
    <comment ref="E21" authorId="0" shapeId="0" xr:uid="{00000000-0006-0000-0400-00000E000000}">
      <text>
        <r>
          <rPr>
            <b/>
            <sz val="9"/>
            <color indexed="81"/>
            <rFont val="Tahoma"/>
            <family val="2"/>
          </rPr>
          <t>Usuario:</t>
        </r>
        <r>
          <rPr>
            <sz val="9"/>
            <color indexed="81"/>
            <rFont val="Tahoma"/>
            <family val="2"/>
          </rPr>
          <t xml:space="preserve">
Ajuste según valor promedio en el mercado del dinero promedio invertido en este rubro en un año. Ajuste por favor.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D6" authorId="0" shapeId="0" xr:uid="{00000000-0006-0000-0500-000001000000}">
      <text>
        <r>
          <rPr>
            <b/>
            <sz val="9"/>
            <color indexed="81"/>
            <rFont val="Tahoma"/>
            <family val="2"/>
          </rPr>
          <t>Usuario:</t>
        </r>
        <r>
          <rPr>
            <sz val="9"/>
            <color indexed="81"/>
            <rFont val="Tahoma"/>
            <family val="2"/>
          </rPr>
          <t xml:space="preserve">
Dividir el valor del kilogramos en mil
</t>
        </r>
      </text>
    </comment>
    <comment ref="E7" authorId="0" shapeId="0" xr:uid="{00000000-0006-0000-0500-000002000000}">
      <text>
        <r>
          <rPr>
            <b/>
            <sz val="9"/>
            <color indexed="81"/>
            <rFont val="Tahoma"/>
            <family val="2"/>
          </rPr>
          <t>Usuario:</t>
        </r>
        <r>
          <rPr>
            <sz val="9"/>
            <color indexed="81"/>
            <rFont val="Tahoma"/>
            <family val="2"/>
          </rPr>
          <t xml:space="preserve">
(sugerencia, favor ajustar según su propia experiencia)</t>
        </r>
      </text>
    </comment>
    <comment ref="G7" authorId="0" shapeId="0" xr:uid="{00000000-0006-0000-0500-000003000000}">
      <text>
        <r>
          <rPr>
            <b/>
            <sz val="9"/>
            <color indexed="81"/>
            <rFont val="Tahoma"/>
            <family val="2"/>
          </rPr>
          <t>Usuario:</t>
        </r>
        <r>
          <rPr>
            <sz val="9"/>
            <color indexed="81"/>
            <rFont val="Tahoma"/>
            <family val="2"/>
          </rPr>
          <t xml:space="preserve">
(sugerencia, favor ajustar según su propia experiencia)</t>
        </r>
      </text>
    </comment>
    <comment ref="I7" authorId="0" shapeId="0" xr:uid="{00000000-0006-0000-0500-000004000000}">
      <text>
        <r>
          <rPr>
            <b/>
            <sz val="9"/>
            <color indexed="81"/>
            <rFont val="Tahoma"/>
            <family val="2"/>
          </rPr>
          <t>Usuario:</t>
        </r>
        <r>
          <rPr>
            <sz val="9"/>
            <color indexed="81"/>
            <rFont val="Tahoma"/>
            <family val="2"/>
          </rPr>
          <t xml:space="preserve">
(sugerencia, favor ajustar según su propia experiencia)</t>
        </r>
      </text>
    </comment>
    <comment ref="E8" authorId="0" shapeId="0" xr:uid="{00000000-0006-0000-0500-000005000000}">
      <text>
        <r>
          <rPr>
            <b/>
            <sz val="9"/>
            <color indexed="81"/>
            <rFont val="Tahoma"/>
            <family val="2"/>
          </rPr>
          <t>Usuario:</t>
        </r>
        <r>
          <rPr>
            <sz val="9"/>
            <color indexed="81"/>
            <rFont val="Tahoma"/>
            <family val="2"/>
          </rPr>
          <t xml:space="preserve">
(sugerencia, favor ajustar según su propia experiencia)</t>
        </r>
      </text>
    </comment>
    <comment ref="G8" authorId="0" shapeId="0" xr:uid="{00000000-0006-0000-0500-000006000000}">
      <text>
        <r>
          <rPr>
            <b/>
            <sz val="9"/>
            <color indexed="81"/>
            <rFont val="Tahoma"/>
            <family val="2"/>
          </rPr>
          <t>Usuario:</t>
        </r>
        <r>
          <rPr>
            <sz val="9"/>
            <color indexed="81"/>
            <rFont val="Tahoma"/>
            <family val="2"/>
          </rPr>
          <t xml:space="preserve">
(sugerencia, favor ajustar según su propia experiencia)</t>
        </r>
      </text>
    </comment>
    <comment ref="I8" authorId="0" shapeId="0" xr:uid="{00000000-0006-0000-0500-000007000000}">
      <text>
        <r>
          <rPr>
            <b/>
            <sz val="9"/>
            <color indexed="81"/>
            <rFont val="Tahoma"/>
            <family val="2"/>
          </rPr>
          <t>Usuario:</t>
        </r>
        <r>
          <rPr>
            <sz val="9"/>
            <color indexed="81"/>
            <rFont val="Tahoma"/>
            <family val="2"/>
          </rPr>
          <t xml:space="preserve">
(sugerencia, favor ajustar según su propia experiencia)</t>
        </r>
      </text>
    </comment>
    <comment ref="E9" authorId="0" shapeId="0" xr:uid="{00000000-0006-0000-0500-000008000000}">
      <text>
        <r>
          <rPr>
            <b/>
            <sz val="9"/>
            <color indexed="81"/>
            <rFont val="Tahoma"/>
            <family val="2"/>
          </rPr>
          <t>Usuario:</t>
        </r>
        <r>
          <rPr>
            <sz val="9"/>
            <color indexed="81"/>
            <rFont val="Tahoma"/>
            <family val="2"/>
          </rPr>
          <t xml:space="preserve">
(sugerencia, favor ajustar según su propia experiencia)</t>
        </r>
      </text>
    </comment>
    <comment ref="G9" authorId="0" shapeId="0" xr:uid="{00000000-0006-0000-0500-000009000000}">
      <text>
        <r>
          <rPr>
            <b/>
            <sz val="9"/>
            <color indexed="81"/>
            <rFont val="Tahoma"/>
            <family val="2"/>
          </rPr>
          <t>Usuario:</t>
        </r>
        <r>
          <rPr>
            <sz val="9"/>
            <color indexed="81"/>
            <rFont val="Tahoma"/>
            <family val="2"/>
          </rPr>
          <t xml:space="preserve">
(sugerencia, favor ajustar según su propia experiencia)</t>
        </r>
      </text>
    </comment>
    <comment ref="E10" authorId="0" shapeId="0" xr:uid="{00000000-0006-0000-0500-00000A000000}">
      <text>
        <r>
          <rPr>
            <b/>
            <sz val="9"/>
            <color indexed="81"/>
            <rFont val="Tahoma"/>
            <family val="2"/>
          </rPr>
          <t>Usuario:</t>
        </r>
        <r>
          <rPr>
            <sz val="9"/>
            <color indexed="81"/>
            <rFont val="Tahoma"/>
            <family val="2"/>
          </rPr>
          <t xml:space="preserve">
(sugerencia, favor ajustar según su propia experiencia)</t>
        </r>
      </text>
    </comment>
    <comment ref="G10" authorId="0" shapeId="0" xr:uid="{00000000-0006-0000-0500-00000B000000}">
      <text>
        <r>
          <rPr>
            <b/>
            <sz val="9"/>
            <color indexed="81"/>
            <rFont val="Tahoma"/>
            <family val="2"/>
          </rPr>
          <t>Usuario:</t>
        </r>
        <r>
          <rPr>
            <sz val="9"/>
            <color indexed="81"/>
            <rFont val="Tahoma"/>
            <family val="2"/>
          </rPr>
          <t xml:space="preserve">
(sugerencia, favor ajustar según su propia experiencia)</t>
        </r>
      </text>
    </comment>
    <comment ref="I10" authorId="0" shapeId="0" xr:uid="{00000000-0006-0000-0500-00000C000000}">
      <text>
        <r>
          <rPr>
            <b/>
            <sz val="9"/>
            <color indexed="81"/>
            <rFont val="Tahoma"/>
            <family val="2"/>
          </rPr>
          <t>Usuario:</t>
        </r>
        <r>
          <rPr>
            <sz val="9"/>
            <color indexed="81"/>
            <rFont val="Tahoma"/>
            <family val="2"/>
          </rPr>
          <t xml:space="preserve">
(sugerencia, favor ajustar según su propia experiencia)</t>
        </r>
      </text>
    </comment>
    <comment ref="D17" authorId="0" shapeId="0" xr:uid="{00000000-0006-0000-0500-00000D000000}">
      <text>
        <r>
          <rPr>
            <b/>
            <sz val="9"/>
            <color indexed="81"/>
            <rFont val="Tahoma"/>
            <family val="2"/>
          </rPr>
          <t>Usuario:</t>
        </r>
        <r>
          <rPr>
            <sz val="9"/>
            <color indexed="81"/>
            <rFont val="Tahoma"/>
            <family val="2"/>
          </rPr>
          <t xml:space="preserve">
Ivermectina $180 cc por 8 cc /animal dos veces al año (Sugerencia favor ajustar)</t>
        </r>
      </text>
    </comment>
    <comment ref="D20" authorId="0" shapeId="0" xr:uid="{00000000-0006-0000-0500-00000E000000}">
      <text>
        <r>
          <rPr>
            <b/>
            <sz val="9"/>
            <color indexed="81"/>
            <rFont val="Tahoma"/>
            <family val="2"/>
          </rPr>
          <t>Usuario:</t>
        </r>
        <r>
          <rPr>
            <sz val="9"/>
            <color indexed="81"/>
            <rFont val="Tahoma"/>
            <family val="2"/>
          </rPr>
          <t xml:space="preserve">
$250 cc por 4 cc por animal dos veces al año (sugerencia, favor ajustar)</t>
        </r>
      </text>
    </comment>
    <comment ref="D21" authorId="0" shapeId="0" xr:uid="{00000000-0006-0000-0500-00000F000000}">
      <text>
        <r>
          <rPr>
            <b/>
            <sz val="9"/>
            <color indexed="81"/>
            <rFont val="Tahoma"/>
            <family val="2"/>
          </rPr>
          <t>Usuario:</t>
        </r>
        <r>
          <rPr>
            <sz val="9"/>
            <color indexed="81"/>
            <rFont val="Tahoma"/>
            <family val="2"/>
          </rPr>
          <t xml:space="preserve">
Dosis de Oxitetraciclina LA ($5.000) y dosis de  Hemoparasiticida ($10.000) estimado para 15 animales en el año (sugerencia, favor ajsutar)</t>
        </r>
      </text>
    </comment>
    <comment ref="D28" authorId="0" shapeId="0" xr:uid="{00000000-0006-0000-0500-000010000000}">
      <text>
        <r>
          <rPr>
            <b/>
            <sz val="9"/>
            <color indexed="81"/>
            <rFont val="Tahoma"/>
            <family val="2"/>
          </rPr>
          <t>Usuario:</t>
        </r>
        <r>
          <rPr>
            <sz val="9"/>
            <color indexed="81"/>
            <rFont val="Tahoma"/>
            <family val="2"/>
          </rPr>
          <t xml:space="preserve">
Ajustar según su propia producción.</t>
        </r>
      </text>
    </comment>
    <comment ref="J28" authorId="0" shapeId="0" xr:uid="{00000000-0006-0000-0500-000011000000}">
      <text>
        <r>
          <rPr>
            <b/>
            <sz val="9"/>
            <color indexed="81"/>
            <rFont val="Tahoma"/>
            <family val="2"/>
          </rPr>
          <t>Usuario:</t>
        </r>
        <r>
          <rPr>
            <sz val="9"/>
            <color indexed="81"/>
            <rFont val="Tahoma"/>
            <family val="2"/>
          </rPr>
          <t xml:space="preserve">
Ajustar según su propia producción.</t>
        </r>
      </text>
    </comment>
    <comment ref="D29" authorId="0" shapeId="0" xr:uid="{00000000-0006-0000-0500-000012000000}">
      <text>
        <r>
          <rPr>
            <b/>
            <sz val="9"/>
            <color indexed="81"/>
            <rFont val="Tahoma"/>
            <family val="2"/>
          </rPr>
          <t>Usuario:</t>
        </r>
        <r>
          <rPr>
            <sz val="9"/>
            <color indexed="81"/>
            <rFont val="Tahoma"/>
            <family val="2"/>
          </rPr>
          <t xml:space="preserve">
Ajustar según su propia producción.</t>
        </r>
      </text>
    </comment>
    <comment ref="J29" authorId="0" shapeId="0" xr:uid="{00000000-0006-0000-0500-000013000000}">
      <text>
        <r>
          <rPr>
            <b/>
            <sz val="9"/>
            <color indexed="81"/>
            <rFont val="Tahoma"/>
            <family val="2"/>
          </rPr>
          <t>Usuario:</t>
        </r>
        <r>
          <rPr>
            <sz val="9"/>
            <color indexed="81"/>
            <rFont val="Tahoma"/>
            <family val="2"/>
          </rPr>
          <t xml:space="preserve">
Ajustar según su propia producción.</t>
        </r>
      </text>
    </comment>
    <comment ref="D30" authorId="0" shapeId="0" xr:uid="{00000000-0006-0000-0500-000014000000}">
      <text>
        <r>
          <rPr>
            <b/>
            <sz val="9"/>
            <color indexed="81"/>
            <rFont val="Tahoma"/>
            <family val="2"/>
          </rPr>
          <t>Usuario:</t>
        </r>
        <r>
          <rPr>
            <sz val="9"/>
            <color indexed="81"/>
            <rFont val="Tahoma"/>
            <family val="2"/>
          </rPr>
          <t xml:space="preserve">
Ajustar según su propia producción.</t>
        </r>
      </text>
    </comment>
    <comment ref="J30" authorId="0" shapeId="0" xr:uid="{00000000-0006-0000-0500-000015000000}">
      <text>
        <r>
          <rPr>
            <b/>
            <sz val="9"/>
            <color indexed="81"/>
            <rFont val="Tahoma"/>
            <family val="2"/>
          </rPr>
          <t>Usuario:</t>
        </r>
        <r>
          <rPr>
            <sz val="9"/>
            <color indexed="81"/>
            <rFont val="Tahoma"/>
            <family val="2"/>
          </rPr>
          <t xml:space="preserve">
Ajustar según su propia producción.</t>
        </r>
      </text>
    </comment>
    <comment ref="D31" authorId="0" shapeId="0" xr:uid="{00000000-0006-0000-0500-000016000000}">
      <text>
        <r>
          <rPr>
            <b/>
            <sz val="9"/>
            <color indexed="81"/>
            <rFont val="Tahoma"/>
            <family val="2"/>
          </rPr>
          <t>Usuario:</t>
        </r>
        <r>
          <rPr>
            <sz val="9"/>
            <color indexed="81"/>
            <rFont val="Tahoma"/>
            <family val="2"/>
          </rPr>
          <t xml:space="preserve">
Ajustar según su propia producción.</t>
        </r>
      </text>
    </comment>
    <comment ref="J31" authorId="0" shapeId="0" xr:uid="{00000000-0006-0000-0500-000017000000}">
      <text>
        <r>
          <rPr>
            <b/>
            <sz val="9"/>
            <color indexed="81"/>
            <rFont val="Tahoma"/>
            <family val="2"/>
          </rPr>
          <t>Usuario:</t>
        </r>
        <r>
          <rPr>
            <sz val="9"/>
            <color indexed="81"/>
            <rFont val="Tahoma"/>
            <family val="2"/>
          </rPr>
          <t xml:space="preserve">
Ajustar según su propia producción.</t>
        </r>
      </text>
    </comment>
    <comment ref="C65" authorId="0" shapeId="0" xr:uid="{00000000-0006-0000-0500-000018000000}">
      <text>
        <r>
          <rPr>
            <b/>
            <sz val="9"/>
            <color indexed="81"/>
            <rFont val="Tahoma"/>
            <family val="2"/>
          </rPr>
          <t>Usuario:</t>
        </r>
        <r>
          <rPr>
            <sz val="9"/>
            <color indexed="81"/>
            <rFont val="Tahoma"/>
            <family val="2"/>
          </rPr>
          <t xml:space="preserve">
Stres destete, Ganancia mínima 400 gr/día por 90 días
</t>
        </r>
      </text>
    </comment>
    <comment ref="D65" authorId="0" shapeId="0" xr:uid="{00000000-0006-0000-0500-000019000000}">
      <text>
        <r>
          <rPr>
            <b/>
            <sz val="9"/>
            <color indexed="81"/>
            <rFont val="Tahoma"/>
            <family val="2"/>
          </rPr>
          <t>Usuario:</t>
        </r>
        <r>
          <rPr>
            <sz val="9"/>
            <color indexed="81"/>
            <rFont val="Tahoma"/>
            <family val="2"/>
          </rPr>
          <t xml:space="preserve">
Ganancia mínima 500
 gr/día por 90 dias </t>
        </r>
      </text>
    </comment>
    <comment ref="E65" authorId="0" shapeId="0" xr:uid="{00000000-0006-0000-0500-00001A000000}">
      <text>
        <r>
          <rPr>
            <b/>
            <sz val="9"/>
            <color indexed="81"/>
            <rFont val="Tahoma"/>
            <family val="2"/>
          </rPr>
          <t>Usuario:</t>
        </r>
        <r>
          <rPr>
            <sz val="9"/>
            <color indexed="81"/>
            <rFont val="Tahoma"/>
            <family val="2"/>
          </rPr>
          <t xml:space="preserve">
Ganancia mínima 500 gr/día por 90 dias </t>
        </r>
      </text>
    </comment>
    <comment ref="F65" authorId="0" shapeId="0" xr:uid="{00000000-0006-0000-0500-00001B000000}">
      <text>
        <r>
          <rPr>
            <b/>
            <sz val="9"/>
            <color indexed="81"/>
            <rFont val="Tahoma"/>
            <family val="2"/>
          </rPr>
          <t>Usuario:</t>
        </r>
        <r>
          <rPr>
            <sz val="9"/>
            <color indexed="81"/>
            <rFont val="Tahoma"/>
            <family val="2"/>
          </rPr>
          <t xml:space="preserve">
Ganancia mínima 500 gr/día por 90 dias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H4" authorId="0" shapeId="0" xr:uid="{00000000-0006-0000-0600-000001000000}">
      <text>
        <r>
          <rPr>
            <b/>
            <sz val="9"/>
            <color indexed="81"/>
            <rFont val="Tahoma"/>
            <family val="2"/>
          </rPr>
          <t>Usuario:</t>
        </r>
        <r>
          <rPr>
            <sz val="9"/>
            <color indexed="81"/>
            <rFont val="Tahoma"/>
            <family val="2"/>
          </rPr>
          <t xml:space="preserve">
</t>
        </r>
        <r>
          <rPr>
            <b/>
            <sz val="9"/>
            <color indexed="81"/>
            <rFont val="Tahoma"/>
            <family val="2"/>
          </rPr>
          <t>Escriba aquí el valor promedio en pesos COP del kilo en pie de novillos de 2 años (precebos) en su región o zona de comercialización.</t>
        </r>
      </text>
    </comment>
    <comment ref="H5" authorId="0" shapeId="0" xr:uid="{00000000-0006-0000-0600-000002000000}">
      <text>
        <r>
          <rPr>
            <b/>
            <sz val="9"/>
            <color indexed="81"/>
            <rFont val="Tahoma"/>
            <family val="2"/>
          </rPr>
          <t>Usuario:</t>
        </r>
        <r>
          <rPr>
            <sz val="9"/>
            <color indexed="81"/>
            <rFont val="Tahoma"/>
            <family val="2"/>
          </rPr>
          <t xml:space="preserve">
</t>
        </r>
        <r>
          <rPr>
            <b/>
            <sz val="9"/>
            <color indexed="81"/>
            <rFont val="Tahoma"/>
            <family val="2"/>
          </rPr>
          <t xml:space="preserve">Escriba aquí el posible peso promedio esperado y/o alcanzado de los novillos (precebos) en su producción al finalizar el levante.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4" authorId="0" shapeId="0" xr:uid="{00000000-0006-0000-0700-000001000000}">
      <text>
        <r>
          <rPr>
            <b/>
            <sz val="9"/>
            <color indexed="81"/>
            <rFont val="Tahoma"/>
            <family val="2"/>
          </rPr>
          <t>Usuario:</t>
        </r>
        <r>
          <rPr>
            <sz val="9"/>
            <color indexed="81"/>
            <rFont val="Tahoma"/>
            <family val="2"/>
          </rPr>
          <t xml:space="preserve">
Escriba aquí el número de Ha de su predio ganadero</t>
        </r>
      </text>
    </comment>
    <comment ref="G5" authorId="0" shapeId="0" xr:uid="{00000000-0006-0000-0700-000002000000}">
      <text>
        <r>
          <rPr>
            <b/>
            <sz val="9"/>
            <color indexed="81"/>
            <rFont val="Tahoma"/>
            <family val="2"/>
          </rPr>
          <t>Usuario:</t>
        </r>
        <r>
          <rPr>
            <sz val="9"/>
            <color indexed="81"/>
            <rFont val="Tahoma"/>
            <family val="2"/>
          </rPr>
          <t xml:space="preserve">
Escriba aquí el valor a día de hoy del kilo en pie de novillo (a) precebos (320 Kg aprox)</t>
        </r>
      </text>
    </comment>
    <comment ref="G6" authorId="0" shapeId="0" xr:uid="{00000000-0006-0000-0700-000003000000}">
      <text>
        <r>
          <rPr>
            <b/>
            <sz val="9"/>
            <color indexed="81"/>
            <rFont val="Tahoma"/>
            <family val="2"/>
          </rPr>
          <t>Usuario:</t>
        </r>
        <r>
          <rPr>
            <sz val="9"/>
            <color indexed="81"/>
            <rFont val="Tahoma"/>
            <family val="2"/>
          </rPr>
          <t xml:space="preserve">
Escriba aquí el número de los machos levantados que posee o con los que desea comenzar su producción de ceba. Tenga en cuenta la capacidad de carga de su predio.</t>
        </r>
      </text>
    </comment>
    <comment ref="G7" authorId="0" shapeId="0" xr:uid="{00000000-0006-0000-0700-000004000000}">
      <text>
        <r>
          <rPr>
            <b/>
            <sz val="9"/>
            <color indexed="81"/>
            <rFont val="Tahoma"/>
            <family val="2"/>
          </rPr>
          <t>Usuario:</t>
        </r>
        <r>
          <rPr>
            <sz val="9"/>
            <color indexed="81"/>
            <rFont val="Tahoma"/>
            <family val="2"/>
          </rPr>
          <t xml:space="preserve">
Escriba aquí el peso promedio de los machos levantados que posee o con los que desea comenzar su producción de ceba.</t>
        </r>
      </text>
    </comment>
    <comment ref="E15" authorId="0" shapeId="0" xr:uid="{00000000-0006-0000-0700-000005000000}">
      <text>
        <r>
          <rPr>
            <b/>
            <sz val="9"/>
            <color indexed="81"/>
            <rFont val="Tahoma"/>
            <family val="2"/>
          </rPr>
          <t>Usuario:</t>
        </r>
        <r>
          <rPr>
            <sz val="9"/>
            <color indexed="81"/>
            <rFont val="Tahoma"/>
            <family val="2"/>
          </rPr>
          <t xml:space="preserve">
Valor estimado y promedio, dependiendo el precio del kilo en pie, además de la raza y condición del animal. Ajuste el valor según estas variables estipulando un precio promedio de sus animales</t>
        </r>
      </text>
    </comment>
    <comment ref="E16" authorId="0" shapeId="0" xr:uid="{00000000-0006-0000-0700-000006000000}">
      <text>
        <r>
          <rPr>
            <b/>
            <sz val="9"/>
            <color indexed="81"/>
            <rFont val="Tahoma"/>
            <family val="2"/>
          </rPr>
          <t>Usuario:</t>
        </r>
        <r>
          <rPr>
            <sz val="9"/>
            <color indexed="81"/>
            <rFont val="Tahoma"/>
            <family val="2"/>
          </rPr>
          <t xml:space="preserve">
Valor estimado según edad y condición. Ajuste según sus propias características</t>
        </r>
      </text>
    </comment>
    <comment ref="E17" authorId="0" shapeId="0" xr:uid="{00000000-0006-0000-0700-000007000000}">
      <text>
        <r>
          <rPr>
            <b/>
            <sz val="9"/>
            <color indexed="81"/>
            <rFont val="Tahoma"/>
            <family val="2"/>
          </rPr>
          <t>Usuario:</t>
        </r>
        <r>
          <rPr>
            <sz val="9"/>
            <color indexed="81"/>
            <rFont val="Tahoma"/>
            <family val="2"/>
          </rPr>
          <t xml:space="preserve">
Ajuste según su propia condición</t>
        </r>
      </text>
    </comment>
    <comment ref="D18" authorId="0" shapeId="0" xr:uid="{00000000-0006-0000-0700-000008000000}">
      <text>
        <r>
          <rPr>
            <b/>
            <sz val="9"/>
            <color indexed="81"/>
            <rFont val="Tahoma"/>
            <family val="2"/>
          </rPr>
          <t>Usuario:</t>
        </r>
        <r>
          <rPr>
            <sz val="9"/>
            <color indexed="81"/>
            <rFont val="Tahoma"/>
            <family val="2"/>
          </rPr>
          <t xml:space="preserve">
Favor ajustar según sus necesidades en un año.</t>
        </r>
      </text>
    </comment>
    <comment ref="E18" authorId="0" shapeId="0" xr:uid="{00000000-0006-0000-0700-000009000000}">
      <text>
        <r>
          <rPr>
            <b/>
            <sz val="9"/>
            <color indexed="81"/>
            <rFont val="Tahoma"/>
            <family val="2"/>
          </rPr>
          <t>Usuario:</t>
        </r>
        <r>
          <rPr>
            <sz val="9"/>
            <color indexed="81"/>
            <rFont val="Tahoma"/>
            <family val="2"/>
          </rPr>
          <t xml:space="preserve">
Ajuste según valor promedio en el mercado</t>
        </r>
      </text>
    </comment>
    <comment ref="D19" authorId="0" shapeId="0" xr:uid="{00000000-0006-0000-0700-00000A000000}">
      <text>
        <r>
          <rPr>
            <b/>
            <sz val="9"/>
            <color indexed="81"/>
            <rFont val="Tahoma"/>
            <family val="2"/>
          </rPr>
          <t>Usuario:</t>
        </r>
        <r>
          <rPr>
            <sz val="9"/>
            <color indexed="81"/>
            <rFont val="Tahoma"/>
            <family val="2"/>
          </rPr>
          <t xml:space="preserve">
Favor ajustar según sus necesidades en un año.</t>
        </r>
      </text>
    </comment>
    <comment ref="E19" authorId="0" shapeId="0" xr:uid="{00000000-0006-0000-0700-00000B000000}">
      <text>
        <r>
          <rPr>
            <b/>
            <sz val="9"/>
            <color indexed="81"/>
            <rFont val="Tahoma"/>
            <family val="2"/>
          </rPr>
          <t>Usuario:</t>
        </r>
        <r>
          <rPr>
            <sz val="9"/>
            <color indexed="81"/>
            <rFont val="Tahoma"/>
            <family val="2"/>
          </rPr>
          <t xml:space="preserve">
Ajuste según valor promedio en el mercado</t>
        </r>
      </text>
    </comment>
    <comment ref="E20" authorId="0" shapeId="0" xr:uid="{00000000-0006-0000-0700-00000C000000}">
      <text>
        <r>
          <rPr>
            <b/>
            <sz val="9"/>
            <color indexed="81"/>
            <rFont val="Tahoma"/>
            <family val="2"/>
          </rPr>
          <t>Usuario:</t>
        </r>
        <r>
          <rPr>
            <sz val="9"/>
            <color indexed="81"/>
            <rFont val="Tahoma"/>
            <family val="2"/>
          </rPr>
          <t xml:space="preserve">
Ajuste según valor promedio en el mercado</t>
        </r>
      </text>
    </comment>
    <comment ref="E21" authorId="0" shapeId="0" xr:uid="{00000000-0006-0000-0700-00000D000000}">
      <text>
        <r>
          <rPr>
            <b/>
            <sz val="9"/>
            <color indexed="81"/>
            <rFont val="Tahoma"/>
            <family val="2"/>
          </rPr>
          <t>Usuario:</t>
        </r>
        <r>
          <rPr>
            <sz val="9"/>
            <color indexed="81"/>
            <rFont val="Tahoma"/>
            <family val="2"/>
          </rPr>
          <t xml:space="preserve">
Ajuste según valor promedio en el mercado del dinero promedio invertido en este rubro en un año. Ajuste por favor.</t>
        </r>
      </text>
    </comment>
    <comment ref="E22" authorId="0" shapeId="0" xr:uid="{00000000-0006-0000-0700-00000E000000}">
      <text>
        <r>
          <rPr>
            <b/>
            <sz val="9"/>
            <color indexed="81"/>
            <rFont val="Tahoma"/>
            <family val="2"/>
          </rPr>
          <t>Usuario:</t>
        </r>
        <r>
          <rPr>
            <sz val="9"/>
            <color indexed="81"/>
            <rFont val="Tahoma"/>
            <family val="2"/>
          </rPr>
          <t xml:space="preserve">
ajuste según su propia condición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D6" authorId="0" shapeId="0" xr:uid="{00000000-0006-0000-0800-000001000000}">
      <text>
        <r>
          <rPr>
            <b/>
            <sz val="9"/>
            <color indexed="81"/>
            <rFont val="Tahoma"/>
            <family val="2"/>
          </rPr>
          <t>Usuario:</t>
        </r>
        <r>
          <rPr>
            <sz val="9"/>
            <color indexed="81"/>
            <rFont val="Tahoma"/>
            <family val="2"/>
          </rPr>
          <t xml:space="preserve">
Dividir el valor del kilogramos en mil
</t>
        </r>
      </text>
    </comment>
    <comment ref="E7" authorId="0" shapeId="0" xr:uid="{00000000-0006-0000-0800-000002000000}">
      <text>
        <r>
          <rPr>
            <b/>
            <sz val="9"/>
            <color indexed="81"/>
            <rFont val="Tahoma"/>
            <family val="2"/>
          </rPr>
          <t>Usuario:</t>
        </r>
        <r>
          <rPr>
            <sz val="9"/>
            <color indexed="81"/>
            <rFont val="Tahoma"/>
            <family val="2"/>
          </rPr>
          <t xml:space="preserve">
(sugerencia, favor ajustar según su propia experiencia)</t>
        </r>
      </text>
    </comment>
    <comment ref="G7" authorId="0" shapeId="0" xr:uid="{00000000-0006-0000-0800-000003000000}">
      <text>
        <r>
          <rPr>
            <b/>
            <sz val="9"/>
            <color indexed="81"/>
            <rFont val="Tahoma"/>
            <family val="2"/>
          </rPr>
          <t>Usuario:</t>
        </r>
        <r>
          <rPr>
            <sz val="9"/>
            <color indexed="81"/>
            <rFont val="Tahoma"/>
            <family val="2"/>
          </rPr>
          <t xml:space="preserve">
(sugerencia, favor ajustar según su propia experiencia)</t>
        </r>
      </text>
    </comment>
    <comment ref="I7" authorId="0" shapeId="0" xr:uid="{00000000-0006-0000-0800-000004000000}">
      <text>
        <r>
          <rPr>
            <b/>
            <sz val="9"/>
            <color indexed="81"/>
            <rFont val="Tahoma"/>
            <family val="2"/>
          </rPr>
          <t>Usuario:</t>
        </r>
        <r>
          <rPr>
            <sz val="9"/>
            <color indexed="81"/>
            <rFont val="Tahoma"/>
            <family val="2"/>
          </rPr>
          <t xml:space="preserve">
(sugerencia, favor ajustar según su propia experiencia)</t>
        </r>
      </text>
    </comment>
    <comment ref="E8" authorId="0" shapeId="0" xr:uid="{00000000-0006-0000-0800-000005000000}">
      <text>
        <r>
          <rPr>
            <b/>
            <sz val="9"/>
            <color indexed="81"/>
            <rFont val="Tahoma"/>
            <family val="2"/>
          </rPr>
          <t>Usuario:</t>
        </r>
        <r>
          <rPr>
            <sz val="9"/>
            <color indexed="81"/>
            <rFont val="Tahoma"/>
            <family val="2"/>
          </rPr>
          <t xml:space="preserve">
(sugerencia, favor ajustar según su propia experiencia)</t>
        </r>
      </text>
    </comment>
    <comment ref="G8" authorId="0" shapeId="0" xr:uid="{00000000-0006-0000-0800-000006000000}">
      <text>
        <r>
          <rPr>
            <b/>
            <sz val="9"/>
            <color indexed="81"/>
            <rFont val="Tahoma"/>
            <family val="2"/>
          </rPr>
          <t>Usuario:</t>
        </r>
        <r>
          <rPr>
            <sz val="9"/>
            <color indexed="81"/>
            <rFont val="Tahoma"/>
            <family val="2"/>
          </rPr>
          <t xml:space="preserve">
(sugerencia, favor ajustar según su propia experiencia)</t>
        </r>
      </text>
    </comment>
    <comment ref="I8" authorId="0" shapeId="0" xr:uid="{00000000-0006-0000-0800-000007000000}">
      <text>
        <r>
          <rPr>
            <b/>
            <sz val="9"/>
            <color indexed="81"/>
            <rFont val="Tahoma"/>
            <family val="2"/>
          </rPr>
          <t>Usuario:</t>
        </r>
        <r>
          <rPr>
            <sz val="9"/>
            <color indexed="81"/>
            <rFont val="Tahoma"/>
            <family val="2"/>
          </rPr>
          <t xml:space="preserve">
(sugerencia, favor ajustar según su propia experiencia)</t>
        </r>
      </text>
    </comment>
    <comment ref="E9" authorId="0" shapeId="0" xr:uid="{00000000-0006-0000-0800-000008000000}">
      <text>
        <r>
          <rPr>
            <b/>
            <sz val="9"/>
            <color indexed="81"/>
            <rFont val="Tahoma"/>
            <family val="2"/>
          </rPr>
          <t>Usuario:</t>
        </r>
        <r>
          <rPr>
            <sz val="9"/>
            <color indexed="81"/>
            <rFont val="Tahoma"/>
            <family val="2"/>
          </rPr>
          <t xml:space="preserve">
(sugerencia, favor ajustar según su propia experiencia)</t>
        </r>
      </text>
    </comment>
    <comment ref="G9" authorId="0" shapeId="0" xr:uid="{00000000-0006-0000-0800-000009000000}">
      <text>
        <r>
          <rPr>
            <b/>
            <sz val="9"/>
            <color indexed="81"/>
            <rFont val="Tahoma"/>
            <family val="2"/>
          </rPr>
          <t>Usuario:</t>
        </r>
        <r>
          <rPr>
            <sz val="9"/>
            <color indexed="81"/>
            <rFont val="Tahoma"/>
            <family val="2"/>
          </rPr>
          <t xml:space="preserve">
(sugerencia, favor ajustar según su propia experiencia)</t>
        </r>
      </text>
    </comment>
    <comment ref="I9" authorId="0" shapeId="0" xr:uid="{00000000-0006-0000-0800-00000A000000}">
      <text>
        <r>
          <rPr>
            <b/>
            <sz val="9"/>
            <color indexed="81"/>
            <rFont val="Tahoma"/>
            <family val="2"/>
          </rPr>
          <t>Usuario:</t>
        </r>
        <r>
          <rPr>
            <sz val="9"/>
            <color indexed="81"/>
            <rFont val="Tahoma"/>
            <family val="2"/>
          </rPr>
          <t xml:space="preserve">
(sugerencia, favor ajustar según su propia experiencia)</t>
        </r>
      </text>
    </comment>
    <comment ref="E10" authorId="0" shapeId="0" xr:uid="{00000000-0006-0000-0800-00000B000000}">
      <text>
        <r>
          <rPr>
            <b/>
            <sz val="9"/>
            <color indexed="81"/>
            <rFont val="Tahoma"/>
            <family val="2"/>
          </rPr>
          <t>Usuario:</t>
        </r>
        <r>
          <rPr>
            <sz val="9"/>
            <color indexed="81"/>
            <rFont val="Tahoma"/>
            <family val="2"/>
          </rPr>
          <t xml:space="preserve">
(sugerencia, favor ajustar según su propia experiencia)</t>
        </r>
      </text>
    </comment>
    <comment ref="G10" authorId="0" shapeId="0" xr:uid="{00000000-0006-0000-0800-00000C000000}">
      <text>
        <r>
          <rPr>
            <b/>
            <sz val="9"/>
            <color indexed="81"/>
            <rFont val="Tahoma"/>
            <family val="2"/>
          </rPr>
          <t>Usuario:</t>
        </r>
        <r>
          <rPr>
            <sz val="9"/>
            <color indexed="81"/>
            <rFont val="Tahoma"/>
            <family val="2"/>
          </rPr>
          <t xml:space="preserve">
(sugerencia, favor ajustar según su propia experiencia)</t>
        </r>
      </text>
    </comment>
    <comment ref="I10" authorId="0" shapeId="0" xr:uid="{00000000-0006-0000-0800-00000D000000}">
      <text>
        <r>
          <rPr>
            <b/>
            <sz val="9"/>
            <color indexed="81"/>
            <rFont val="Tahoma"/>
            <family val="2"/>
          </rPr>
          <t>Usuario:</t>
        </r>
        <r>
          <rPr>
            <sz val="9"/>
            <color indexed="81"/>
            <rFont val="Tahoma"/>
            <family val="2"/>
          </rPr>
          <t xml:space="preserve">
(sugerencia, favor ajustar según su propia experiencia)</t>
        </r>
      </text>
    </comment>
    <comment ref="D17" authorId="0" shapeId="0" xr:uid="{00000000-0006-0000-0800-00000E000000}">
      <text>
        <r>
          <rPr>
            <b/>
            <sz val="9"/>
            <color indexed="81"/>
            <rFont val="Tahoma"/>
            <family val="2"/>
          </rPr>
          <t>Usuario:</t>
        </r>
        <r>
          <rPr>
            <sz val="9"/>
            <color indexed="81"/>
            <rFont val="Tahoma"/>
            <family val="2"/>
          </rPr>
          <t xml:space="preserve">
Ivermectina $180 cc por 8 cc /animal dos veces al año (Sugerencia favor ajustar)</t>
        </r>
      </text>
    </comment>
    <comment ref="D20" authorId="0" shapeId="0" xr:uid="{00000000-0006-0000-0800-00000F000000}">
      <text>
        <r>
          <rPr>
            <b/>
            <sz val="9"/>
            <color indexed="81"/>
            <rFont val="Tahoma"/>
            <family val="2"/>
          </rPr>
          <t>Usuario:</t>
        </r>
        <r>
          <rPr>
            <sz val="9"/>
            <color indexed="81"/>
            <rFont val="Tahoma"/>
            <family val="2"/>
          </rPr>
          <t xml:space="preserve">
$250 cc por 4 cc por animal dos veces al año (sugerencia, favor ajustar)</t>
        </r>
      </text>
    </comment>
    <comment ref="D21" authorId="0" shapeId="0" xr:uid="{00000000-0006-0000-0800-000010000000}">
      <text>
        <r>
          <rPr>
            <b/>
            <sz val="9"/>
            <color indexed="81"/>
            <rFont val="Tahoma"/>
            <family val="2"/>
          </rPr>
          <t>Usuario:</t>
        </r>
        <r>
          <rPr>
            <sz val="9"/>
            <color indexed="81"/>
            <rFont val="Tahoma"/>
            <family val="2"/>
          </rPr>
          <t xml:space="preserve">
Dosis de Oxitetraciclina LA ($5.000) y dosis de  Hemoparasiticida ($10.000) estimado para 15 animales en el año (sugerencia, favor ajsutar)</t>
        </r>
      </text>
    </comment>
    <comment ref="D28" authorId="0" shapeId="0" xr:uid="{00000000-0006-0000-0800-000011000000}">
      <text>
        <r>
          <rPr>
            <b/>
            <sz val="9"/>
            <color indexed="81"/>
            <rFont val="Tahoma"/>
            <family val="2"/>
          </rPr>
          <t>Usuario:</t>
        </r>
        <r>
          <rPr>
            <sz val="9"/>
            <color indexed="81"/>
            <rFont val="Tahoma"/>
            <family val="2"/>
          </rPr>
          <t xml:space="preserve">
Ajustar según su propia producción.</t>
        </r>
      </text>
    </comment>
    <comment ref="J28" authorId="0" shapeId="0" xr:uid="{00000000-0006-0000-0800-000012000000}">
      <text>
        <r>
          <rPr>
            <b/>
            <sz val="9"/>
            <color indexed="81"/>
            <rFont val="Tahoma"/>
            <family val="2"/>
          </rPr>
          <t>Usuario:</t>
        </r>
        <r>
          <rPr>
            <sz val="9"/>
            <color indexed="81"/>
            <rFont val="Tahoma"/>
            <family val="2"/>
          </rPr>
          <t xml:space="preserve">
Ajustar según su propia producción.</t>
        </r>
      </text>
    </comment>
    <comment ref="D29" authorId="0" shapeId="0" xr:uid="{00000000-0006-0000-0800-000013000000}">
      <text>
        <r>
          <rPr>
            <b/>
            <sz val="9"/>
            <color indexed="81"/>
            <rFont val="Tahoma"/>
            <family val="2"/>
          </rPr>
          <t>Usuario:</t>
        </r>
        <r>
          <rPr>
            <sz val="9"/>
            <color indexed="81"/>
            <rFont val="Tahoma"/>
            <family val="2"/>
          </rPr>
          <t xml:space="preserve">
Ajustar según su propia producción.</t>
        </r>
      </text>
    </comment>
    <comment ref="J29" authorId="0" shapeId="0" xr:uid="{00000000-0006-0000-0800-000014000000}">
      <text>
        <r>
          <rPr>
            <b/>
            <sz val="9"/>
            <color indexed="81"/>
            <rFont val="Tahoma"/>
            <family val="2"/>
          </rPr>
          <t>Usuario:</t>
        </r>
        <r>
          <rPr>
            <sz val="9"/>
            <color indexed="81"/>
            <rFont val="Tahoma"/>
            <family val="2"/>
          </rPr>
          <t xml:space="preserve">
Ajustar según su propia producción.</t>
        </r>
      </text>
    </comment>
    <comment ref="D30" authorId="0" shapeId="0" xr:uid="{00000000-0006-0000-0800-000015000000}">
      <text>
        <r>
          <rPr>
            <b/>
            <sz val="9"/>
            <color indexed="81"/>
            <rFont val="Tahoma"/>
            <family val="2"/>
          </rPr>
          <t>Usuario:</t>
        </r>
        <r>
          <rPr>
            <sz val="9"/>
            <color indexed="81"/>
            <rFont val="Tahoma"/>
            <family val="2"/>
          </rPr>
          <t xml:space="preserve">
Ajustar según su propia producción.</t>
        </r>
      </text>
    </comment>
    <comment ref="J30" authorId="0" shapeId="0" xr:uid="{00000000-0006-0000-0800-000016000000}">
      <text>
        <r>
          <rPr>
            <b/>
            <sz val="9"/>
            <color indexed="81"/>
            <rFont val="Tahoma"/>
            <family val="2"/>
          </rPr>
          <t>Usuario:</t>
        </r>
        <r>
          <rPr>
            <sz val="9"/>
            <color indexed="81"/>
            <rFont val="Tahoma"/>
            <family val="2"/>
          </rPr>
          <t xml:space="preserve">
Ajustar según su propia producción.</t>
        </r>
      </text>
    </comment>
    <comment ref="D31" authorId="0" shapeId="0" xr:uid="{00000000-0006-0000-0800-000017000000}">
      <text>
        <r>
          <rPr>
            <b/>
            <sz val="9"/>
            <color indexed="81"/>
            <rFont val="Tahoma"/>
            <family val="2"/>
          </rPr>
          <t>Usuario:</t>
        </r>
        <r>
          <rPr>
            <sz val="9"/>
            <color indexed="81"/>
            <rFont val="Tahoma"/>
            <family val="2"/>
          </rPr>
          <t xml:space="preserve">
Ajustar según su propia producción.</t>
        </r>
      </text>
    </comment>
    <comment ref="J31" authorId="0" shapeId="0" xr:uid="{00000000-0006-0000-0800-000018000000}">
      <text>
        <r>
          <rPr>
            <b/>
            <sz val="9"/>
            <color indexed="81"/>
            <rFont val="Tahoma"/>
            <family val="2"/>
          </rPr>
          <t>Usuario:</t>
        </r>
        <r>
          <rPr>
            <sz val="9"/>
            <color indexed="81"/>
            <rFont val="Tahoma"/>
            <family val="2"/>
          </rPr>
          <t xml:space="preserve">
Ajustar según su propia producción.</t>
        </r>
      </text>
    </comment>
    <comment ref="C66" authorId="0" shapeId="0" xr:uid="{00000000-0006-0000-0800-000019000000}">
      <text>
        <r>
          <rPr>
            <b/>
            <sz val="9"/>
            <color indexed="81"/>
            <rFont val="Tahoma"/>
            <family val="2"/>
          </rPr>
          <t>Usuario:</t>
        </r>
        <r>
          <rPr>
            <sz val="9"/>
            <color indexed="81"/>
            <rFont val="Tahoma"/>
            <family val="2"/>
          </rPr>
          <t xml:space="preserve">
Ganancia mínima 440 gr/día por 90 días
</t>
        </r>
      </text>
    </comment>
    <comment ref="D66" authorId="0" shapeId="0" xr:uid="{00000000-0006-0000-0800-00001A000000}">
      <text>
        <r>
          <rPr>
            <b/>
            <sz val="9"/>
            <color indexed="81"/>
            <rFont val="Tahoma"/>
            <family val="2"/>
          </rPr>
          <t>Usuario:</t>
        </r>
        <r>
          <rPr>
            <sz val="9"/>
            <color indexed="81"/>
            <rFont val="Tahoma"/>
            <family val="2"/>
          </rPr>
          <t xml:space="preserve">
Ganancia mínima 450
 gr/día por 90 dias </t>
        </r>
      </text>
    </comment>
    <comment ref="E66" authorId="0" shapeId="0" xr:uid="{00000000-0006-0000-0800-00001B000000}">
      <text>
        <r>
          <rPr>
            <b/>
            <sz val="9"/>
            <color indexed="81"/>
            <rFont val="Tahoma"/>
            <family val="2"/>
          </rPr>
          <t>Usuario:</t>
        </r>
        <r>
          <rPr>
            <sz val="9"/>
            <color indexed="81"/>
            <rFont val="Tahoma"/>
            <family val="2"/>
          </rPr>
          <t xml:space="preserve">
Ganancia mínima 450 gr/día por 90 dias </t>
        </r>
      </text>
    </comment>
    <comment ref="F66" authorId="0" shapeId="0" xr:uid="{00000000-0006-0000-0800-00001C000000}">
      <text>
        <r>
          <rPr>
            <b/>
            <sz val="9"/>
            <color indexed="81"/>
            <rFont val="Tahoma"/>
            <family val="2"/>
          </rPr>
          <t>Usuario:</t>
        </r>
        <r>
          <rPr>
            <sz val="9"/>
            <color indexed="81"/>
            <rFont val="Tahoma"/>
            <family val="2"/>
          </rPr>
          <t xml:space="preserve">
Ganancia mínima 450 gr/día por 90 dias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H4" authorId="0" shapeId="0" xr:uid="{00000000-0006-0000-0900-000001000000}">
      <text>
        <r>
          <rPr>
            <b/>
            <sz val="9"/>
            <color indexed="81"/>
            <rFont val="Tahoma"/>
            <family val="2"/>
          </rPr>
          <t>Usuario:</t>
        </r>
        <r>
          <rPr>
            <sz val="9"/>
            <color indexed="81"/>
            <rFont val="Tahoma"/>
            <family val="2"/>
          </rPr>
          <t xml:space="preserve">
Escriba aquí el valor en aproximado en pesos COP del kilo en pie de novillos de 3 años cebado</t>
        </r>
      </text>
    </comment>
    <comment ref="H5" authorId="0" shapeId="0" xr:uid="{00000000-0006-0000-0900-000002000000}">
      <text>
        <r>
          <rPr>
            <b/>
            <sz val="9"/>
            <color indexed="81"/>
            <rFont val="Tahoma"/>
            <family val="2"/>
          </rPr>
          <t>Usuario:</t>
        </r>
        <r>
          <rPr>
            <sz val="9"/>
            <color indexed="81"/>
            <rFont val="Tahoma"/>
            <family val="2"/>
          </rPr>
          <t xml:space="preserve">
Escriba aquí el posible peso promedio alcanzado de los novillos (cebados) en su producción al finalizar la ceba. </t>
        </r>
      </text>
    </comment>
  </commentList>
</comments>
</file>

<file path=xl/sharedStrings.xml><?xml version="1.0" encoding="utf-8"?>
<sst xmlns="http://schemas.openxmlformats.org/spreadsheetml/2006/main" count="1232" uniqueCount="358">
  <si>
    <t>Instructivo general del ejercicio e ingreso de datos herramienta de costos de producción</t>
  </si>
  <si>
    <r>
      <t>Cuando ingrese a la herramienta encontrará 3 pestañas para cada una de las especialidades, 3 pestañas para</t>
    </r>
    <r>
      <rPr>
        <b/>
        <sz val="16"/>
        <color rgb="FFFFFF00"/>
        <rFont val="Arial"/>
        <family val="2"/>
      </rPr>
      <t xml:space="preserve"> cría, (amarillo), </t>
    </r>
    <r>
      <rPr>
        <sz val="16"/>
        <color rgb="FF404040"/>
        <rFont val="Arial"/>
        <family val="2"/>
      </rPr>
      <t xml:space="preserve">3 pestañas </t>
    </r>
    <r>
      <rPr>
        <b/>
        <sz val="16"/>
        <color rgb="FF4472C4"/>
        <rFont val="Arial"/>
        <family val="2"/>
      </rPr>
      <t xml:space="preserve">Levante o re cría (azul), </t>
    </r>
    <r>
      <rPr>
        <sz val="16"/>
        <color rgb="FF404040"/>
        <rFont val="Arial"/>
        <family val="2"/>
      </rPr>
      <t xml:space="preserve">3 pestañas </t>
    </r>
    <r>
      <rPr>
        <b/>
        <sz val="16"/>
        <color rgb="FFFF0000"/>
        <rFont val="Arial"/>
        <family val="2"/>
      </rPr>
      <t xml:space="preserve"> Ceba (rojo)</t>
    </r>
    <r>
      <rPr>
        <b/>
        <sz val="16"/>
        <color rgb="FF404040"/>
        <rFont val="Arial"/>
        <family val="2"/>
      </rPr>
      <t xml:space="preserve"> </t>
    </r>
    <r>
      <rPr>
        <sz val="16"/>
        <color rgb="FF404040"/>
        <rFont val="Arial"/>
        <family val="2"/>
      </rPr>
      <t>y</t>
    </r>
    <r>
      <rPr>
        <b/>
        <sz val="16"/>
        <color rgb="FF404040"/>
        <rFont val="Arial"/>
        <family val="2"/>
      </rPr>
      <t xml:space="preserve"> </t>
    </r>
    <r>
      <rPr>
        <sz val="16"/>
        <color rgb="FF404040"/>
        <rFont val="Arial"/>
        <family val="2"/>
      </rPr>
      <t xml:space="preserve">3 pestañas </t>
    </r>
    <r>
      <rPr>
        <b/>
        <sz val="16"/>
        <color rgb="FF7030A0"/>
        <rFont val="Arial"/>
        <family val="2"/>
      </rPr>
      <t>Ciclo Completo (fucsia</t>
    </r>
    <r>
      <rPr>
        <sz val="16"/>
        <color rgb="FF7030A0"/>
        <rFont val="Arial"/>
        <family val="2"/>
      </rPr>
      <t>)</t>
    </r>
    <r>
      <rPr>
        <sz val="16"/>
        <color rgb="FF404040"/>
        <rFont val="Arial"/>
        <family val="2"/>
      </rPr>
      <t>; ingrese a la especialización de su interés comenzando siempre por la pestaña "Inversiones", siguiendo con la de "Costos" y terminando en la pestaña "Ingresos y resultados"; siga las instrucciones y complete la información que la herramienta le irá pidiendo a medida que avance en el ejercicio, solo llenando las celdas requeridas, las demás no las modifique. El simulador igual se ajusta si usted quiere iniciar la producción o si esta ya está en marcha.</t>
    </r>
  </si>
  <si>
    <t>Cada una de las especializaciones contará con: Inversiones, Costos año e Ingresos</t>
  </si>
  <si>
    <r>
      <t>Inversiones:</t>
    </r>
    <r>
      <rPr>
        <sz val="16"/>
        <color rgb="FF404040"/>
        <rFont val="Arial"/>
        <family val="2"/>
      </rPr>
      <t xml:space="preserve"> En esta primera pestaña encontrará un simulador de datos de las inversiones iniciales necesarias para una explotación de bovinos de carne, según su especialidad (cría, recría o levante, ceba y ciclo completo) es aquí, donde usted deberá establecer datos básicos como el número de animales por sexo y por edad, el número de hectareas, (lo que mostrará la carga promedio), peso promedio de sus animales y costos básicos inherentes a su producción. En cada pestaña encontrará las indicaciones correspondientes, ingresando la información solo donde se le indique, sin modificar las demás celdas, luego de ello avance a la segunda pestaña (Ingresos).</t>
    </r>
  </si>
  <si>
    <r>
      <t xml:space="preserve">Costos Año </t>
    </r>
    <r>
      <rPr>
        <sz val="16"/>
        <color rgb="FF404040"/>
        <rFont val="Arial"/>
        <family val="2"/>
      </rPr>
      <t>: En esta pestaña encontrará un simulador de datos de los principales costos del primer año asociados a una explotación de bovinos para cada una de las especialidades, esta se nutre con los datos que usted ingreso en la primera pestaña (Inversiones) y los contrastará con otros datos ya pre establecidos, Acá usted tambien podrá establecer y/o cambiar el costo de los principales insumos según su propia experiencia para el número de animales por usted establecido en la  pestaña inversiones iniciales; De la misma manera en la pestaña encontrará las indicaciones correspondientes, sigalas sin modificar información que no se le pida.</t>
    </r>
  </si>
  <si>
    <r>
      <t>Ingresos:</t>
    </r>
    <r>
      <rPr>
        <sz val="16"/>
        <color rgb="FF404040"/>
        <rFont val="Arial"/>
        <family val="2"/>
      </rPr>
      <t xml:space="preserve"> En esta última pestaña se encontrarán las tablas con el simulador de datos de los ingresos en pesos COP que se pueden esperar año a año para una explotación de bovinos de carne y de la especialidad se su interes, según el número de animales establecidos por usted en la pestaña Inversiones Iniciales;  En esta pestaña no se debe completar niuguna información pues allí se reflejará el resultado de el procesamiento de las inversiones y costos contra la utilidad de su producción, tenga en cuenta que la información obtenida es aproximada y le servirá de guía para establecer prácticas o indicadores a mejorar, consulte siempre con el Médico Veterinario o el profesional de confianza.</t>
    </r>
  </si>
  <si>
    <r>
      <rPr>
        <b/>
        <sz val="16"/>
        <color rgb="FF404040"/>
        <rFont val="Arial"/>
        <family val="2"/>
      </rPr>
      <t>Resumen:</t>
    </r>
    <r>
      <rPr>
        <sz val="16"/>
        <color rgb="FF404040"/>
        <rFont val="Arial"/>
        <family val="2"/>
      </rPr>
      <t xml:space="preserve"> La última pestaña es un listado de las diferentes variables que puede obtener de la herramienta y su interpretación según el resultado, lo que le sugerirá si algún manejo o componente en especial es suceptible de mejorar.</t>
    </r>
  </si>
  <si>
    <t xml:space="preserve">Se recomienda efectuar el ejercicio cada 3 a 6 meses o cada vez que, por cualquier causa se experimente una entrada o salida significativa de animales a su producción. Tenga en cuenta que la herramienta no esta diseñada o apta para utilizarla y aspirar a un crédito en una entidad de financiamiento y que solo busca darle al usuario, de una manera sencilla y versatil, una idea del flujo de costos e ingresos de su producción bovina de carne según su especialidad y sus propias características, consulte siempre con su Médico Veterinario y/o Zootecnista o asesor técnico de confianza. </t>
  </si>
  <si>
    <t xml:space="preserve">Inversiones básicas ganadería bovina de carne especialización cría (sin ordeño) </t>
  </si>
  <si>
    <t>Número de Hectáreas</t>
  </si>
  <si>
    <t>ç</t>
  </si>
  <si>
    <r>
      <t xml:space="preserve">Para comenzar llene las columnas amarillas a lado y lado, siguiendo las indicaciones del comentario en cada celda y siga el flujo de las flechas.
</t>
    </r>
    <r>
      <rPr>
        <b/>
        <i/>
        <sz val="12"/>
        <color theme="1"/>
        <rFont val="Arial"/>
        <family val="2"/>
      </rPr>
      <t>(escriba solo numeros sin puntos ni comas, si no posee algun grupo etario marque cero)</t>
    </r>
  </si>
  <si>
    <t xml:space="preserve">Número de novillas preñadas/vacas </t>
  </si>
  <si>
    <r>
      <rPr>
        <b/>
        <sz val="14"/>
        <color theme="1"/>
        <rFont val="Arial"/>
        <family val="2"/>
      </rPr>
      <t>Valor aproximado actual de venta en pesos del Kilogramo en pie ternero</t>
    </r>
    <r>
      <rPr>
        <sz val="11"/>
        <color theme="1"/>
        <rFont val="Arial"/>
        <family val="2"/>
      </rPr>
      <t xml:space="preserve">
 </t>
    </r>
    <r>
      <rPr>
        <sz val="9"/>
        <color theme="1"/>
        <rFont val="Arial"/>
        <family val="2"/>
      </rPr>
      <t>(en su región o zona de comercialización)</t>
    </r>
  </si>
  <si>
    <t>Número toros</t>
  </si>
  <si>
    <r>
      <t xml:space="preserve">Terrneros </t>
    </r>
    <r>
      <rPr>
        <b/>
        <sz val="14"/>
        <color theme="1"/>
        <rFont val="Arial"/>
        <family val="2"/>
      </rPr>
      <t>≤ 1 año</t>
    </r>
  </si>
  <si>
    <t>è</t>
  </si>
  <si>
    <t>Terneros 1 a 2 años</t>
  </si>
  <si>
    <t>Novillos 2 a 3 años</t>
  </si>
  <si>
    <t>Terneras ≤ 1 año</t>
  </si>
  <si>
    <r>
      <rPr>
        <b/>
        <sz val="14"/>
        <color theme="1"/>
        <rFont val="Arial"/>
        <family val="2"/>
      </rPr>
      <t>Valor aproximado actual de venta en pesos del Kilogramo en pie toros /vacas despaje</t>
    </r>
    <r>
      <rPr>
        <sz val="14"/>
        <color theme="1"/>
        <rFont val="Arial"/>
        <family val="2"/>
      </rPr>
      <t xml:space="preserve"> </t>
    </r>
    <r>
      <rPr>
        <sz val="11"/>
        <color theme="1"/>
        <rFont val="Arial"/>
        <family val="2"/>
      </rPr>
      <t xml:space="preserve">
</t>
    </r>
    <r>
      <rPr>
        <sz val="9"/>
        <color theme="1"/>
        <rFont val="Arial"/>
        <family val="2"/>
      </rPr>
      <t>(en su región o zona de comercialización)</t>
    </r>
  </si>
  <si>
    <t>Terneras 1 a 2 años</t>
  </si>
  <si>
    <t>Novilla 2 a 3 años (vacias)</t>
  </si>
  <si>
    <t>Despajes en los proximos 6 meses (en caso de tenerlos, si no dejar en cero)</t>
  </si>
  <si>
    <t xml:space="preserve">Toros </t>
  </si>
  <si>
    <t>vacas  y/o novillas</t>
  </si>
  <si>
    <t>Total Hato</t>
  </si>
  <si>
    <t>ê</t>
  </si>
  <si>
    <t>Peso promedio novillas/ vacas preñadas</t>
  </si>
  <si>
    <r>
      <t>Ahora, a la izquierda en las casillas amarillas, inserte el peso promedio en kilogramos de sus animales por sexo y por edades, sumando el peso total de los animales y dividiéndolo entre el número de estos en cada grupo.
(</t>
    </r>
    <r>
      <rPr>
        <b/>
        <i/>
        <sz val="12"/>
        <rFont val="Arial"/>
        <family val="2"/>
      </rPr>
      <t>si no posee animales en algún grupo etario marque cero)</t>
    </r>
  </si>
  <si>
    <t>Peso promedio toros</t>
  </si>
  <si>
    <t>Peso promedio terneros ≤ 1 año</t>
  </si>
  <si>
    <t>Peso promedio terneros 1 a 2 años</t>
  </si>
  <si>
    <t>Peso promedio novillos 2 a 3 años</t>
  </si>
  <si>
    <t>Peso promedio terneras ≤ 1 año</t>
  </si>
  <si>
    <t>Peso promedio terneras 1 a 2 año</t>
  </si>
  <si>
    <t>Peso promedio novillas 2 a 3 años (vacias)</t>
  </si>
  <si>
    <t>↓↓↓</t>
  </si>
  <si>
    <t>Este  es un estimado de la capacidad de carga de su producción con relación al número de hectareas y animales por usted reportados.</t>
  </si>
  <si>
    <t>Capacidad de carga animal/Ha</t>
  </si>
  <si>
    <t>←←←</t>
  </si>
  <si>
    <t>↖↖↖</t>
  </si>
  <si>
    <t>Valor $</t>
  </si>
  <si>
    <r>
      <t>Luego de rellenar las 8 celdas amarillas, diríjase a la columna V/UNITARIO (solo modifique casillas en amarillo) e inserte los valores en pesos colombianos por animal según su caso, leyendo el instructivo de cada celda, las demás columnas por favor no las modifique. 
(</t>
    </r>
    <r>
      <rPr>
        <b/>
        <i/>
        <sz val="12"/>
        <color theme="1"/>
        <rFont val="Arial"/>
        <family val="2"/>
      </rPr>
      <t>si tiene equinos relacione cantidad y valor unitario promedio)</t>
    </r>
  </si>
  <si>
    <t>Concepto</t>
  </si>
  <si>
    <t>DETALLE</t>
  </si>
  <si>
    <t xml:space="preserve"> CANTIDAD</t>
  </si>
  <si>
    <t xml:space="preserve"> V/UNITARIO</t>
  </si>
  <si>
    <t xml:space="preserve"> V/TOTAL</t>
  </si>
  <si>
    <t>Participación</t>
  </si>
  <si>
    <t>Compra de animales</t>
  </si>
  <si>
    <t>Novillas preñadas/ vacas</t>
  </si>
  <si>
    <t>Equinos</t>
  </si>
  <si>
    <t xml:space="preserve">Animales  pre establecidos en la producción </t>
  </si>
  <si>
    <t>Terrneros menor 1 año</t>
  </si>
  <si>
    <t>Terneras menor 1 año</t>
  </si>
  <si>
    <t>Terneras 1 a 2 año</t>
  </si>
  <si>
    <t>Infraestructura</t>
  </si>
  <si>
    <t>Corral</t>
  </si>
  <si>
    <t>Diligenciados los datos anteriores diríjase a la siguiente pestaña llamada "Costo año cría"</t>
  </si>
  <si>
    <t xml:space="preserve">Cercas </t>
  </si>
  <si>
    <t>postes</t>
  </si>
  <si>
    <t>Maquinaria y equipo</t>
  </si>
  <si>
    <t>Bebederos, saladeros, machete, guadaña, bomba, lazos, otros</t>
  </si>
  <si>
    <t>inversiones en praderas</t>
  </si>
  <si>
    <t>Semillas</t>
  </si>
  <si>
    <t>Silvopastoriles</t>
  </si>
  <si>
    <t>Otros</t>
  </si>
  <si>
    <t xml:space="preserve">TOTAL  </t>
  </si>
  <si>
    <t>Costos estimados/año ganadería bovina de carne especialización cría (sin ordeño)</t>
  </si>
  <si>
    <t>Ajuste según su producción</t>
  </si>
  <si>
    <t>COSTOS DE ALIMENTACION</t>
  </si>
  <si>
    <t>INSTRUCTIVO DE LA PESTAÑA</t>
  </si>
  <si>
    <t>Animales</t>
  </si>
  <si>
    <t xml:space="preserve">valor unitario gramo/ pesos COP </t>
  </si>
  <si>
    <t>consumo diario/animal gramos</t>
  </si>
  <si>
    <t>costo dia pesos COP</t>
  </si>
  <si>
    <t>dias de consumo año</t>
  </si>
  <si>
    <t>Costo de alimentación/ ciclo</t>
  </si>
  <si>
    <t>Valor unidad bulto, paca, otro (pesos COP)</t>
  </si>
  <si>
    <t>Total consumo kg/año</t>
  </si>
  <si>
    <t>Total consumo
bultos o unidad de empaque</t>
  </si>
  <si>
    <t>Costo total/año (pesos COP)</t>
  </si>
  <si>
    <t>Sal Mineralizada</t>
  </si>
  <si>
    <r>
      <t xml:space="preserve">En esta pestaña usted podrá relacionar los costos básicos de una cría bovina de carne mes a mes para el primer año y anual por los primeros 10 años, de acuerdo a los datos rellenados en la pestaña anterior (INVERSIONES CRIA), recuerde solo completar las casillas en amarillo y dejar en cero si no aplica para su producción. </t>
    </r>
    <r>
      <rPr>
        <b/>
        <i/>
        <sz val="11"/>
        <color theme="1"/>
        <rFont val="Arial"/>
        <family val="2"/>
      </rPr>
      <t>(algunos cajones tienen el comentario adjunto de lo que significan).</t>
    </r>
  </si>
  <si>
    <t>Palmiste/ Concentrado</t>
  </si>
  <si>
    <t>Silo</t>
  </si>
  <si>
    <t>Melaza</t>
  </si>
  <si>
    <t>Total</t>
  </si>
  <si>
    <t>Tenga en cuenta que las casillas marcadas en color amarillo usted las podrá completar y/o ajustar (LAS DEMÁS NO LAS MODIFIQUE), según sus propios costos en insumos como sales, suplementos, antiparasitarios,vitaminas, antibioticos y costos fijos directos e indirectos como arrendamientos, servicios públicos, fletes y mano de obra entre otros.</t>
  </si>
  <si>
    <t>COSTOS SANIDAD</t>
  </si>
  <si>
    <t>COSTOS INSUMOS Y MANTENIMIENTO PRADERAS</t>
  </si>
  <si>
    <t>Valor/ animal</t>
  </si>
  <si>
    <t>Periodicidad/ año</t>
  </si>
  <si>
    <t>costo año</t>
  </si>
  <si>
    <t>Valor Ha</t>
  </si>
  <si>
    <t>Número de Hectareas</t>
  </si>
  <si>
    <t>Antiparasitarios</t>
  </si>
  <si>
    <t>Herbicidas</t>
  </si>
  <si>
    <t>Aftosa</t>
  </si>
  <si>
    <t>Fungicidas</t>
  </si>
  <si>
    <t>Carbon</t>
  </si>
  <si>
    <t>Acondicionadores</t>
  </si>
  <si>
    <t xml:space="preserve">Así mismo encontrará una tabla que mostrará el total de sus costos sumándolos por componente, sus costos estimados mes a mes para el primer año, y una más que le referenciará sus costos por animal y donde usted podra ajustar la inflación proyectada o estimada año a año (casillas amarillas). </t>
  </si>
  <si>
    <t xml:space="preserve">Brucella </t>
  </si>
  <si>
    <t>Coadyuvantes</t>
  </si>
  <si>
    <t>Neumoenteritis</t>
  </si>
  <si>
    <t>Vitaminas</t>
  </si>
  <si>
    <t>Antibioticos/ Hemoparasiticidas</t>
  </si>
  <si>
    <t>Otros (baños/ insecticidas/ jeringas/ orejeras/ otros)</t>
  </si>
  <si>
    <t>COSTOS FIJOS DIRECTOS</t>
  </si>
  <si>
    <t>COSTOS FIJOS  INDIRECTOS</t>
  </si>
  <si>
    <t>De igual manera en la parte inferior de esta pestaña encontrará un diagrama llamado "PROYECCIÓN" que realizará un cálculo aproximado del número de animales esperados año a año hasta por 10 años, según la edad y sexo y teniendo en cuenta animales de reemplazo, destetos a vender y animales de despaje, (recuerde que está diseñado para vender terneros (as) destetos) de acuerdo a los datos que usted alimento al iniciar el ejercicio, en las casillas en amarillo usted podra ajustar la tasa de natalidad esperada para su producción año a año y el valor del dolar al momento del ejercicio, esto ayudará a la herramienta a cálcular los ingresos aproximados y el tiempo para obtenerlos. Luego de revisarlos dirígase a la pestaña "Ingresos y resultados cría".</t>
  </si>
  <si>
    <t>cantidad/año</t>
  </si>
  <si>
    <t>Valor mensual</t>
  </si>
  <si>
    <t>valor año</t>
  </si>
  <si>
    <t>Mano de Obra/Jornales</t>
  </si>
  <si>
    <t>Costo de la tierra/ arriendo/ predial</t>
  </si>
  <si>
    <t>Combustible</t>
  </si>
  <si>
    <t xml:space="preserve">Insumos flete </t>
  </si>
  <si>
    <t>Servicios públicos</t>
  </si>
  <si>
    <t xml:space="preserve">Imprevistos  </t>
  </si>
  <si>
    <t>Mantenimiento Equipos y herramientas</t>
  </si>
  <si>
    <t>Otros costos</t>
  </si>
  <si>
    <t>Asistencia Técnica</t>
  </si>
  <si>
    <t>TOTAL COSTOS AÑO</t>
  </si>
  <si>
    <t>TOTAL COSTOS MENSUALES APROX PRIMER AÑO</t>
  </si>
  <si>
    <t>enero</t>
  </si>
  <si>
    <t>febrero</t>
  </si>
  <si>
    <t>marzo</t>
  </si>
  <si>
    <t xml:space="preserve">abril </t>
  </si>
  <si>
    <t>mayo</t>
  </si>
  <si>
    <t>junio</t>
  </si>
  <si>
    <t>julio</t>
  </si>
  <si>
    <t>agosto</t>
  </si>
  <si>
    <t>septiembre</t>
  </si>
  <si>
    <t>octubre</t>
  </si>
  <si>
    <t>noviembre</t>
  </si>
  <si>
    <t>diciembre</t>
  </si>
  <si>
    <t>Alimentación</t>
  </si>
  <si>
    <t>Sanidad</t>
  </si>
  <si>
    <t>Fijos directos</t>
  </si>
  <si>
    <t>Directos</t>
  </si>
  <si>
    <t>Fijos indirectos</t>
  </si>
  <si>
    <t>Indirectos</t>
  </si>
  <si>
    <t>Insumos mantenimiento praderas</t>
  </si>
  <si>
    <t xml:space="preserve">TOTAL </t>
  </si>
  <si>
    <t>Participación %</t>
  </si>
  <si>
    <t>Inflación Anual (%)</t>
  </si>
  <si>
    <t xml:space="preserve">Ajuste aquí la inflación proyectada o estimada año a año. </t>
  </si>
  <si>
    <t>ACTIVIDAD GANADERA</t>
  </si>
  <si>
    <t>ACTUAL</t>
  </si>
  <si>
    <t>Año 1</t>
  </si>
  <si>
    <t>Año 2</t>
  </si>
  <si>
    <t>Año 3</t>
  </si>
  <si>
    <t>Año 4</t>
  </si>
  <si>
    <t>Año 5</t>
  </si>
  <si>
    <t>Año 6</t>
  </si>
  <si>
    <t>Año 7</t>
  </si>
  <si>
    <t>Año 8</t>
  </si>
  <si>
    <t>Año 9</t>
  </si>
  <si>
    <t>Año 10</t>
  </si>
  <si>
    <t>Animales/año (estimado)</t>
  </si>
  <si>
    <t>Inversión inicial</t>
  </si>
  <si>
    <t>Costos alimentación</t>
  </si>
  <si>
    <t>Costos sanidad</t>
  </si>
  <si>
    <t>Costos directos</t>
  </si>
  <si>
    <t>Costos indirectos</t>
  </si>
  <si>
    <t>TOTAL COSTOS DE PRODUCCIÓN</t>
  </si>
  <si>
    <t>TOTAL COSTO APROX POR ANIMAL</t>
  </si>
  <si>
    <t>Proyección</t>
  </si>
  <si>
    <t>Esta es una proyección estimada del número de animales por edades y sexos, que se pueden esperar año a año según los datos que usted ha venido cargando, no modifique las casillas (solo la natalidad en azul de ser necesario) según su producción. Los colores son indicadores de flujo del tipo y número de animales esperados para el siguiente año del ejercicio.</t>
  </si>
  <si>
    <t>Natalidad (%)</t>
  </si>
  <si>
    <t>modifique  la fila de natalidad de ser necesario, según su producción o la que espera alcanzar en el tiempo.</t>
  </si>
  <si>
    <t>Intervalo entre partos (d)</t>
  </si>
  <si>
    <t>Toros</t>
  </si>
  <si>
    <t>Vacas/ Novillas preñadas</t>
  </si>
  <si>
    <t>terneros menor 1 año</t>
  </si>
  <si>
    <t>terneros 1 a 2 años</t>
  </si>
  <si>
    <t>novillos 2 a 3 años</t>
  </si>
  <si>
    <t>Novillas 2 a 3 años (vacias)</t>
  </si>
  <si>
    <t>Destetos a vender</t>
  </si>
  <si>
    <t>Toros a vender/despaje</t>
  </si>
  <si>
    <t>Vacas a vender/despaje</t>
  </si>
  <si>
    <t xml:space="preserve">Total a vender año </t>
  </si>
  <si>
    <t>Variable</t>
  </si>
  <si>
    <t>Peso de venta (Kg)</t>
  </si>
  <si>
    <t>Kilos vendidos Destetos (Kg/año)</t>
  </si>
  <si>
    <t>Kilos vendidos Toros y despajes (Kg/año)</t>
  </si>
  <si>
    <t>Kilos /ha/año</t>
  </si>
  <si>
    <t>Costo de producción ($/Kg)</t>
  </si>
  <si>
    <t>Costo Dia Abierto ($/d)</t>
  </si>
  <si>
    <t>TRM (COP/USD)</t>
  </si>
  <si>
    <t>Ajuste aquí el valor del dólar para el momento de realizar el ejercicio o año a año.</t>
  </si>
  <si>
    <t>Costo de producción (USD/Kg)</t>
  </si>
  <si>
    <t>Costo Día Abierto (USD/d)</t>
  </si>
  <si>
    <t xml:space="preserve">Ingresos ganadería bovina de carne especialización cría (sin ordeño) </t>
  </si>
  <si>
    <r>
      <rPr>
        <b/>
        <i/>
        <sz val="14"/>
        <color theme="1"/>
        <rFont val="Arial"/>
        <family val="2"/>
      </rPr>
      <t>No cambie ninguna celda de esta pestaña,</t>
    </r>
    <r>
      <rPr>
        <b/>
        <i/>
        <sz val="11"/>
        <color theme="1"/>
        <rFont val="Arial"/>
        <family val="2"/>
      </rPr>
      <t xml:space="preserve"> esta se alimenta de los datos del diagrama de proyección del número de animales que se encuentra en la parte inferior de la pestaña anterior (Costos año cría), y le dará un aproximado de ganancia y/o pérdida  año a año en pesos de acuerdo a los datos que usted ingresó al inicio del ejercicio; algunas celdas poseen comentario instructivo para que conozca el origen exacto del dato expuesto. De arrojar números negativos significa que usted deberá revisar los parámetros productivos y/o reproductivos, se recomienda asesorarse de un Médico Veterinario, Zootecnista o el profesional especializado de su confianza.</t>
    </r>
  </si>
  <si>
    <t>año 1</t>
  </si>
  <si>
    <t>año 2</t>
  </si>
  <si>
    <t>año 3</t>
  </si>
  <si>
    <t>año 4</t>
  </si>
  <si>
    <t>año 5</t>
  </si>
  <si>
    <t>año 6</t>
  </si>
  <si>
    <t>Número terneros</t>
  </si>
  <si>
    <t>$ kilo venta terneros</t>
  </si>
  <si>
    <t>$ Venta desteto 180 kg/9 meses</t>
  </si>
  <si>
    <t>Número vacas/ toros despaje</t>
  </si>
  <si>
    <t>$ kilo venta despajes</t>
  </si>
  <si>
    <t>$ Venta despajes 450 kg/promedio</t>
  </si>
  <si>
    <t>Total valor venta</t>
  </si>
  <si>
    <t>Costo</t>
  </si>
  <si>
    <t>Ganancia año</t>
  </si>
  <si>
    <t>Ganancia mes</t>
  </si>
  <si>
    <t>Ganancia año acumulada</t>
  </si>
  <si>
    <t>ROI</t>
  </si>
  <si>
    <t>Rentabilidad Real</t>
  </si>
  <si>
    <t>Inversiones iniciales ganadería bovina de carne especialización levante machos/hembras de 180 a 350 kg (12 meses)</t>
  </si>
  <si>
    <t>Para comenzar llene las celdas de color amarillo siguiendo las indicaciones del comentario en cada celda.</t>
  </si>
  <si>
    <t>Valor kilo pie COP (machos/hembras 180 Kg aprox)</t>
  </si>
  <si>
    <t>Peso promedio animal a la compra Kg</t>
  </si>
  <si>
    <t>Número de teneros destetos</t>
  </si>
  <si>
    <t>êè</t>
  </si>
  <si>
    <r>
      <t xml:space="preserve">Luego de rellenar las 4 celdas amarillas, diríjase a la columna V/UNITARIO e inserte en las casillas amarillas los valores en pesos colombianos por animal según su caso, leyendo el instructivo de cada celda, las demás columnas por favor no las modifique.
</t>
    </r>
    <r>
      <rPr>
        <b/>
        <i/>
        <sz val="10"/>
        <color theme="1"/>
        <rFont val="Arial"/>
        <family val="2"/>
      </rPr>
      <t>(si tiene equinos relacione cantidad y valor unitario promedio)</t>
    </r>
  </si>
  <si>
    <t>Terneros destetos</t>
  </si>
  <si>
    <t>Infraestructuta</t>
  </si>
  <si>
    <t>Diligenciados los datos anteriores diríjase a la siguiente pestaña llamada "Costo año levante"</t>
  </si>
  <si>
    <t>Costos/año ganadería bovina de carne especialización levante</t>
  </si>
  <si>
    <t>Costo de alimentacion/ciclo</t>
  </si>
  <si>
    <r>
      <t xml:space="preserve">En esta pestaña usted encontrará los principales costos de un levante de bovinos de carne mes a mes para el primer año y anual por los primeros 10 años, de acuerdo a los datos rellenados en la pestaña anterior (INVERSIONES LEVANTE), recuerde solo completar las casillas en amarillo y dejar en cero si no aplica para su producción </t>
    </r>
    <r>
      <rPr>
        <b/>
        <i/>
        <sz val="10"/>
        <color theme="1"/>
        <rFont val="Arial"/>
        <family val="2"/>
      </rPr>
      <t>(algunos cajones tienen el comentario adjunto de lo que significan).</t>
    </r>
  </si>
  <si>
    <t>Palmiste</t>
  </si>
  <si>
    <t>Tenga en cuenta que las casillas marcadas en color azul usted las podrá completar y/o ajustar (LAS DEMÁS NO LAS MODIFIQUE), según sus propios costos en insumos como sales, suplementos, antiparasitarios,vitaminas, antibioticos y costos directos e indirectos como arrendamientos, servicios públicos, fletes y mano de obra entre otros.</t>
  </si>
  <si>
    <t>Así mismo en la parte inferior de esta pestaña encontrará un diagrama llamado "PROYECCIÓN" y nos realizará un cálculo aproximado del número de animales esperados por trimestre y su peso mínimo esperado, según edad, de acuerdo a los datos que usted alimento al iniciar el ejercicio, y que ayudará a la herramienta a calcular los ingresos aproximados y el tiempo para obtenerlos. Luego de revisarlos podrá continuar a la pestaña "Ingresos levante".</t>
  </si>
  <si>
    <t>Antibioticos/  Hemoparasiticidas</t>
  </si>
  <si>
    <t>cantidad/ año</t>
  </si>
  <si>
    <t>Mano de Obra/ Jornales</t>
  </si>
  <si>
    <t xml:space="preserve">Total  </t>
  </si>
  <si>
    <t>Animales/año</t>
  </si>
  <si>
    <t>PROYECCIÓN NÚMERO DE ANIMALES Y PESO MÍNIMO A ALCANZAR</t>
  </si>
  <si>
    <t xml:space="preserve">AÑO 1 </t>
  </si>
  <si>
    <t>PRIMER TRIMESTRE</t>
  </si>
  <si>
    <t>SEGUNDO TRIMESTRE</t>
  </si>
  <si>
    <t>TERCER TRIMESTRE</t>
  </si>
  <si>
    <t>CUARTO TRIMESTRE</t>
  </si>
  <si>
    <t>Peso mínimo/ animal</t>
  </si>
  <si>
    <t>Ingresos ganadería bovina de carne especialización levante</t>
  </si>
  <si>
    <t>Valor kilo pie COP (machos/hembras 350 Kg aprox)</t>
  </si>
  <si>
    <t>Rellene las celdas amarillas según el instructivo.</t>
  </si>
  <si>
    <t>Peso promedio animal a la venta KG</t>
  </si>
  <si>
    <r>
      <rPr>
        <b/>
        <i/>
        <sz val="14"/>
        <color theme="1"/>
        <rFont val="Arial"/>
        <family val="2"/>
      </rPr>
      <t>Rellene unicamente las celdas en amarillo</t>
    </r>
    <r>
      <rPr>
        <b/>
        <i/>
        <sz val="11"/>
        <color theme="1"/>
        <rFont val="Arial"/>
        <family val="2"/>
      </rPr>
      <t>, esta pestaña se alimenta de los datos del diagrama de proyección del número de animales que se encuentra en la parte inferior de la pestaña anterior (Costos año levante), y le dará un aproximado de ganancia y/o pérdida  año a año en pesos de acuerdo a los datos que usted ingresó al inicio del ejercicio; algunas celdas poseen comentario instructivo para que conozca el origen exacto del dato expuesto. De arrojar números negativos significa que su producción esta excediendo el número de animales a sostener, y deberá revisar los parámetros productivos, se recomienda asesorarse de un Médico Veterinario Zootecnista o un profesional especializado.</t>
    </r>
  </si>
  <si>
    <t>Número animales</t>
  </si>
  <si>
    <t xml:space="preserve">$ kilo venta </t>
  </si>
  <si>
    <t>Venta novillos 350 kg/20 meses edad</t>
  </si>
  <si>
    <t>Kilos vendidos (Kg/año)</t>
  </si>
  <si>
    <t>Kilos comprados (Kg/año)</t>
  </si>
  <si>
    <t>Kilos ganados (Kg/año)</t>
  </si>
  <si>
    <t>Inversiones iniciales ganadería bovina de Ceba de 320 -350 a 480 - 500 kilos 10-12 meses</t>
  </si>
  <si>
    <t>Valor kilo pie COP (machos/hembras 320-350 Kg aprox)</t>
  </si>
  <si>
    <r>
      <rPr>
        <b/>
        <sz val="14"/>
        <color theme="1"/>
        <rFont val="Arial"/>
        <family val="2"/>
      </rPr>
      <t>Valor aproximado actual de venta en pesos del Kilogramo en pie novillo (a) precebo</t>
    </r>
    <r>
      <rPr>
        <sz val="11"/>
        <color theme="1"/>
        <rFont val="Arial"/>
        <family val="2"/>
      </rPr>
      <t xml:space="preserve">
</t>
    </r>
    <r>
      <rPr>
        <sz val="12"/>
        <color theme="1"/>
        <rFont val="Arial"/>
        <family val="2"/>
      </rPr>
      <t xml:space="preserve"> (en su región o zona de comercialización)</t>
    </r>
  </si>
  <si>
    <t>Número de animales (inicio ceba)</t>
  </si>
  <si>
    <r>
      <t>Luego de rellenar las 4 celdas amarillas, diríjase a la columna  V/UNITARIO e inserte en las casillas amarillas los valores en pesos colombianos por animal y demás valores según su caso, leyendo el instructivo de cada celda, las demás columnas por favor no las modifique, luego diríjase a la pestaña Costos año ceba"
(</t>
    </r>
    <r>
      <rPr>
        <b/>
        <i/>
        <sz val="10"/>
        <color theme="1"/>
        <rFont val="Arial"/>
        <family val="2"/>
      </rPr>
      <t>si tiene equinos relacione cantidad y valor unitario promedio)</t>
    </r>
  </si>
  <si>
    <t>Novillos 2 años</t>
  </si>
  <si>
    <t>Costos/año ganadería bovina de Ceba</t>
  </si>
  <si>
    <t>En esta pestaña usted encontrará los principales costos de una ceba de bovinos de carne mes a mes para el primer año y anual por los primeros 10 años, de acuerdo a los datos rellenados en la pestaña anterior (INVERSIONES CEBA), algunos cajones tienen el comentario adjunto de lo que significan.</t>
  </si>
  <si>
    <t>Así mismo en la parte inferior de esta pestaña encontrará un diagrama llamado "PROYECCIÓN" y nos realizará un cálculo aproximado del número de animales esperados por trimestre y su peso mínimo esperado, según edad, de acuerdo a los datos que usted alimento al iniciar el ejercicio, y que ayudará a la herramienta a calcular los ingresos aproximados y el tiempo para obtenerlos. Luego de revisarlos podrá continuar a la pestaña "Ingresos ceba".</t>
  </si>
  <si>
    <t>TOTAL COSTOS MENSUALES APROX</t>
  </si>
  <si>
    <t>TOTAL COSTO POR ANIMAL</t>
  </si>
  <si>
    <t>Ingresos ganadería bovina de Ceba</t>
  </si>
  <si>
    <t>Valor kilo pie COP (machos/hembras 500 Kg aprox)</t>
  </si>
  <si>
    <t>Rellene aquí según el instructivo de cada celda</t>
  </si>
  <si>
    <r>
      <rPr>
        <b/>
        <i/>
        <sz val="14"/>
        <color theme="1"/>
        <rFont val="Arial"/>
        <family val="2"/>
      </rPr>
      <t>Rellene unicamente las celdas en amarillo</t>
    </r>
    <r>
      <rPr>
        <b/>
        <i/>
        <sz val="11"/>
        <color theme="1"/>
        <rFont val="Arial"/>
        <family val="2"/>
      </rPr>
      <t>, esta pestaña se alimenta de los datos del diagrama de proyección del número de animales que se encuentra en la parte inferior de la pestaña anterior (Costos año ceba), y le dará un aproximado de ganancia y/o pérdida  año a año en pesos de acuerdo a los datos que usted ingresó al inicio del ejercicio; algunas celdas poseen comentario instructivo para que conozca el origen exacto del dato expuesto. De arrojar números negativos significa que su producción esta excediendo el número de animales a sostener, y deberá revisar los parámetros productivos, se recomienda asesorarse de un Médico Veterinario Zootecnista o un profesional especializado.</t>
    </r>
  </si>
  <si>
    <t>Venta novillos 500 kg/ 30 a 32 meses edad</t>
  </si>
  <si>
    <t xml:space="preserve">Inversiones básicas ganadería bovina de carne ciclo completo (sin ordeño) </t>
  </si>
  <si>
    <r>
      <t xml:space="preserve">Para comenzar llene las columnas amarillas a lado y lado, siguiendo las indicaciones del comentario en cada celda y siga el flujo de las flechas.
</t>
    </r>
    <r>
      <rPr>
        <b/>
        <i/>
        <sz val="12"/>
        <color theme="1"/>
        <rFont val="Arial"/>
        <family val="2"/>
      </rPr>
      <t>(</t>
    </r>
    <r>
      <rPr>
        <b/>
        <i/>
        <sz val="11"/>
        <color theme="1"/>
        <rFont val="Arial"/>
        <family val="2"/>
      </rPr>
      <t>escriba solo numeros sin puntos ni comas, si no posee algun grupo etario marque cero</t>
    </r>
    <r>
      <rPr>
        <b/>
        <i/>
        <sz val="12"/>
        <color theme="1"/>
        <rFont val="Arial"/>
        <family val="2"/>
      </rPr>
      <t>)</t>
    </r>
  </si>
  <si>
    <t xml:space="preserve">Número de novillas preñadas/ vacas </t>
  </si>
  <si>
    <r>
      <rPr>
        <b/>
        <sz val="14"/>
        <color theme="1"/>
        <rFont val="Arial"/>
        <family val="2"/>
      </rPr>
      <t>Valor aproximado actual de venta en pesos del Kilogramo en pie novillo (a) gordo</t>
    </r>
    <r>
      <rPr>
        <sz val="11"/>
        <color theme="1"/>
        <rFont val="Calibri"/>
        <family val="2"/>
        <scheme val="minor"/>
      </rPr>
      <t xml:space="preserve"> (en su región o zona de comercialización)</t>
    </r>
  </si>
  <si>
    <t>Terrneros ≤ 1 año</t>
  </si>
  <si>
    <r>
      <rPr>
        <b/>
        <sz val="14"/>
        <color theme="1"/>
        <rFont val="Arial"/>
        <family val="2"/>
      </rPr>
      <t>Valor aproximado actual de venta en pesos del Kilogramo en pie toros /vacas despaje</t>
    </r>
    <r>
      <rPr>
        <sz val="14"/>
        <color theme="1"/>
        <rFont val="Calibri"/>
        <family val="2"/>
        <scheme val="minor"/>
      </rPr>
      <t xml:space="preserve"> </t>
    </r>
    <r>
      <rPr>
        <sz val="11"/>
        <color theme="1"/>
        <rFont val="Calibri"/>
        <family val="2"/>
        <scheme val="minor"/>
      </rPr>
      <t xml:space="preserve">
</t>
    </r>
    <r>
      <rPr>
        <sz val="9"/>
        <color theme="1"/>
        <rFont val="Arial"/>
        <family val="2"/>
      </rPr>
      <t>(en su región o zona de comercialización)</t>
    </r>
  </si>
  <si>
    <t xml:space="preserve">Despajes en los próximos 6 meses (en caso de tenerlos) </t>
  </si>
  <si>
    <t>vacas</t>
  </si>
  <si>
    <t>Peso promedio novillas / vacas preñadas</t>
  </si>
  <si>
    <r>
      <t>Ahora, a la izquierda en las casillas amarillas, inserte el peso promedio en kilogramos de sus animales por sexo y por edades sumando el peso total de los animales y dividiéndolo entre el número de estos en cada grupo.(</t>
    </r>
    <r>
      <rPr>
        <b/>
        <i/>
        <sz val="11"/>
        <color theme="1"/>
        <rFont val="Arial"/>
        <family val="2"/>
      </rPr>
      <t>si no posee animales en algún grupo etario marque cero)</t>
    </r>
  </si>
  <si>
    <t>Novillas preñadas</t>
  </si>
  <si>
    <t>Diligenciados los datos anteriores diríjase a la siguiente pestaña llamada "Costo año Ciclo Completo"</t>
  </si>
  <si>
    <t>Costos/año ganadería bovina de carne ciclo completo (sin ordeño)</t>
  </si>
  <si>
    <t xml:space="preserve">valor unitario gramo/ pesos COP  </t>
  </si>
  <si>
    <r>
      <t xml:space="preserve">En esta pestaña usted podrá relacionar los costos básicos de una producción bovina de carne  de ciclo completo mes a mes para el primer año y anual por los primeros 10 años, de acuerdo a los datos rellenados en la pestaña anterior (INVERSIONES CICLO COMPLETO), recuerde solo completar las casillas en amarillo y dejar en cero si no aplica para su producción. </t>
    </r>
    <r>
      <rPr>
        <b/>
        <i/>
        <sz val="11"/>
        <color theme="1"/>
        <rFont val="Arial"/>
        <family val="2"/>
      </rPr>
      <t>(algunos cajones tienen el comentario adjunto de lo que significan).</t>
    </r>
  </si>
  <si>
    <t>Palmiste/concentrado</t>
  </si>
  <si>
    <t>Tenga en cuenta que las casillas marcadas en color amarillo usted las podrá completar y/o ajustar (LAS DEMÁS NO LAS MODIFIQUE), según sus propios costos en insumos como sales, suplementos, antiparasitarios,vitaminas, antibioticos y costos directos e indirectos como arrendamientos, servicios públicos, fletes y mano de obra entre otros.</t>
  </si>
  <si>
    <t>COSTOS DIRECTOS</t>
  </si>
  <si>
    <t>COSTOS INDIRECTOS</t>
  </si>
  <si>
    <r>
      <t xml:space="preserve">Así mismo en la parte inferior de esta pestaña encontrará un diagrama llamado "PROYECCIÓN" que realizará un cálculo </t>
    </r>
    <r>
      <rPr>
        <b/>
        <i/>
        <sz val="16"/>
        <color theme="1"/>
        <rFont val="Arial"/>
        <family val="2"/>
      </rPr>
      <t>aproximado</t>
    </r>
    <r>
      <rPr>
        <b/>
        <i/>
        <sz val="14"/>
        <color theme="1"/>
        <rFont val="Arial"/>
        <family val="2"/>
      </rPr>
      <t xml:space="preserve"> del número de animales esperados año a año hasta por 10 años, según la edad y sexo y teniendo en cuenta animales de reemplazo, novillos (as) a vender y animales de despaje, (recuerde que está diseñado para vender bovinos cebados) de acuerdo a los datos que usted alimento al iniciar el ejercicio, y que ayudará a la herramienta a cálcular los ingresos aproximados y el tiempo para obtenerlos. Luego de revisarlos dirígase a la pestaña "Ingresos y resultados Ciclo Completo"</t>
    </r>
  </si>
  <si>
    <t>Mano de Obra/ jornales</t>
  </si>
  <si>
    <t>Vacas/ novillas preñadas</t>
  </si>
  <si>
    <t>Novillas 2 a 3 años</t>
  </si>
  <si>
    <t>Novillos 2 a 3 años a vender</t>
  </si>
  <si>
    <t>Novillas 2 a 3 años a vender</t>
  </si>
  <si>
    <t>Kilos vendidos Novillos (Kg/año)</t>
  </si>
  <si>
    <t>Costo Día Abierto ($/d)</t>
  </si>
  <si>
    <t xml:space="preserve">Ingresos ganadería bovina de carne ciclo completo (sin ordeño) </t>
  </si>
  <si>
    <r>
      <rPr>
        <b/>
        <i/>
        <sz val="14"/>
        <color theme="1"/>
        <rFont val="Arial"/>
        <family val="2"/>
      </rPr>
      <t>No cambie ninguna celda de esta pestaña,</t>
    </r>
    <r>
      <rPr>
        <b/>
        <i/>
        <sz val="11"/>
        <color theme="1"/>
        <rFont val="Arial"/>
        <family val="2"/>
      </rPr>
      <t xml:space="preserve"> esta se alimenta de los datos del diagrama de proyección del número de animales que se encuentra en la parte inferior de la pestaña anterior (Costos año ciclo completo), y le dará un aproximado de ganancia y/o pérdida  año a año en pesos de acuerdo a los datos que usted ingresó al inicio del ejercicio; algunas celdas poseen comentario instructivo para que conozca el origen exacto del dato expuesto. De arrojar números negativos significa que usted deberá revisar los parámetros productivos y/o reproductivos, se recomienda asesorarse de un Médico Veterinario o un profesional especializado.</t>
    </r>
  </si>
  <si>
    <t>Número novillos (as)</t>
  </si>
  <si>
    <t xml:space="preserve">Precio venta Kg novillo(a) pesos COP </t>
  </si>
  <si>
    <t>Ingresos novillos (as) pesos COP</t>
  </si>
  <si>
    <t>Número de toros-vacas despaje</t>
  </si>
  <si>
    <t xml:space="preserve">Precio venta Kg toros-vacas despaje pesos COP </t>
  </si>
  <si>
    <t>Ingresos por toros y vacas despaje pesos COP</t>
  </si>
  <si>
    <t xml:space="preserve">Variables analizadas e interpretación de resultados según especialización </t>
  </si>
  <si>
    <t>Cría</t>
  </si>
  <si>
    <t>Año a analizar</t>
  </si>
  <si>
    <t>Valor</t>
  </si>
  <si>
    <t>Descripción</t>
  </si>
  <si>
    <t>Cálculo</t>
  </si>
  <si>
    <t>Niveles de referencia</t>
  </si>
  <si>
    <t>Natalidad</t>
  </si>
  <si>
    <t>Promedio  Anual</t>
  </si>
  <si>
    <t>Corresponde al número de crías que se obtienen en un año por cada 100 vacas con condiciones aptas para la reproducción (edad, peso y madurez reproductiva)</t>
  </si>
  <si>
    <t>Número de crías obtenidas en un año dividido en el número de vientres presentes. 
 Si durante el año entran o salen animales, se toma el valor promedio ponderandolo por el tiempo de permanencia.</t>
  </si>
  <si>
    <t>Los niveles de referencia para esta variable, se encuentran altamente influenciados por el tipo de monta utilizado (monta natural o inseminación artificial). A continuación mostraremos niveles de referencia para monta natural:
- Mayor a 80% (Excelente)
-Entre 51% y 79% ( Aceptable)
-Menor  a 50% ( Es necesario intervenir)</t>
  </si>
  <si>
    <t xml:space="preserve">Esta pestaña mostrará y ayudará a interpretar las variables que calcula la herramienta, consultelos según su especialización y solo modifiquela la casilla en azul del año a analizar  (1 a 10) según su interes  </t>
  </si>
  <si>
    <t>Kilos/ha/año</t>
  </si>
  <si>
    <t>Es un indicador que relaciona  la cantidad de peso vivo producida (expresada en kilogramos), con el área de la pradera utilizada para producirlos durante un año. 
Es importante resaltar que en la medida que se utilicen suplementos nutricionales diferentes a los minerales, y que estos sean producidos fuera del área de pastoreo, se obtendrán valores más altos de los alcanzados si se emplea únicamente la pradera como fuente de alimento.</t>
  </si>
  <si>
    <t>Kilos de peso vivo vendidos tanto en animales destetos junto con toros y vacas de descarte, dividido en el área en pastos. 
Este resultado se divide a su vez en el tiempo (expresado en años) necesario para llegar a dicho peso.</t>
  </si>
  <si>
    <t>"- Mayor a 300 (Excelente manejo de todos los componentes del sistema (genética, praderas, agua y personal entre otros)
- Entre 201 y 299 ( Buen manejo de los componentes del sistema
- Entre 101 y 200 ( Manejo promedio de los componentes del sistema productivo. Es posible encontrar oportunidades de mejora.)
- Menor a 100 ( El sistema productivo requiere se intervenido en uno varios de sus componentes)</t>
  </si>
  <si>
    <t>Costo de producción</t>
  </si>
  <si>
    <t>Este valor responde a la pregunta: Cuánto cuesta producir un kilogramo de carne?. Dentro de los costos de incluyen costos directos e indirectos.</t>
  </si>
  <si>
    <t>Total costos de producción dividido en kilos totales producidos en el año</t>
  </si>
  <si>
    <t>"- Si bien existen valores referentes de costos de producción, este valor se encuentra influenciado por la localización del predio, oferta de mano de obra, estado de las vías, entre otros. Por lo tanto, la diferencia que existe con el precio de venta (expresado en pesos por kilogramo), indica la rentabilidad bruta de la operación  en caso de ser positivo. En caso contrario, indica que el precio de venta no cubre el costo de producción, requiriendo intervención.</t>
  </si>
  <si>
    <t>Costo Dia Abierto</t>
  </si>
  <si>
    <t>Los días abiertos son aquellos que transcurren desde el día que una vaca hace un parto hasta cuando inicia una nueva preñez.  El costo de un día abierto es aquel en que se incurre por mantener un vientre en la finca.</t>
  </si>
  <si>
    <t>El costo de cada día abierto corresponde al costo diario de operación (costos anuales dividido en 365) dividido en el inventario total para dicho año</t>
  </si>
  <si>
    <t xml:space="preserve">"- Este resultado al igual que el costo de producción, nos sirve para tomar decisiones referentes a la rentabilidad y su relación con la eficiencia reproductiva. 
Por ejemplo, con una natalidad del 80%, el costo de un día abierto es de $4.000; mientras que con una natalidad del 60%, el costo es de $5.000. Esta diferencia ayudará a identificar la viabilidad de inversiones referentes a la mejora de la eficiencia reproductiva. </t>
  </si>
  <si>
    <t>El retorno sobre la inversión es una medida de desempeño usada para evaluar la eficiencia de la rentabilidad de una inversión, comparada con otras inversiones. Indica el porcentaje de la inversión que se recupera en un año determinado.</t>
  </si>
  <si>
    <t>Corresponde al porcentaje de utilidad anual que se obtiene respecto a la inversión para un año determinado. 
Se calcula dividiendo la rentabilidad anual en la inversión realizada</t>
  </si>
  <si>
    <t>Este resultado se compara con otras inversiones. 
Al realizar la comparación nos da un indicio de la eficiencia en el uso de la inversión</t>
  </si>
  <si>
    <t>Rentabilidad Ajustada</t>
  </si>
  <si>
    <t>La rentabilidad real es la tasa anual de rentabilidad, ajustando la inflación para este año</t>
  </si>
  <si>
    <t>((1 + ROI) / (1+ inflación anual ) )-1</t>
  </si>
  <si>
    <t>Este resultado se compara con otras inversiones. 
Al realizar la comparación nos da un indicio de la eficiencia en el uso de la inversión descontando la inflación o pérdida de poder adquisitivo que tuvo el dinero en un año en particular.</t>
  </si>
  <si>
    <t>Levante</t>
  </si>
  <si>
    <t>Es un indicador que relaciona  la cantidad de peso vivo producida (expresada en kilogramos), con el área de la pradera utilizada para producirlos durante un año. 
Es importante resaltar que en la medida que se utilicen suplementos nutricionales diferentes a los minerales, y que estos sean producidos fuera del área de pastoreo, se obtendrán valores más altos de los alcanzados si se emplea únicamente la pradera como fuente de alimento.</t>
  </si>
  <si>
    <t>Kilos de peso vivo vendidos tanto en animales destetos junto con toros y vacas de descarte, dividido en el área en pastos. 
Este resultado se divide a su vez en el tiempo (expresado en años) necesario para llegar a dicho peso.</t>
  </si>
  <si>
    <t>"- Mayor a 500 (Excelente manejo de todos los componentes del sistema (genética, praderas, agua y personal entre otros)
- Entre 350 y 499 ( Buen manejo de los componentes del sistema
- Entre 201 y 349 ( Manejo promedio de los componentes del sistema productivo. Es posible encontrar oportunidades de mejora.)
- Menor a 200 ( El sistema productivo requiere se intervenido en uno varios de sus componentes</t>
  </si>
  <si>
    <t>"- SI bien existen valores referentes de costos de producción, este valor se encuentra influenciado por la localización del predio, oferta de mano de obra, estado de las vías, entre otros. 
Por lo tanto, la diferencia que existe con el precio de venta (expresado en pesos por kilogramo), indica la rentabilidad bruta de la operación  en caso de ser positivo. En caso contrario, indica que el precio de venta no cubre el costo de producción, requiriendo intervención.</t>
  </si>
  <si>
    <t>El retorno sobre la inversión es una medida de desempeño usada para evaluar la eficiencia de la rentabilidad de una inversión, comparada con otras inversiones. 
Indica el porcentaje de la inversión que se recupera en un año determinado.</t>
  </si>
  <si>
    <t>Este resultado se compara con otras inversiones. Al realizar la comparación nos da un indicio de la eficiencia en el uso de la inversión</t>
  </si>
  <si>
    <t>Este resultado se compara con otras inversiones. 
Al realizar la comparación nos da un indicio de la eficiencia en el uso de la inversión descontando la inflación o pérdida de poder adquisitivo que tuvo el dinero en un año en particular.</t>
  </si>
  <si>
    <t>Ceba</t>
  </si>
  <si>
    <t>"- SI bien existen valores referentes de costos de producción, este valor se encuentra influenciado por la localización del predio, oferta de mano de obra, estado de las vías, entre otros.
 Por lo tanto, la diferencia que existe con el precio de venta (expresado en pesos por kilogramo), indica la rentabilidad bruta de la operación  en caso de ser positivo. En caso contrario, indica que el precio de venta no cubre el costo de producción, requiriendo intervención.</t>
  </si>
  <si>
    <t>Ciclo Completo</t>
  </si>
  <si>
    <t xml:space="preserve">Promedio </t>
  </si>
  <si>
    <t>Número de crías obtenidas en un año dividido en el número de vientres presentes.  
Si durante el año entran o salen animales, se toma el valor promedio ponderandolo por el tiempo de permanencia.</t>
  </si>
  <si>
    <t>Los niveles de referencia para esta variable, se encuentran altamente influenciados por el tipo de monta utilizado (monta natural o inseminación artificial), A continuación mostraremos niveles de referencia para monta natural:
- Mayor a 80% (Excelente)
-Entre 51% y 79% ( Acetptable)
-Menor  a 50% ( Es necesario intervenir)</t>
  </si>
  <si>
    <t>Kilos de peso vivo vendidos tanto en animales destetos junto con toros y vacas de descarte, dividido en el área en pastos. Este resultado se divide a su vez en el tiempo (expresado en años) necesario para llegar a dicho peso.</t>
  </si>
  <si>
    <t>"- Mayor a 300 (Excelente manejo de todos los componentes del sistema (genética, praderas, agua y personal entre otros)
- Entre 201 y 299 ( Buen manejo de los componentes del sistema
- Entre 101 y 200 ( Manejo promedio de los componentes del sistema productivo. Es posible encontrar oportunidades de mejora.)
- Menor a 100 ( El sistema productivo requiere se intervenido en uno varios de sus componentes</t>
  </si>
  <si>
    <t>"- SI bien existen valores referentes de costos de producción, este valor se encuentra influenciado por la localización del predio, oferta de mano de obra, estado de las vías, entre otros. Por lo tanto, la diferencia que existe con el precio de venta (expresado en pesos por kilogramo), indica la rentabilidad bruta de la operación  en caso de ser positivo. En caso contrario, indica que el precio de venta no cubre el costo de producción, requiriendo intervención.</t>
  </si>
  <si>
    <t>Costo Día Abierto</t>
  </si>
  <si>
    <t>Corresponde al porcentaje de utilidad anual que se obtiene respecto a la inversión para un año determinado. Se calcula dividiendo la rentabilidad anual en la inversión realizada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</si>
</sst>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quot;$&quot;\ * #,##0_-;\-&quot;$&quot;\ * #,##0_-;_-&quot;$&quot;\ * &quot;-&quot;_-;_-@_-"/>
    <numFmt numFmtId="165" formatCode="_-* #,##0_-;\-* #,##0_-;_-* &quot;-&quot;_-;_-@_-"/>
    <numFmt numFmtId="166" formatCode="_-&quot;$&quot;\ * #,##0.00_-;\-&quot;$&quot;\ * #,##0.00_-;_-&quot;$&quot;\ * &quot;-&quot;??_-;_-@_-"/>
    <numFmt numFmtId="167" formatCode="_-* #,##0.00_-;\-* #,##0.00_-;_-* &quot;-&quot;??_-;_-@_-"/>
    <numFmt numFmtId="168" formatCode="_-* #,##0_-;\-* #,##0_-;_-* &quot;-&quot;??_-;_-@_-"/>
    <numFmt numFmtId="169" formatCode="_-* #,##0.00_-;\-* #,##0.00_-;_-* &quot;-&quot;_-;_-@_-"/>
    <numFmt numFmtId="170" formatCode="_-* #,##0.0_-;\-* #,##0.0_-;_-* &quot;-&quot;??_-;_-@_-"/>
    <numFmt numFmtId="171" formatCode="_-&quot;$&quot;\ * #,##0.00_-;\-&quot;$&quot;\ * #,##0.00_-;_-&quot;$&quot;\ * &quot;-&quot;_-;_-@_-"/>
    <numFmt numFmtId="172" formatCode="_-* #,##0.0_-;\-* #,##0.0_-;_-* &quot;-&quot;_-;_-@_-"/>
    <numFmt numFmtId="173" formatCode="_-&quot;$&quot;\ * #,##0_-;\-&quot;$&quot;\ * #,##0_-;_-&quot;$&quot;\ * &quot;-&quot;??_-;_-@_-"/>
    <numFmt numFmtId="174" formatCode="0.0%"/>
    <numFmt numFmtId="175" formatCode="0.0"/>
    <numFmt numFmtId="176" formatCode="_-&quot;$&quot;\ * #,##0.0_-;\-&quot;$&quot;\ * #,##0.0_-;_-&quot;$&quot;\ * &quot;-&quot;??_-;_-@_-"/>
    <numFmt numFmtId="177" formatCode="0.000"/>
  </numFmts>
  <fonts count="52">
    <font>
      <sz val="11"/>
      <color theme="1"/>
      <name val="Calibri"/>
      <family val="2"/>
      <scheme val="minor"/>
    </font>
    <font>
      <sz val="11"/>
      <color theme="1"/>
      <name val="Calibri"/>
      <family val="2"/>
      <scheme val="minor"/>
    </font>
    <font>
      <sz val="11"/>
      <color theme="0"/>
      <name val="Century Gothic"/>
      <family val="2"/>
    </font>
    <font>
      <sz val="11"/>
      <color theme="1"/>
      <name val="Century Gothic"/>
      <family val="2"/>
    </font>
    <font>
      <b/>
      <sz val="10"/>
      <color theme="0"/>
      <name val="Arial"/>
      <family val="2"/>
    </font>
    <font>
      <b/>
      <sz val="10"/>
      <color theme="1"/>
      <name val="Arial"/>
      <family val="2"/>
    </font>
    <font>
      <b/>
      <sz val="9"/>
      <color theme="1"/>
      <name val="Arial"/>
      <family val="2"/>
    </font>
    <font>
      <b/>
      <sz val="11"/>
      <color theme="1"/>
      <name val="Calibri"/>
      <family val="2"/>
      <scheme val="minor"/>
    </font>
    <font>
      <sz val="11"/>
      <color theme="0"/>
      <name val="Calibri"/>
      <family val="2"/>
      <scheme val="minor"/>
    </font>
    <font>
      <sz val="11"/>
      <name val="Calibri"/>
      <family val="2"/>
      <scheme val="minor"/>
    </font>
    <font>
      <b/>
      <i/>
      <sz val="14"/>
      <color theme="1"/>
      <name val="Arial"/>
      <family val="2"/>
    </font>
    <font>
      <sz val="11"/>
      <color rgb="FF404040"/>
      <name val="Segoe UI"/>
      <family val="2"/>
    </font>
    <font>
      <sz val="16"/>
      <color rgb="FF404040"/>
      <name val="Arial"/>
      <family val="2"/>
    </font>
    <font>
      <b/>
      <sz val="16"/>
      <color rgb="FFFFFF00"/>
      <name val="Arial"/>
      <family val="2"/>
    </font>
    <font>
      <b/>
      <sz val="16"/>
      <color rgb="FF4472C4"/>
      <name val="Arial"/>
      <family val="2"/>
    </font>
    <font>
      <b/>
      <sz val="16"/>
      <color rgb="FF404040"/>
      <name val="Arial"/>
      <family val="2"/>
    </font>
    <font>
      <b/>
      <sz val="16"/>
      <color rgb="FFFF0000"/>
      <name val="Arial"/>
      <family val="2"/>
    </font>
    <font>
      <b/>
      <sz val="16"/>
      <color rgb="FF7030A0"/>
      <name val="Arial"/>
      <family val="2"/>
    </font>
    <font>
      <sz val="16"/>
      <color rgb="FF7030A0"/>
      <name val="Arial"/>
      <family val="2"/>
    </font>
    <font>
      <sz val="9"/>
      <color indexed="81"/>
      <name val="Tahoma"/>
      <family val="2"/>
    </font>
    <font>
      <b/>
      <sz val="9"/>
      <color indexed="81"/>
      <name val="Tahoma"/>
      <family val="2"/>
    </font>
    <font>
      <b/>
      <sz val="8"/>
      <color theme="1"/>
      <name val="Arial"/>
      <family val="2"/>
    </font>
    <font>
      <b/>
      <i/>
      <sz val="16"/>
      <color theme="1"/>
      <name val="Arial"/>
      <family val="2"/>
    </font>
    <font>
      <b/>
      <i/>
      <sz val="11"/>
      <color theme="1"/>
      <name val="Arial"/>
      <family val="2"/>
    </font>
    <font>
      <sz val="22"/>
      <color theme="1"/>
      <name val="Wingdings"/>
      <charset val="2"/>
    </font>
    <font>
      <b/>
      <sz val="18"/>
      <color theme="1"/>
      <name val="Wingdings"/>
      <charset val="2"/>
    </font>
    <font>
      <b/>
      <i/>
      <sz val="12"/>
      <color theme="1"/>
      <name val="Arial"/>
      <family val="2"/>
    </font>
    <font>
      <b/>
      <sz val="11"/>
      <color theme="0"/>
      <name val="Calibri"/>
      <family val="2"/>
      <scheme val="minor"/>
    </font>
    <font>
      <b/>
      <i/>
      <sz val="16"/>
      <name val="Arial"/>
      <family val="2"/>
    </font>
    <font>
      <b/>
      <sz val="18"/>
      <color theme="1"/>
      <name val="Calibri"/>
      <family val="2"/>
    </font>
    <font>
      <b/>
      <i/>
      <sz val="10"/>
      <color theme="1"/>
      <name val="Arial"/>
      <family val="2"/>
    </font>
    <font>
      <sz val="14"/>
      <color theme="1"/>
      <name val="Calibri"/>
      <family val="2"/>
      <scheme val="minor"/>
    </font>
    <font>
      <sz val="9"/>
      <color theme="1"/>
      <name val="Arial"/>
      <family val="2"/>
    </font>
    <font>
      <b/>
      <sz val="14"/>
      <color theme="1"/>
      <name val="Arial"/>
      <family val="2"/>
    </font>
    <font>
      <sz val="12"/>
      <color theme="1"/>
      <name val="Arial"/>
      <family val="2"/>
    </font>
    <font>
      <b/>
      <i/>
      <sz val="20"/>
      <color theme="1"/>
      <name val="Arial"/>
      <family val="2"/>
    </font>
    <font>
      <b/>
      <i/>
      <sz val="14"/>
      <name val="Arial"/>
      <family val="2"/>
    </font>
    <font>
      <b/>
      <sz val="11"/>
      <color theme="1"/>
      <name val="Arial"/>
      <family val="2"/>
    </font>
    <font>
      <b/>
      <sz val="20"/>
      <color theme="1"/>
      <name val="Arial"/>
      <family val="2"/>
    </font>
    <font>
      <b/>
      <i/>
      <sz val="20"/>
      <color rgb="FF404040"/>
      <name val="Arial"/>
      <family val="2"/>
    </font>
    <font>
      <sz val="11"/>
      <color theme="1"/>
      <name val="Arial"/>
      <family val="2"/>
    </font>
    <font>
      <b/>
      <sz val="14"/>
      <color theme="0"/>
      <name val="Arial"/>
      <family val="2"/>
    </font>
    <font>
      <b/>
      <sz val="11"/>
      <name val="Arial"/>
      <family val="2"/>
    </font>
    <font>
      <sz val="11"/>
      <name val="Arial"/>
      <family val="2"/>
    </font>
    <font>
      <b/>
      <i/>
      <sz val="12"/>
      <name val="Arial"/>
      <family val="2"/>
    </font>
    <font>
      <sz val="14"/>
      <color theme="1"/>
      <name val="Arial"/>
      <family val="2"/>
    </font>
    <font>
      <sz val="11"/>
      <color theme="0"/>
      <name val="Arial"/>
      <family val="2"/>
    </font>
    <font>
      <b/>
      <sz val="11"/>
      <color theme="0"/>
      <name val="Arial"/>
      <family val="2"/>
    </font>
    <font>
      <sz val="11"/>
      <name val="Century Gothic"/>
      <family val="2"/>
    </font>
    <font>
      <b/>
      <sz val="11"/>
      <name val="Calibri"/>
      <family val="2"/>
      <scheme val="minor"/>
    </font>
    <font>
      <b/>
      <sz val="16"/>
      <color theme="1"/>
      <name val="Arial"/>
      <family val="2"/>
    </font>
    <font>
      <b/>
      <sz val="11"/>
      <color theme="0"/>
      <name val="Century Gothic"/>
      <family val="2"/>
    </font>
  </fonts>
  <fills count="20">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theme="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7" tint="-0.499984740745262"/>
        <bgColor indexed="64"/>
      </patternFill>
    </fill>
    <fill>
      <patternFill patternType="solid">
        <fgColor rgb="FF00B0F0"/>
        <bgColor indexed="64"/>
      </patternFill>
    </fill>
    <fill>
      <patternFill patternType="solid">
        <fgColor theme="4" tint="0.39997558519241921"/>
        <bgColor indexed="64"/>
      </patternFill>
    </fill>
    <fill>
      <patternFill patternType="solid">
        <fgColor rgb="FFFF0000"/>
        <bgColor indexed="64"/>
      </patternFill>
    </fill>
    <fill>
      <patternFill patternType="solid">
        <fgColor rgb="FF7030A0"/>
        <bgColor indexed="64"/>
      </patternFill>
    </fill>
    <fill>
      <patternFill patternType="solid">
        <fgColor theme="8" tint="0.39997558519241921"/>
        <bgColor indexed="64"/>
      </patternFill>
    </fill>
    <fill>
      <patternFill patternType="solid">
        <fgColor rgb="FFFFC000"/>
        <bgColor indexed="64"/>
      </patternFill>
    </fill>
    <fill>
      <patternFill patternType="solid">
        <fgColor theme="7"/>
        <bgColor indexed="64"/>
      </patternFill>
    </fill>
    <fill>
      <patternFill patternType="solid">
        <fgColor theme="5" tint="0.7999816888943144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top style="thin">
        <color theme="0" tint="-0.34998626667073579"/>
      </top>
      <bottom style="medium">
        <color indexed="64"/>
      </bottom>
      <diagonal/>
    </border>
    <border>
      <left/>
      <right/>
      <top style="thin">
        <color theme="0" tint="-0.34998626667073579"/>
      </top>
      <bottom style="medium">
        <color indexed="64"/>
      </bottom>
      <diagonal/>
    </border>
    <border>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bottom style="medium">
        <color indexed="64"/>
      </bottom>
      <diagonal/>
    </border>
    <border>
      <left style="thin">
        <color theme="0" tint="-0.34998626667073579"/>
      </left>
      <right style="medium">
        <color indexed="64"/>
      </right>
      <top/>
      <bottom style="medium">
        <color indexed="64"/>
      </bottom>
      <diagonal/>
    </border>
    <border>
      <left style="medium">
        <color indexed="64"/>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medium">
        <color indexed="64"/>
      </left>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indexed="64"/>
      </right>
      <top/>
      <bottom/>
      <diagonal/>
    </border>
  </borders>
  <cellStyleXfs count="6">
    <xf numFmtId="0" fontId="0" fillId="0" borderId="0"/>
    <xf numFmtId="167"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cellStyleXfs>
  <cellXfs count="893">
    <xf numFmtId="0" fontId="0" fillId="0" borderId="0" xfId="0"/>
    <xf numFmtId="9" fontId="2" fillId="4" borderId="2" xfId="3" applyFont="1" applyFill="1" applyBorder="1" applyAlignment="1" applyProtection="1">
      <alignment horizontal="center" vertical="center"/>
    </xf>
    <xf numFmtId="9" fontId="2" fillId="2" borderId="2" xfId="3" applyFont="1" applyFill="1" applyBorder="1" applyAlignment="1" applyProtection="1">
      <alignment horizontal="center" vertical="center"/>
      <protection locked="0"/>
    </xf>
    <xf numFmtId="168" fontId="3" fillId="3" borderId="1" xfId="1" applyNumberFormat="1" applyFont="1" applyFill="1" applyBorder="1" applyAlignment="1" applyProtection="1">
      <alignment horizontal="left" vertical="center"/>
    </xf>
    <xf numFmtId="0" fontId="0" fillId="0" borderId="1" xfId="0" applyBorder="1"/>
    <xf numFmtId="169" fontId="5" fillId="5" borderId="1" xfId="2" applyNumberFormat="1" applyFont="1" applyFill="1" applyBorder="1" applyAlignment="1">
      <alignment horizontal="center" vertical="center" wrapText="1"/>
    </xf>
    <xf numFmtId="3" fontId="0" fillId="0" borderId="1" xfId="0" applyNumberFormat="1" applyBorder="1"/>
    <xf numFmtId="0" fontId="8" fillId="2" borderId="13" xfId="0" applyFont="1" applyFill="1" applyBorder="1" applyAlignment="1">
      <alignment horizontal="center" wrapText="1"/>
    </xf>
    <xf numFmtId="0" fontId="8" fillId="2" borderId="14" xfId="0" applyFont="1" applyFill="1" applyBorder="1" applyAlignment="1">
      <alignment horizontal="center"/>
    </xf>
    <xf numFmtId="168" fontId="0" fillId="6" borderId="14" xfId="0" applyNumberFormat="1" applyFill="1" applyBorder="1" applyAlignment="1">
      <alignment horizontal="left"/>
    </xf>
    <xf numFmtId="170" fontId="0" fillId="6" borderId="13" xfId="0" applyNumberFormat="1" applyFill="1" applyBorder="1" applyAlignment="1">
      <alignment horizontal="left"/>
    </xf>
    <xf numFmtId="165" fontId="0" fillId="6" borderId="14" xfId="2" applyFont="1" applyFill="1" applyBorder="1" applyAlignment="1" applyProtection="1">
      <alignment horizontal="left"/>
    </xf>
    <xf numFmtId="0" fontId="0" fillId="6" borderId="13" xfId="0" applyFill="1" applyBorder="1" applyAlignment="1">
      <alignment horizontal="center"/>
    </xf>
    <xf numFmtId="0" fontId="0" fillId="6" borderId="14" xfId="0" applyFill="1" applyBorder="1" applyAlignment="1">
      <alignment vertical="center"/>
    </xf>
    <xf numFmtId="165" fontId="0" fillId="6" borderId="14" xfId="2" applyFont="1" applyFill="1" applyBorder="1" applyAlignment="1" applyProtection="1">
      <alignment vertical="center"/>
    </xf>
    <xf numFmtId="3" fontId="0" fillId="6" borderId="14" xfId="0" applyNumberFormat="1" applyFill="1" applyBorder="1" applyAlignment="1">
      <alignment vertical="center"/>
    </xf>
    <xf numFmtId="165" fontId="0" fillId="6" borderId="14" xfId="0" applyNumberFormat="1" applyFill="1" applyBorder="1" applyAlignment="1">
      <alignment horizontal="left"/>
    </xf>
    <xf numFmtId="0" fontId="0" fillId="0" borderId="8" xfId="0" applyBorder="1"/>
    <xf numFmtId="3" fontId="0" fillId="0" borderId="0" xfId="0" applyNumberFormat="1"/>
    <xf numFmtId="168" fontId="0" fillId="6" borderId="13" xfId="0" applyNumberFormat="1" applyFill="1" applyBorder="1" applyAlignment="1">
      <alignment horizontal="left"/>
    </xf>
    <xf numFmtId="165" fontId="0" fillId="6" borderId="13" xfId="2" applyFont="1" applyFill="1" applyBorder="1" applyAlignment="1" applyProtection="1">
      <alignment horizontal="left"/>
    </xf>
    <xf numFmtId="0" fontId="8" fillId="2" borderId="17" xfId="0" applyFont="1" applyFill="1" applyBorder="1" applyAlignment="1">
      <alignment horizontal="center"/>
    </xf>
    <xf numFmtId="0" fontId="0" fillId="9" borderId="1" xfId="0" applyFill="1" applyBorder="1"/>
    <xf numFmtId="0" fontId="0" fillId="0" borderId="10" xfId="0" applyBorder="1"/>
    <xf numFmtId="0" fontId="0" fillId="0" borderId="24" xfId="0" applyBorder="1"/>
    <xf numFmtId="0" fontId="0" fillId="8" borderId="24" xfId="0" applyFill="1" applyBorder="1"/>
    <xf numFmtId="0" fontId="0" fillId="0" borderId="31" xfId="0" applyBorder="1"/>
    <xf numFmtId="0" fontId="0" fillId="9" borderId="24" xfId="0" applyFill="1" applyBorder="1"/>
    <xf numFmtId="0" fontId="0" fillId="7" borderId="24" xfId="0" applyFill="1" applyBorder="1"/>
    <xf numFmtId="0" fontId="10" fillId="0" borderId="0" xfId="0" applyFont="1" applyAlignment="1">
      <alignment horizontal="center"/>
    </xf>
    <xf numFmtId="0" fontId="11" fillId="0" borderId="0" xfId="0" applyFont="1" applyAlignment="1">
      <alignment horizontal="justify" vertical="center" readingOrder="1"/>
    </xf>
    <xf numFmtId="0" fontId="10" fillId="0" borderId="0" xfId="0" applyFont="1"/>
    <xf numFmtId="1" fontId="0" fillId="9" borderId="1" xfId="0" applyNumberFormat="1" applyFill="1" applyBorder="1"/>
    <xf numFmtId="1" fontId="0" fillId="0" borderId="1" xfId="0" applyNumberFormat="1" applyBorder="1"/>
    <xf numFmtId="1" fontId="0" fillId="4" borderId="1" xfId="0" applyNumberFormat="1" applyFill="1" applyBorder="1"/>
    <xf numFmtId="1" fontId="0" fillId="0" borderId="8" xfId="0" applyNumberFormat="1" applyBorder="1"/>
    <xf numFmtId="1" fontId="0" fillId="0" borderId="10" xfId="0" applyNumberFormat="1" applyBorder="1"/>
    <xf numFmtId="0" fontId="0" fillId="10" borderId="24" xfId="0" applyFill="1" applyBorder="1"/>
    <xf numFmtId="0" fontId="0" fillId="11" borderId="24" xfId="0" applyFill="1" applyBorder="1"/>
    <xf numFmtId="1" fontId="0" fillId="0" borderId="0" xfId="0" applyNumberFormat="1"/>
    <xf numFmtId="0" fontId="25" fillId="0" borderId="0" xfId="0" applyFont="1" applyAlignment="1">
      <alignment horizontal="center"/>
    </xf>
    <xf numFmtId="0" fontId="24" fillId="0" borderId="0" xfId="0" applyFont="1" applyAlignment="1">
      <alignment horizontal="center"/>
    </xf>
    <xf numFmtId="0" fontId="3" fillId="4" borderId="1" xfId="1" applyNumberFormat="1" applyFont="1" applyFill="1" applyBorder="1" applyAlignment="1" applyProtection="1">
      <alignment horizontal="center" vertical="center"/>
    </xf>
    <xf numFmtId="3" fontId="0" fillId="4" borderId="1" xfId="0" applyNumberFormat="1" applyFill="1" applyBorder="1"/>
    <xf numFmtId="168" fontId="4" fillId="4" borderId="0" xfId="1" applyNumberFormat="1" applyFont="1" applyFill="1" applyBorder="1" applyAlignment="1">
      <alignment vertical="center"/>
    </xf>
    <xf numFmtId="167" fontId="0" fillId="6" borderId="14" xfId="2" applyNumberFormat="1" applyFont="1" applyFill="1" applyBorder="1" applyAlignment="1" applyProtection="1">
      <alignment horizontal="left"/>
    </xf>
    <xf numFmtId="166" fontId="8" fillId="2" borderId="14" xfId="5" applyFont="1" applyFill="1" applyBorder="1" applyAlignment="1">
      <alignment horizontal="center"/>
    </xf>
    <xf numFmtId="168" fontId="8" fillId="2" borderId="14" xfId="1" applyNumberFormat="1" applyFont="1" applyFill="1" applyBorder="1" applyAlignment="1">
      <alignment vertical="center"/>
    </xf>
    <xf numFmtId="0" fontId="27" fillId="2" borderId="13" xfId="0" applyFont="1" applyFill="1" applyBorder="1" applyAlignment="1">
      <alignment horizontal="center" wrapText="1"/>
    </xf>
    <xf numFmtId="9" fontId="0" fillId="0" borderId="1" xfId="3" applyFont="1" applyBorder="1" applyAlignment="1">
      <alignment horizontal="center" vertical="center"/>
    </xf>
    <xf numFmtId="174" fontId="0" fillId="0" borderId="1" xfId="3" applyNumberFormat="1" applyFont="1" applyBorder="1" applyAlignment="1">
      <alignment horizontal="center" vertical="center"/>
    </xf>
    <xf numFmtId="1" fontId="8" fillId="2" borderId="14" xfId="0" applyNumberFormat="1" applyFont="1" applyFill="1" applyBorder="1" applyAlignment="1">
      <alignment horizontal="center"/>
    </xf>
    <xf numFmtId="175" fontId="8" fillId="2" borderId="14" xfId="0" applyNumberFormat="1" applyFont="1" applyFill="1" applyBorder="1" applyAlignment="1">
      <alignment horizontal="center"/>
    </xf>
    <xf numFmtId="176" fontId="8" fillId="2" borderId="14" xfId="5" applyNumberFormat="1" applyFont="1" applyFill="1" applyBorder="1" applyAlignment="1">
      <alignment horizontal="center"/>
    </xf>
    <xf numFmtId="0" fontId="8" fillId="0" borderId="0" xfId="0" applyFont="1"/>
    <xf numFmtId="0" fontId="0" fillId="0" borderId="1" xfId="0" applyBorder="1" applyProtection="1">
      <protection locked="0"/>
    </xf>
    <xf numFmtId="3" fontId="0" fillId="0" borderId="1" xfId="0" applyNumberFormat="1" applyBorder="1" applyProtection="1">
      <protection locked="0"/>
    </xf>
    <xf numFmtId="0" fontId="27" fillId="2" borderId="14" xfId="0" applyFont="1" applyFill="1" applyBorder="1" applyAlignment="1" applyProtection="1">
      <alignment horizontal="center"/>
      <protection locked="0"/>
    </xf>
    <xf numFmtId="0" fontId="0" fillId="4" borderId="1" xfId="0" applyFill="1" applyBorder="1" applyProtection="1">
      <protection locked="0"/>
    </xf>
    <xf numFmtId="2" fontId="0" fillId="0" borderId="0" xfId="0" applyNumberFormat="1"/>
    <xf numFmtId="0" fontId="8" fillId="2" borderId="11" xfId="0" applyFont="1" applyFill="1" applyBorder="1" applyAlignment="1">
      <alignment vertical="center"/>
    </xf>
    <xf numFmtId="0" fontId="27" fillId="2" borderId="11" xfId="0" applyFont="1" applyFill="1" applyBorder="1" applyAlignment="1">
      <alignment vertical="center" wrapText="1"/>
    </xf>
    <xf numFmtId="0" fontId="8" fillId="2" borderId="11" xfId="0" applyFont="1" applyFill="1" applyBorder="1" applyAlignment="1">
      <alignment vertical="center" wrapText="1"/>
    </xf>
    <xf numFmtId="0" fontId="8" fillId="2" borderId="15" xfId="0" applyFont="1" applyFill="1" applyBorder="1" applyAlignment="1">
      <alignment vertical="center" wrapText="1"/>
    </xf>
    <xf numFmtId="9" fontId="8" fillId="2" borderId="14" xfId="3" applyFont="1" applyFill="1" applyBorder="1" applyAlignment="1">
      <alignment horizontal="center"/>
    </xf>
    <xf numFmtId="0" fontId="7" fillId="0" borderId="0" xfId="0" applyFont="1"/>
    <xf numFmtId="0" fontId="29" fillId="0" borderId="0" xfId="0" applyFont="1" applyAlignment="1">
      <alignment horizontal="center" vertical="center"/>
    </xf>
    <xf numFmtId="0" fontId="29" fillId="0" borderId="0" xfId="0" applyFont="1" applyAlignment="1">
      <alignment horizontal="center"/>
    </xf>
    <xf numFmtId="1" fontId="0" fillId="9" borderId="31" xfId="0" applyNumberFormat="1" applyFill="1" applyBorder="1"/>
    <xf numFmtId="1" fontId="0" fillId="8" borderId="1" xfId="0" applyNumberFormat="1" applyFill="1" applyBorder="1"/>
    <xf numFmtId="1" fontId="0" fillId="8" borderId="31" xfId="0" applyNumberFormat="1" applyFill="1" applyBorder="1"/>
    <xf numFmtId="1" fontId="0" fillId="7" borderId="1" xfId="0" applyNumberFormat="1" applyFill="1" applyBorder="1"/>
    <xf numFmtId="1" fontId="0" fillId="7" borderId="31" xfId="0" applyNumberFormat="1" applyFill="1" applyBorder="1"/>
    <xf numFmtId="1" fontId="0" fillId="10" borderId="1" xfId="0" applyNumberFormat="1" applyFill="1" applyBorder="1"/>
    <xf numFmtId="1" fontId="0" fillId="10" borderId="31" xfId="0" applyNumberFormat="1" applyFill="1" applyBorder="1"/>
    <xf numFmtId="1" fontId="0" fillId="0" borderId="31" xfId="0" applyNumberFormat="1" applyBorder="1"/>
    <xf numFmtId="1" fontId="0" fillId="11" borderId="1" xfId="0" applyNumberFormat="1" applyFill="1" applyBorder="1"/>
    <xf numFmtId="1" fontId="0" fillId="11" borderId="31" xfId="0" applyNumberFormat="1" applyFill="1" applyBorder="1"/>
    <xf numFmtId="0" fontId="10" fillId="9" borderId="42" xfId="0" applyFont="1" applyFill="1" applyBorder="1" applyAlignment="1" applyProtection="1">
      <alignment horizontal="center"/>
      <protection locked="0"/>
    </xf>
    <xf numFmtId="0" fontId="10" fillId="9" borderId="44" xfId="0" applyFont="1" applyFill="1" applyBorder="1" applyAlignment="1" applyProtection="1">
      <alignment horizontal="center"/>
      <protection locked="0"/>
    </xf>
    <xf numFmtId="0" fontId="10" fillId="9" borderId="47" xfId="0" applyFont="1" applyFill="1" applyBorder="1" applyAlignment="1" applyProtection="1">
      <alignment horizontal="center"/>
      <protection locked="0"/>
    </xf>
    <xf numFmtId="0" fontId="10" fillId="9" borderId="50" xfId="0" applyFont="1" applyFill="1" applyBorder="1" applyAlignment="1" applyProtection="1">
      <alignment horizontal="center"/>
      <protection locked="0"/>
    </xf>
    <xf numFmtId="0" fontId="0" fillId="18" borderId="24" xfId="0" applyFill="1" applyBorder="1"/>
    <xf numFmtId="1" fontId="0" fillId="18" borderId="1" xfId="0" applyNumberFormat="1" applyFill="1" applyBorder="1"/>
    <xf numFmtId="1" fontId="0" fillId="18" borderId="31" xfId="0" applyNumberFormat="1" applyFill="1" applyBorder="1"/>
    <xf numFmtId="0" fontId="0" fillId="8" borderId="25" xfId="0" applyFill="1" applyBorder="1"/>
    <xf numFmtId="1" fontId="0" fillId="18" borderId="32" xfId="0" applyNumberFormat="1" applyFill="1" applyBorder="1"/>
    <xf numFmtId="1" fontId="0" fillId="9" borderId="27" xfId="0" applyNumberFormat="1" applyFill="1" applyBorder="1"/>
    <xf numFmtId="1" fontId="0" fillId="11" borderId="32" xfId="0" applyNumberFormat="1" applyFill="1" applyBorder="1"/>
    <xf numFmtId="0" fontId="30" fillId="0" borderId="0" xfId="0" applyFont="1" applyAlignment="1">
      <alignment horizontal="left" vertical="top" wrapText="1"/>
    </xf>
    <xf numFmtId="0" fontId="0" fillId="4" borderId="0" xfId="0" applyFill="1"/>
    <xf numFmtId="0" fontId="10" fillId="9" borderId="33" xfId="0" applyFont="1" applyFill="1" applyBorder="1" applyAlignment="1" applyProtection="1">
      <alignment horizontal="center" vertical="center"/>
      <protection locked="0"/>
    </xf>
    <xf numFmtId="0" fontId="10" fillId="0" borderId="48" xfId="0" applyFont="1" applyBorder="1" applyAlignment="1">
      <alignment horizontal="center"/>
    </xf>
    <xf numFmtId="0" fontId="25" fillId="0" borderId="0" xfId="0" applyFont="1"/>
    <xf numFmtId="0" fontId="25" fillId="0" borderId="0" xfId="0" applyFont="1" applyAlignment="1">
      <alignment horizontal="center" vertical="center"/>
    </xf>
    <xf numFmtId="0" fontId="10" fillId="0" borderId="40" xfId="0" applyFont="1" applyBorder="1" applyAlignment="1">
      <alignment horizontal="center"/>
    </xf>
    <xf numFmtId="172" fontId="0" fillId="4" borderId="0" xfId="2" applyNumberFormat="1" applyFont="1" applyFill="1" applyBorder="1" applyAlignment="1" applyProtection="1">
      <alignment horizontal="left"/>
    </xf>
    <xf numFmtId="0" fontId="8" fillId="2" borderId="64" xfId="0" applyFont="1" applyFill="1" applyBorder="1" applyAlignment="1">
      <alignment horizontal="center" wrapText="1"/>
    </xf>
    <xf numFmtId="0" fontId="35" fillId="0" borderId="56" xfId="0" applyFont="1" applyBorder="1"/>
    <xf numFmtId="1" fontId="0" fillId="0" borderId="24" xfId="0" applyNumberFormat="1" applyBorder="1"/>
    <xf numFmtId="1" fontId="0" fillId="0" borderId="25" xfId="0" applyNumberFormat="1" applyBorder="1"/>
    <xf numFmtId="3" fontId="0" fillId="0" borderId="27" xfId="0" applyNumberFormat="1" applyBorder="1"/>
    <xf numFmtId="3" fontId="0" fillId="0" borderId="31" xfId="0" applyNumberFormat="1" applyBorder="1"/>
    <xf numFmtId="3" fontId="0" fillId="0" borderId="32" xfId="0" applyNumberFormat="1" applyBorder="1"/>
    <xf numFmtId="3" fontId="0" fillId="0" borderId="24" xfId="0" applyNumberFormat="1" applyBorder="1"/>
    <xf numFmtId="3" fontId="0" fillId="0" borderId="25" xfId="0" applyNumberFormat="1" applyBorder="1"/>
    <xf numFmtId="169" fontId="5" fillId="5" borderId="56" xfId="2" applyNumberFormat="1" applyFont="1" applyFill="1" applyBorder="1" applyAlignment="1">
      <alignment horizontal="center" vertical="center"/>
    </xf>
    <xf numFmtId="169" fontId="5" fillId="5" borderId="63" xfId="2" applyNumberFormat="1" applyFont="1" applyFill="1" applyBorder="1" applyAlignment="1">
      <alignment horizontal="center" vertical="center"/>
    </xf>
    <xf numFmtId="169" fontId="5" fillId="5" borderId="57" xfId="2" applyNumberFormat="1" applyFont="1" applyFill="1" applyBorder="1" applyAlignment="1">
      <alignment horizontal="center" vertical="center"/>
    </xf>
    <xf numFmtId="0" fontId="0" fillId="0" borderId="37" xfId="0" applyBorder="1"/>
    <xf numFmtId="165" fontId="0" fillId="0" borderId="24" xfId="0" applyNumberFormat="1" applyBorder="1"/>
    <xf numFmtId="165" fontId="0" fillId="0" borderId="25" xfId="0" applyNumberFormat="1" applyBorder="1"/>
    <xf numFmtId="0" fontId="0" fillId="0" borderId="38" xfId="0" applyBorder="1"/>
    <xf numFmtId="9" fontId="0" fillId="0" borderId="27" xfId="3" applyFont="1" applyBorder="1" applyAlignment="1">
      <alignment horizontal="center" vertical="center"/>
    </xf>
    <xf numFmtId="0" fontId="0" fillId="0" borderId="39" xfId="0" applyBorder="1"/>
    <xf numFmtId="9" fontId="0" fillId="0" borderId="31" xfId="3" applyFont="1" applyBorder="1" applyAlignment="1">
      <alignment horizontal="center"/>
    </xf>
    <xf numFmtId="9" fontId="0" fillId="0" borderId="32" xfId="3" applyFont="1" applyBorder="1" applyAlignment="1">
      <alignment horizontal="center"/>
    </xf>
    <xf numFmtId="165" fontId="0" fillId="0" borderId="67" xfId="0" applyNumberFormat="1" applyBorder="1"/>
    <xf numFmtId="165" fontId="0" fillId="0" borderId="68" xfId="0" applyNumberFormat="1" applyBorder="1"/>
    <xf numFmtId="165" fontId="0" fillId="4" borderId="10" xfId="0" applyNumberFormat="1" applyFill="1" applyBorder="1" applyAlignment="1">
      <alignment horizontal="center" vertical="center"/>
    </xf>
    <xf numFmtId="165" fontId="0" fillId="4" borderId="52" xfId="0" applyNumberFormat="1" applyFill="1" applyBorder="1" applyAlignment="1">
      <alignment horizontal="center" vertical="center"/>
    </xf>
    <xf numFmtId="165" fontId="0" fillId="0" borderId="31" xfId="0" applyNumberFormat="1" applyBorder="1"/>
    <xf numFmtId="174" fontId="0" fillId="0" borderId="27" xfId="3" applyNumberFormat="1" applyFont="1" applyBorder="1" applyAlignment="1">
      <alignment horizontal="center" vertical="center"/>
    </xf>
    <xf numFmtId="0" fontId="10" fillId="9" borderId="1" xfId="0" applyFont="1" applyFill="1" applyBorder="1" applyProtection="1">
      <protection locked="0"/>
    </xf>
    <xf numFmtId="4" fontId="0" fillId="4" borderId="1" xfId="0" applyNumberFormat="1" applyFill="1" applyBorder="1" applyProtection="1">
      <protection locked="0"/>
    </xf>
    <xf numFmtId="177" fontId="0" fillId="4" borderId="1" xfId="0" applyNumberFormat="1" applyFill="1" applyBorder="1" applyProtection="1">
      <protection locked="0"/>
    </xf>
    <xf numFmtId="2" fontId="0" fillId="4" borderId="1" xfId="0" applyNumberFormat="1" applyFill="1" applyBorder="1" applyProtection="1">
      <protection locked="0"/>
    </xf>
    <xf numFmtId="0" fontId="24" fillId="0" borderId="0" xfId="0" applyFont="1"/>
    <xf numFmtId="0" fontId="24" fillId="0" borderId="41" xfId="0" applyFont="1" applyBorder="1" applyAlignment="1">
      <alignment horizontal="center" vertical="center"/>
    </xf>
    <xf numFmtId="0" fontId="24" fillId="0" borderId="0" xfId="0" applyFont="1" applyAlignment="1">
      <alignment horizontal="center" vertical="center"/>
    </xf>
    <xf numFmtId="0" fontId="0" fillId="0" borderId="32" xfId="0" applyBorder="1"/>
    <xf numFmtId="165" fontId="0" fillId="0" borderId="32" xfId="0" applyNumberFormat="1" applyBorder="1"/>
    <xf numFmtId="0" fontId="24" fillId="0" borderId="46" xfId="0" applyFont="1" applyBorder="1"/>
    <xf numFmtId="2" fontId="0" fillId="0" borderId="1" xfId="0" applyNumberFormat="1" applyBorder="1" applyProtection="1">
      <protection locked="0"/>
    </xf>
    <xf numFmtId="0" fontId="10" fillId="9" borderId="69" xfId="0" applyFont="1" applyFill="1" applyBorder="1" applyProtection="1">
      <protection locked="0"/>
    </xf>
    <xf numFmtId="0" fontId="10" fillId="9" borderId="70" xfId="0" applyFont="1" applyFill="1" applyBorder="1" applyProtection="1">
      <protection locked="0"/>
    </xf>
    <xf numFmtId="0" fontId="10" fillId="9" borderId="58" xfId="0" applyFont="1" applyFill="1" applyBorder="1" applyProtection="1">
      <protection locked="0"/>
    </xf>
    <xf numFmtId="0" fontId="10" fillId="0" borderId="41" xfId="0" applyFont="1" applyBorder="1"/>
    <xf numFmtId="0" fontId="0" fillId="17" borderId="48" xfId="0" applyFill="1" applyBorder="1"/>
    <xf numFmtId="0" fontId="0" fillId="17" borderId="49" xfId="0" applyFill="1" applyBorder="1"/>
    <xf numFmtId="0" fontId="12" fillId="0" borderId="33" xfId="0" applyFont="1" applyBorder="1" applyAlignment="1">
      <alignment horizontal="justify" vertical="center" wrapText="1" readingOrder="1"/>
    </xf>
    <xf numFmtId="0" fontId="0" fillId="0" borderId="9" xfId="0" applyBorder="1"/>
    <xf numFmtId="0" fontId="12" fillId="0" borderId="9" xfId="0" applyFont="1" applyBorder="1" applyAlignment="1">
      <alignment horizontal="justify" vertical="center" readingOrder="1"/>
    </xf>
    <xf numFmtId="0" fontId="15" fillId="0" borderId="33" xfId="0" applyFont="1" applyBorder="1" applyAlignment="1">
      <alignment horizontal="justify" vertical="center" readingOrder="1"/>
    </xf>
    <xf numFmtId="0" fontId="12" fillId="0" borderId="33" xfId="0" applyFont="1" applyBorder="1" applyAlignment="1">
      <alignment horizontal="justify" vertical="center" readingOrder="1"/>
    </xf>
    <xf numFmtId="0" fontId="33" fillId="9" borderId="39" xfId="0" applyFont="1" applyFill="1" applyBorder="1" applyAlignment="1">
      <alignment horizontal="center"/>
    </xf>
    <xf numFmtId="0" fontId="33" fillId="9" borderId="31" xfId="0" applyFont="1" applyFill="1" applyBorder="1" applyAlignment="1">
      <alignment horizontal="center"/>
    </xf>
    <xf numFmtId="0" fontId="33" fillId="9" borderId="32" xfId="0" applyFont="1" applyFill="1" applyBorder="1" applyAlignment="1">
      <alignment horizontal="center" wrapText="1"/>
    </xf>
    <xf numFmtId="0" fontId="37" fillId="0" borderId="56" xfId="0" applyFont="1" applyBorder="1" applyAlignment="1">
      <alignment horizontal="center" vertical="center"/>
    </xf>
    <xf numFmtId="0" fontId="40" fillId="0" borderId="63" xfId="0" applyFont="1" applyBorder="1" applyAlignment="1">
      <alignment horizontal="center" vertical="center"/>
    </xf>
    <xf numFmtId="9" fontId="40" fillId="0" borderId="63" xfId="0" applyNumberFormat="1" applyFont="1" applyBorder="1" applyAlignment="1">
      <alignment horizontal="center" vertical="center"/>
    </xf>
    <xf numFmtId="0" fontId="40" fillId="0" borderId="63" xfId="0" applyFont="1" applyBorder="1" applyAlignment="1">
      <alignment horizontal="center" wrapText="1"/>
    </xf>
    <xf numFmtId="1" fontId="40" fillId="0" borderId="63" xfId="0" applyNumberFormat="1" applyFont="1" applyBorder="1" applyAlignment="1">
      <alignment horizontal="center" vertical="center"/>
    </xf>
    <xf numFmtId="0" fontId="40" fillId="0" borderId="63" xfId="0" applyFont="1" applyBorder="1" applyAlignment="1">
      <alignment vertical="center" wrapText="1"/>
    </xf>
    <xf numFmtId="0" fontId="40" fillId="0" borderId="57" xfId="0" applyFont="1" applyBorder="1" applyAlignment="1">
      <alignment vertical="center" wrapText="1"/>
    </xf>
    <xf numFmtId="173" fontId="40" fillId="0" borderId="63" xfId="5" applyNumberFormat="1" applyFont="1" applyBorder="1" applyAlignment="1">
      <alignment horizontal="center" vertical="center"/>
    </xf>
    <xf numFmtId="0" fontId="40" fillId="0" borderId="63" xfId="0" applyFont="1" applyBorder="1" applyAlignment="1">
      <alignment horizontal="left" vertical="center" wrapText="1"/>
    </xf>
    <xf numFmtId="0" fontId="40" fillId="0" borderId="57" xfId="0" applyFont="1" applyBorder="1" applyAlignment="1">
      <alignment wrapText="1"/>
    </xf>
    <xf numFmtId="174" fontId="40" fillId="0" borderId="63" xfId="3" applyNumberFormat="1" applyFont="1" applyBorder="1" applyAlignment="1">
      <alignment horizontal="center" vertical="center"/>
    </xf>
    <xf numFmtId="9" fontId="40" fillId="0" borderId="63" xfId="3" applyFont="1" applyBorder="1" applyAlignment="1">
      <alignment horizontal="center" vertical="center"/>
    </xf>
    <xf numFmtId="0" fontId="40" fillId="0" borderId="63" xfId="0" applyFont="1" applyBorder="1" applyAlignment="1">
      <alignment wrapText="1"/>
    </xf>
    <xf numFmtId="0" fontId="33" fillId="13" borderId="39" xfId="0" applyFont="1" applyFill="1" applyBorder="1" applyAlignment="1">
      <alignment horizontal="center"/>
    </xf>
    <xf numFmtId="0" fontId="33" fillId="13" borderId="31" xfId="0" applyFont="1" applyFill="1" applyBorder="1" applyAlignment="1">
      <alignment horizontal="center"/>
    </xf>
    <xf numFmtId="0" fontId="33" fillId="13" borderId="32" xfId="0" applyFont="1" applyFill="1" applyBorder="1" applyAlignment="1">
      <alignment horizontal="center" wrapText="1"/>
    </xf>
    <xf numFmtId="0" fontId="37" fillId="0" borderId="56" xfId="0" applyFont="1" applyBorder="1" applyAlignment="1">
      <alignment horizontal="center" vertical="center" wrapText="1"/>
    </xf>
    <xf numFmtId="0" fontId="41" fillId="14" borderId="39" xfId="0" applyFont="1" applyFill="1" applyBorder="1" applyAlignment="1">
      <alignment horizontal="center"/>
    </xf>
    <xf numFmtId="0" fontId="41" fillId="14" borderId="31" xfId="0" applyFont="1" applyFill="1" applyBorder="1" applyAlignment="1">
      <alignment horizontal="center"/>
    </xf>
    <xf numFmtId="0" fontId="41" fillId="14" borderId="32" xfId="0" applyFont="1" applyFill="1" applyBorder="1" applyAlignment="1">
      <alignment horizontal="center" wrapText="1"/>
    </xf>
    <xf numFmtId="0" fontId="41" fillId="15" borderId="45" xfId="0" applyFont="1" applyFill="1" applyBorder="1" applyAlignment="1">
      <alignment horizontal="center"/>
    </xf>
    <xf numFmtId="0" fontId="41" fillId="15" borderId="46" xfId="0" applyFont="1" applyFill="1" applyBorder="1" applyAlignment="1">
      <alignment horizontal="center"/>
    </xf>
    <xf numFmtId="0" fontId="41" fillId="15" borderId="47" xfId="0" applyFont="1" applyFill="1" applyBorder="1" applyAlignment="1">
      <alignment horizontal="center" wrapText="1"/>
    </xf>
    <xf numFmtId="0" fontId="42" fillId="0" borderId="56" xfId="0" applyFont="1" applyBorder="1" applyAlignment="1">
      <alignment horizontal="center" vertical="center"/>
    </xf>
    <xf numFmtId="0" fontId="43" fillId="0" borderId="63" xfId="0" applyFont="1" applyBorder="1" applyAlignment="1">
      <alignment horizontal="center" vertical="center"/>
    </xf>
    <xf numFmtId="9" fontId="43" fillId="0" borderId="63" xfId="0" applyNumberFormat="1" applyFont="1" applyBorder="1" applyAlignment="1">
      <alignment horizontal="center" vertical="center"/>
    </xf>
    <xf numFmtId="0" fontId="43" fillId="0" borderId="63" xfId="0" applyFont="1" applyBorder="1" applyAlignment="1">
      <alignment horizontal="center" vertical="center" wrapText="1"/>
    </xf>
    <xf numFmtId="0" fontId="43" fillId="0" borderId="63" xfId="0" applyFont="1" applyBorder="1" applyAlignment="1">
      <alignment horizontal="center" wrapText="1"/>
    </xf>
    <xf numFmtId="0" fontId="43" fillId="0" borderId="57" xfId="0" applyFont="1" applyBorder="1" applyAlignment="1">
      <alignment horizontal="center" wrapText="1"/>
    </xf>
    <xf numFmtId="1" fontId="43" fillId="0" borderId="63" xfId="0" applyNumberFormat="1" applyFont="1" applyBorder="1" applyAlignment="1">
      <alignment horizontal="center" vertical="center"/>
    </xf>
    <xf numFmtId="0" fontId="43" fillId="0" borderId="63" xfId="0" applyFont="1" applyBorder="1" applyAlignment="1">
      <alignment vertical="center" wrapText="1"/>
    </xf>
    <xf numFmtId="0" fontId="43" fillId="0" borderId="57" xfId="0" applyFont="1" applyBorder="1" applyAlignment="1">
      <alignment vertical="center" wrapText="1"/>
    </xf>
    <xf numFmtId="166" fontId="43" fillId="0" borderId="63" xfId="5" applyFont="1" applyBorder="1" applyAlignment="1">
      <alignment horizontal="center" vertical="center"/>
    </xf>
    <xf numFmtId="0" fontId="43" fillId="0" borderId="63" xfId="0" applyFont="1" applyBorder="1" applyAlignment="1">
      <alignment horizontal="left" vertical="center" wrapText="1"/>
    </xf>
    <xf numFmtId="0" fontId="43" fillId="0" borderId="57" xfId="0" applyFont="1" applyBorder="1" applyAlignment="1">
      <alignment wrapText="1"/>
    </xf>
    <xf numFmtId="0" fontId="42" fillId="0" borderId="56" xfId="0" applyFont="1" applyBorder="1" applyAlignment="1">
      <alignment horizontal="center" vertical="center" wrapText="1"/>
    </xf>
    <xf numFmtId="9" fontId="43" fillId="0" borderId="63" xfId="3" applyFont="1" applyBorder="1" applyAlignment="1">
      <alignment horizontal="center" vertical="center"/>
    </xf>
    <xf numFmtId="0" fontId="43" fillId="0" borderId="63" xfId="0" applyFont="1" applyBorder="1" applyAlignment="1">
      <alignment wrapText="1"/>
    </xf>
    <xf numFmtId="0" fontId="10" fillId="9" borderId="33" xfId="0" applyFont="1" applyFill="1" applyBorder="1" applyAlignment="1" applyProtection="1">
      <alignment horizontal="center"/>
      <protection locked="0"/>
    </xf>
    <xf numFmtId="0" fontId="0" fillId="0" borderId="44" xfId="0" applyBorder="1"/>
    <xf numFmtId="0" fontId="29" fillId="0" borderId="33" xfId="0" applyFont="1" applyBorder="1" applyAlignment="1">
      <alignment horizontal="center" vertical="center"/>
    </xf>
    <xf numFmtId="0" fontId="10" fillId="9" borderId="36" xfId="0" applyFont="1" applyFill="1" applyBorder="1" applyProtection="1">
      <protection locked="0"/>
    </xf>
    <xf numFmtId="0" fontId="10" fillId="9" borderId="33" xfId="0" applyFont="1" applyFill="1" applyBorder="1" applyProtection="1">
      <protection locked="0"/>
    </xf>
    <xf numFmtId="168" fontId="40" fillId="3" borderId="1" xfId="1" applyNumberFormat="1" applyFont="1" applyFill="1" applyBorder="1" applyAlignment="1" applyProtection="1">
      <alignment horizontal="left" vertical="center"/>
    </xf>
    <xf numFmtId="0" fontId="40" fillId="0" borderId="37" xfId="0" applyFont="1" applyBorder="1"/>
    <xf numFmtId="0" fontId="40" fillId="0" borderId="38" xfId="0" applyFont="1" applyBorder="1"/>
    <xf numFmtId="0" fontId="40" fillId="0" borderId="39" xfId="0" applyFont="1" applyBorder="1" applyAlignment="1">
      <alignment horizontal="center" wrapText="1"/>
    </xf>
    <xf numFmtId="0" fontId="40" fillId="0" borderId="37" xfId="0" applyFont="1" applyBorder="1" applyAlignment="1">
      <alignment horizontal="center" wrapText="1"/>
    </xf>
    <xf numFmtId="0" fontId="40" fillId="0" borderId="38" xfId="0" applyFont="1" applyBorder="1" applyAlignment="1">
      <alignment horizontal="center" wrapText="1"/>
    </xf>
    <xf numFmtId="0" fontId="40" fillId="0" borderId="56" xfId="0" applyFont="1" applyBorder="1"/>
    <xf numFmtId="0" fontId="40" fillId="0" borderId="66" xfId="0" applyFont="1" applyBorder="1"/>
    <xf numFmtId="0" fontId="40" fillId="0" borderId="39" xfId="0" applyFont="1" applyBorder="1"/>
    <xf numFmtId="0" fontId="40" fillId="0" borderId="53" xfId="0" applyFont="1" applyBorder="1" applyAlignment="1">
      <alignment wrapText="1"/>
    </xf>
    <xf numFmtId="0" fontId="46" fillId="2" borderId="11" xfId="0" applyFont="1" applyFill="1" applyBorder="1" applyAlignment="1">
      <alignment vertical="center"/>
    </xf>
    <xf numFmtId="0" fontId="47" fillId="2" borderId="11" xfId="0" applyFont="1" applyFill="1" applyBorder="1" applyAlignment="1">
      <alignment vertical="center" wrapText="1"/>
    </xf>
    <xf numFmtId="0" fontId="46" fillId="2" borderId="11" xfId="0" applyFont="1" applyFill="1" applyBorder="1" applyAlignment="1">
      <alignment vertical="center" wrapText="1"/>
    </xf>
    <xf numFmtId="0" fontId="46" fillId="2" borderId="15" xfId="0" applyFont="1" applyFill="1" applyBorder="1" applyAlignment="1">
      <alignment vertical="center" wrapText="1"/>
    </xf>
    <xf numFmtId="0" fontId="21" fillId="0" borderId="0" xfId="0" applyFont="1" applyAlignment="1">
      <alignment horizontal="center" wrapText="1"/>
    </xf>
    <xf numFmtId="0" fontId="0" fillId="15" borderId="24" xfId="0" applyFill="1" applyBorder="1"/>
    <xf numFmtId="1" fontId="0" fillId="15" borderId="1" xfId="3" applyNumberFormat="1" applyFont="1" applyFill="1" applyBorder="1"/>
    <xf numFmtId="1" fontId="0" fillId="15" borderId="31" xfId="3" applyNumberFormat="1" applyFont="1" applyFill="1" applyBorder="1"/>
    <xf numFmtId="1" fontId="0" fillId="15" borderId="1" xfId="0" applyNumberFormat="1" applyFill="1" applyBorder="1"/>
    <xf numFmtId="1" fontId="0" fillId="15" borderId="31" xfId="0" applyNumberFormat="1" applyFill="1" applyBorder="1"/>
    <xf numFmtId="1" fontId="0" fillId="15" borderId="27" xfId="0" applyNumberFormat="1" applyFill="1" applyBorder="1"/>
    <xf numFmtId="0" fontId="0" fillId="4" borderId="31" xfId="0" applyFill="1" applyBorder="1"/>
    <xf numFmtId="0" fontId="0" fillId="0" borderId="46" xfId="0" applyBorder="1"/>
    <xf numFmtId="0" fontId="0" fillId="0" borderId="43" xfId="0" applyBorder="1"/>
    <xf numFmtId="0" fontId="39" fillId="0" borderId="33" xfId="0" applyFont="1" applyBorder="1" applyAlignment="1">
      <alignment horizontal="center" vertical="center" wrapText="1" readingOrder="1"/>
    </xf>
    <xf numFmtId="0" fontId="0" fillId="4" borderId="8" xfId="0" applyFill="1" applyBorder="1" applyProtection="1">
      <protection locked="0"/>
    </xf>
    <xf numFmtId="0" fontId="7" fillId="0" borderId="63" xfId="0" applyFont="1" applyBorder="1"/>
    <xf numFmtId="4" fontId="7" fillId="0" borderId="63" xfId="0" applyNumberFormat="1" applyFont="1" applyBorder="1"/>
    <xf numFmtId="3" fontId="7" fillId="0" borderId="63" xfId="0" applyNumberFormat="1" applyFont="1" applyBorder="1"/>
    <xf numFmtId="1" fontId="7" fillId="0" borderId="63" xfId="0" applyNumberFormat="1" applyFont="1" applyBorder="1"/>
    <xf numFmtId="3" fontId="7" fillId="0" borderId="57" xfId="0" applyNumberFormat="1" applyFont="1" applyBorder="1"/>
    <xf numFmtId="0" fontId="40" fillId="0" borderId="57" xfId="0" applyFont="1" applyBorder="1" applyAlignment="1">
      <alignment horizontal="left" vertical="top" wrapText="1"/>
    </xf>
    <xf numFmtId="0" fontId="40" fillId="0" borderId="63" xfId="0" applyFont="1" applyBorder="1" applyAlignment="1">
      <alignment horizontal="left" vertical="top" wrapText="1"/>
    </xf>
    <xf numFmtId="0" fontId="0" fillId="0" borderId="0" xfId="0" applyAlignment="1">
      <alignment vertical="center" wrapText="1"/>
    </xf>
    <xf numFmtId="0" fontId="0" fillId="0" borderId="41" xfId="0" applyBorder="1"/>
    <xf numFmtId="168" fontId="3" fillId="9" borderId="1" xfId="1" applyNumberFormat="1" applyFont="1" applyFill="1" applyBorder="1" applyAlignment="1" applyProtection="1">
      <alignment horizontal="left" vertical="center"/>
      <protection locked="0"/>
    </xf>
    <xf numFmtId="0" fontId="0" fillId="9" borderId="1" xfId="0" applyFill="1" applyBorder="1" applyProtection="1">
      <protection locked="0"/>
    </xf>
    <xf numFmtId="0" fontId="0" fillId="9" borderId="8" xfId="0" applyFill="1" applyBorder="1" applyProtection="1">
      <protection locked="0"/>
    </xf>
    <xf numFmtId="3" fontId="0" fillId="9" borderId="1" xfId="0" applyNumberFormat="1" applyFill="1" applyBorder="1" applyProtection="1">
      <protection locked="0"/>
    </xf>
    <xf numFmtId="0" fontId="0" fillId="0" borderId="27" xfId="0" applyBorder="1"/>
    <xf numFmtId="0" fontId="0" fillId="4" borderId="38" xfId="0" applyFill="1" applyBorder="1"/>
    <xf numFmtId="0" fontId="40" fillId="0" borderId="38" xfId="0" applyFont="1" applyBorder="1" applyAlignment="1">
      <alignment wrapText="1"/>
    </xf>
    <xf numFmtId="3" fontId="0" fillId="4" borderId="27" xfId="0" applyNumberFormat="1" applyFill="1" applyBorder="1"/>
    <xf numFmtId="0" fontId="40" fillId="4" borderId="61" xfId="0" applyFont="1" applyFill="1" applyBorder="1" applyAlignment="1">
      <alignment wrapText="1"/>
    </xf>
    <xf numFmtId="3" fontId="0" fillId="4" borderId="62" xfId="0" applyNumberFormat="1" applyFill="1" applyBorder="1"/>
    <xf numFmtId="3" fontId="0" fillId="0" borderId="57" xfId="0" applyNumberFormat="1" applyBorder="1"/>
    <xf numFmtId="3" fontId="0" fillId="4" borderId="27" xfId="0" applyNumberFormat="1" applyFill="1" applyBorder="1" applyProtection="1">
      <protection locked="0"/>
    </xf>
    <xf numFmtId="3" fontId="0" fillId="9" borderId="31" xfId="0" applyNumberFormat="1" applyFill="1" applyBorder="1" applyProtection="1">
      <protection locked="0"/>
    </xf>
    <xf numFmtId="3" fontId="0" fillId="4" borderId="32" xfId="0" applyNumberFormat="1" applyFill="1" applyBorder="1" applyProtection="1">
      <protection locked="0"/>
    </xf>
    <xf numFmtId="0" fontId="0" fillId="9" borderId="10" xfId="0" applyFill="1" applyBorder="1" applyProtection="1">
      <protection locked="0"/>
    </xf>
    <xf numFmtId="3" fontId="0" fillId="9" borderId="10" xfId="0" applyNumberFormat="1" applyFill="1" applyBorder="1" applyProtection="1">
      <protection locked="0"/>
    </xf>
    <xf numFmtId="169" fontId="5" fillId="5" borderId="39" xfId="2" applyNumberFormat="1" applyFont="1" applyFill="1" applyBorder="1" applyAlignment="1">
      <alignment horizontal="center" vertical="center"/>
    </xf>
    <xf numFmtId="169" fontId="5" fillId="5" borderId="31" xfId="2" applyNumberFormat="1" applyFont="1" applyFill="1" applyBorder="1" applyAlignment="1">
      <alignment horizontal="center" vertical="center"/>
    </xf>
    <xf numFmtId="169" fontId="5" fillId="5" borderId="32" xfId="2" applyNumberFormat="1" applyFont="1" applyFill="1" applyBorder="1" applyAlignment="1">
      <alignment horizontal="center" vertical="center"/>
    </xf>
    <xf numFmtId="0" fontId="40" fillId="0" borderId="53" xfId="0" applyFont="1" applyBorder="1"/>
    <xf numFmtId="1" fontId="0" fillId="4" borderId="10" xfId="0" applyNumberFormat="1" applyFill="1" applyBorder="1"/>
    <xf numFmtId="3" fontId="0" fillId="0" borderId="52" xfId="0" applyNumberFormat="1" applyBorder="1"/>
    <xf numFmtId="0" fontId="0" fillId="4" borderId="53" xfId="0" applyFill="1" applyBorder="1" applyAlignment="1">
      <alignment wrapText="1"/>
    </xf>
    <xf numFmtId="3" fontId="0" fillId="4" borderId="52" xfId="0" applyNumberFormat="1" applyFill="1" applyBorder="1" applyProtection="1">
      <protection locked="0"/>
    </xf>
    <xf numFmtId="0" fontId="37" fillId="9" borderId="34" xfId="0" applyFont="1" applyFill="1" applyBorder="1" applyAlignment="1">
      <alignment wrapText="1"/>
    </xf>
    <xf numFmtId="169" fontId="5" fillId="5" borderId="31" xfId="2" applyNumberFormat="1" applyFont="1" applyFill="1" applyBorder="1" applyAlignment="1">
      <alignment horizontal="center" vertical="center" wrapText="1"/>
    </xf>
    <xf numFmtId="169" fontId="6" fillId="5" borderId="31" xfId="2" applyNumberFormat="1" applyFont="1" applyFill="1" applyBorder="1" applyAlignment="1">
      <alignment horizontal="center" vertical="center" wrapText="1"/>
    </xf>
    <xf numFmtId="1" fontId="0" fillId="4" borderId="24" xfId="0" applyNumberFormat="1" applyFill="1" applyBorder="1"/>
    <xf numFmtId="4" fontId="0" fillId="4" borderId="24" xfId="0" applyNumberFormat="1" applyFill="1" applyBorder="1" applyProtection="1">
      <protection locked="0"/>
    </xf>
    <xf numFmtId="0" fontId="0" fillId="9" borderId="24" xfId="0" applyFill="1" applyBorder="1" applyProtection="1">
      <protection locked="0"/>
    </xf>
    <xf numFmtId="3" fontId="0" fillId="9" borderId="24" xfId="0" applyNumberFormat="1" applyFill="1" applyBorder="1" applyProtection="1">
      <protection locked="0"/>
    </xf>
    <xf numFmtId="0" fontId="0" fillId="4" borderId="31" xfId="0" applyFill="1" applyBorder="1" applyProtection="1">
      <protection locked="0"/>
    </xf>
    <xf numFmtId="0" fontId="0" fillId="9" borderId="31" xfId="0" applyFill="1" applyBorder="1" applyProtection="1">
      <protection locked="0"/>
    </xf>
    <xf numFmtId="0" fontId="40" fillId="0" borderId="37" xfId="0" applyFont="1" applyBorder="1" applyAlignment="1">
      <alignment wrapText="1"/>
    </xf>
    <xf numFmtId="165" fontId="43" fillId="4" borderId="38" xfId="0" applyNumberFormat="1" applyFont="1" applyFill="1" applyBorder="1" applyAlignment="1">
      <alignment horizontal="left"/>
    </xf>
    <xf numFmtId="165" fontId="40" fillId="4" borderId="38" xfId="2" applyFont="1" applyFill="1" applyBorder="1" applyAlignment="1" applyProtection="1">
      <alignment horizontal="left"/>
    </xf>
    <xf numFmtId="165" fontId="40" fillId="4" borderId="39" xfId="2" applyFont="1" applyFill="1" applyBorder="1" applyAlignment="1" applyProtection="1">
      <alignment horizontal="left"/>
    </xf>
    <xf numFmtId="0" fontId="0" fillId="0" borderId="24" xfId="0" applyBorder="1" applyProtection="1">
      <protection locked="0"/>
    </xf>
    <xf numFmtId="0" fontId="40" fillId="4" borderId="39" xfId="0" applyFont="1" applyFill="1" applyBorder="1" applyAlignment="1">
      <alignment horizontal="left" vertical="top" wrapText="1"/>
    </xf>
    <xf numFmtId="0" fontId="0" fillId="0" borderId="31" xfId="0" applyBorder="1" applyProtection="1">
      <protection locked="0"/>
    </xf>
    <xf numFmtId="169" fontId="5" fillId="4" borderId="39" xfId="2" applyNumberFormat="1" applyFont="1" applyFill="1" applyBorder="1" applyAlignment="1">
      <alignment horizontal="center" vertical="center"/>
    </xf>
    <xf numFmtId="169" fontId="5" fillId="4" borderId="31" xfId="2" applyNumberFormat="1" applyFont="1" applyFill="1" applyBorder="1" applyAlignment="1">
      <alignment horizontal="center" vertical="center"/>
    </xf>
    <xf numFmtId="169" fontId="5" fillId="4" borderId="32" xfId="2" applyNumberFormat="1" applyFont="1" applyFill="1" applyBorder="1" applyAlignment="1">
      <alignment horizontal="center" vertical="center"/>
    </xf>
    <xf numFmtId="0" fontId="40" fillId="4" borderId="37" xfId="0" applyFont="1" applyFill="1" applyBorder="1"/>
    <xf numFmtId="3" fontId="0" fillId="4" borderId="24" xfId="0" applyNumberFormat="1" applyFill="1" applyBorder="1"/>
    <xf numFmtId="3" fontId="0" fillId="4" borderId="25" xfId="0" applyNumberFormat="1" applyFill="1" applyBorder="1"/>
    <xf numFmtId="0" fontId="40" fillId="4" borderId="38" xfId="0" applyFont="1" applyFill="1" applyBorder="1"/>
    <xf numFmtId="3" fontId="0" fillId="4" borderId="32" xfId="0" applyNumberFormat="1" applyFill="1" applyBorder="1"/>
    <xf numFmtId="9" fontId="49" fillId="9" borderId="65" xfId="0" applyNumberFormat="1" applyFont="1" applyFill="1" applyBorder="1" applyAlignment="1" applyProtection="1">
      <alignment horizontal="center"/>
      <protection locked="0"/>
    </xf>
    <xf numFmtId="176" fontId="49" fillId="9" borderId="14" xfId="5" applyNumberFormat="1" applyFont="1" applyFill="1" applyBorder="1" applyAlignment="1" applyProtection="1">
      <alignment horizontal="center"/>
      <protection locked="0"/>
    </xf>
    <xf numFmtId="0" fontId="40" fillId="0" borderId="38" xfId="0" applyFont="1" applyBorder="1" applyProtection="1">
      <protection locked="0"/>
    </xf>
    <xf numFmtId="0" fontId="40" fillId="0" borderId="39" xfId="0" applyFont="1" applyBorder="1" applyProtection="1">
      <protection locked="0"/>
    </xf>
    <xf numFmtId="0" fontId="37" fillId="0" borderId="56" xfId="0" applyFont="1" applyBorder="1"/>
    <xf numFmtId="2" fontId="7" fillId="0" borderId="63" xfId="0" applyNumberFormat="1" applyFont="1" applyBorder="1"/>
    <xf numFmtId="169" fontId="37" fillId="5" borderId="56" xfId="2" applyNumberFormat="1" applyFont="1" applyFill="1" applyBorder="1" applyAlignment="1">
      <alignment horizontal="center" vertical="center"/>
    </xf>
    <xf numFmtId="169" fontId="37" fillId="5" borderId="63" xfId="2" applyNumberFormat="1" applyFont="1" applyFill="1" applyBorder="1" applyAlignment="1">
      <alignment horizontal="center" vertical="center"/>
    </xf>
    <xf numFmtId="169" fontId="37" fillId="5" borderId="63" xfId="2" applyNumberFormat="1" applyFont="1" applyFill="1" applyBorder="1" applyAlignment="1">
      <alignment horizontal="center" vertical="center" wrapText="1"/>
    </xf>
    <xf numFmtId="169" fontId="37" fillId="5" borderId="50" xfId="2" applyNumberFormat="1" applyFont="1" applyFill="1" applyBorder="1" applyAlignment="1">
      <alignment horizontal="center" vertical="center" wrapText="1"/>
    </xf>
    <xf numFmtId="169" fontId="37" fillId="5" borderId="57" xfId="2" applyNumberFormat="1" applyFont="1" applyFill="1" applyBorder="1" applyAlignment="1">
      <alignment horizontal="center" vertical="center" wrapText="1"/>
    </xf>
    <xf numFmtId="169" fontId="37" fillId="5" borderId="39" xfId="2" applyNumberFormat="1" applyFont="1" applyFill="1" applyBorder="1" applyAlignment="1">
      <alignment horizontal="center" vertical="center"/>
    </xf>
    <xf numFmtId="169" fontId="37" fillId="5" borderId="31" xfId="2" applyNumberFormat="1" applyFont="1" applyFill="1" applyBorder="1" applyAlignment="1">
      <alignment horizontal="center" vertical="center"/>
    </xf>
    <xf numFmtId="169" fontId="37" fillId="5" borderId="31" xfId="2" applyNumberFormat="1" applyFont="1" applyFill="1" applyBorder="1" applyAlignment="1">
      <alignment horizontal="center" vertical="center" wrapText="1"/>
    </xf>
    <xf numFmtId="169" fontId="37" fillId="5" borderId="32" xfId="2" applyNumberFormat="1" applyFont="1" applyFill="1" applyBorder="1" applyAlignment="1">
      <alignment horizontal="center" vertical="center" wrapText="1"/>
    </xf>
    <xf numFmtId="169" fontId="37" fillId="5" borderId="8" xfId="2" applyNumberFormat="1" applyFont="1" applyFill="1" applyBorder="1" applyAlignment="1">
      <alignment horizontal="center" vertical="center" wrapText="1"/>
    </xf>
    <xf numFmtId="169" fontId="37" fillId="5" borderId="32" xfId="2" applyNumberFormat="1" applyFont="1" applyFill="1" applyBorder="1" applyAlignment="1">
      <alignment horizontal="center" vertical="center"/>
    </xf>
    <xf numFmtId="169" fontId="37" fillId="5" borderId="47" xfId="2" applyNumberFormat="1" applyFont="1" applyFill="1" applyBorder="1" applyAlignment="1">
      <alignment horizontal="center" vertical="center" wrapText="1"/>
    </xf>
    <xf numFmtId="0" fontId="40" fillId="4" borderId="39" xfId="0" applyFont="1" applyFill="1" applyBorder="1" applyAlignment="1">
      <alignment wrapText="1"/>
    </xf>
    <xf numFmtId="3" fontId="7" fillId="4" borderId="72" xfId="0" applyNumberFormat="1" applyFont="1" applyFill="1" applyBorder="1" applyProtection="1">
      <protection locked="0"/>
    </xf>
    <xf numFmtId="0" fontId="7" fillId="0" borderId="72" xfId="0" applyFont="1" applyBorder="1"/>
    <xf numFmtId="165" fontId="40" fillId="4" borderId="39" xfId="2" applyFont="1" applyFill="1" applyBorder="1" applyAlignment="1" applyProtection="1">
      <alignment horizontal="left" wrapText="1"/>
    </xf>
    <xf numFmtId="0" fontId="37" fillId="4" borderId="37" xfId="0" applyFont="1" applyFill="1" applyBorder="1"/>
    <xf numFmtId="3" fontId="7" fillId="4" borderId="24" xfId="0" applyNumberFormat="1" applyFont="1" applyFill="1" applyBorder="1"/>
    <xf numFmtId="3" fontId="7" fillId="4" borderId="25" xfId="0" applyNumberFormat="1" applyFont="1" applyFill="1" applyBorder="1"/>
    <xf numFmtId="0" fontId="37" fillId="4" borderId="39" xfId="0" applyFont="1" applyFill="1" applyBorder="1"/>
    <xf numFmtId="2" fontId="7" fillId="4" borderId="31" xfId="0" applyNumberFormat="1" applyFont="1" applyFill="1" applyBorder="1"/>
    <xf numFmtId="0" fontId="7" fillId="4" borderId="32" xfId="0" applyFont="1" applyFill="1" applyBorder="1"/>
    <xf numFmtId="0" fontId="7" fillId="0" borderId="63" xfId="0" applyFont="1" applyBorder="1" applyProtection="1">
      <protection locked="0"/>
    </xf>
    <xf numFmtId="0" fontId="7" fillId="4" borderId="63" xfId="0" applyFont="1" applyFill="1" applyBorder="1"/>
    <xf numFmtId="0" fontId="7" fillId="0" borderId="71" xfId="0" applyFont="1" applyBorder="1"/>
    <xf numFmtId="0" fontId="7" fillId="2" borderId="79" xfId="0" applyFont="1" applyFill="1" applyBorder="1" applyAlignment="1">
      <alignment horizontal="center"/>
    </xf>
    <xf numFmtId="165" fontId="7" fillId="2" borderId="80" xfId="2" applyFont="1" applyFill="1" applyBorder="1" applyAlignment="1" applyProtection="1">
      <alignment horizontal="left"/>
    </xf>
    <xf numFmtId="165" fontId="7" fillId="2" borderId="79" xfId="2" applyFont="1" applyFill="1" applyBorder="1" applyAlignment="1" applyProtection="1">
      <alignment horizontal="left"/>
    </xf>
    <xf numFmtId="165" fontId="7" fillId="2" borderId="81" xfId="2" applyFont="1" applyFill="1" applyBorder="1" applyAlignment="1" applyProtection="1">
      <alignment horizontal="left"/>
    </xf>
    <xf numFmtId="171" fontId="0" fillId="6" borderId="85" xfId="4" applyNumberFormat="1" applyFont="1" applyFill="1" applyBorder="1" applyAlignment="1" applyProtection="1">
      <alignment horizontal="center"/>
    </xf>
    <xf numFmtId="172" fontId="0" fillId="6" borderId="86" xfId="2" applyNumberFormat="1" applyFont="1" applyFill="1" applyBorder="1" applyAlignment="1" applyProtection="1">
      <alignment horizontal="left"/>
    </xf>
    <xf numFmtId="172" fontId="0" fillId="6" borderId="85" xfId="2" applyNumberFormat="1" applyFont="1" applyFill="1" applyBorder="1" applyAlignment="1" applyProtection="1">
      <alignment horizontal="left"/>
    </xf>
    <xf numFmtId="172" fontId="0" fillId="6" borderId="87" xfId="2" applyNumberFormat="1" applyFont="1" applyFill="1" applyBorder="1" applyAlignment="1" applyProtection="1">
      <alignment horizontal="left"/>
    </xf>
    <xf numFmtId="172" fontId="0" fillId="6" borderId="88" xfId="2" applyNumberFormat="1" applyFont="1" applyFill="1" applyBorder="1" applyAlignment="1" applyProtection="1">
      <alignment horizontal="left"/>
    </xf>
    <xf numFmtId="9" fontId="9" fillId="9" borderId="89" xfId="0" applyNumberFormat="1" applyFont="1" applyFill="1" applyBorder="1" applyAlignment="1" applyProtection="1">
      <alignment horizontal="center"/>
      <protection locked="0"/>
    </xf>
    <xf numFmtId="9" fontId="9" fillId="9" borderId="90" xfId="0" applyNumberFormat="1" applyFont="1" applyFill="1" applyBorder="1" applyAlignment="1" applyProtection="1">
      <alignment horizontal="center"/>
      <protection locked="0"/>
    </xf>
    <xf numFmtId="9" fontId="9" fillId="9" borderId="91" xfId="0" applyNumberFormat="1" applyFont="1" applyFill="1" applyBorder="1" applyAlignment="1" applyProtection="1">
      <alignment horizontal="center"/>
      <protection locked="0"/>
    </xf>
    <xf numFmtId="0" fontId="46" fillId="2" borderId="93" xfId="0" applyFont="1" applyFill="1" applyBorder="1" applyAlignment="1">
      <alignment horizontal="center" wrapText="1"/>
    </xf>
    <xf numFmtId="0" fontId="46" fillId="2" borderId="74" xfId="0" applyFont="1" applyFill="1" applyBorder="1" applyAlignment="1">
      <alignment horizontal="center"/>
    </xf>
    <xf numFmtId="0" fontId="46" fillId="2" borderId="93" xfId="0" applyFont="1" applyFill="1" applyBorder="1" applyAlignment="1">
      <alignment horizontal="center"/>
    </xf>
    <xf numFmtId="0" fontId="46" fillId="2" borderId="75" xfId="0" applyFont="1" applyFill="1" applyBorder="1" applyAlignment="1">
      <alignment horizontal="center"/>
    </xf>
    <xf numFmtId="0" fontId="0" fillId="6" borderId="80" xfId="0" applyFill="1" applyBorder="1" applyAlignment="1">
      <alignment horizontal="center"/>
    </xf>
    <xf numFmtId="1" fontId="0" fillId="6" borderId="80" xfId="0" applyNumberFormat="1" applyFill="1" applyBorder="1" applyAlignment="1">
      <alignment vertical="center"/>
    </xf>
    <xf numFmtId="168" fontId="0" fillId="6" borderId="80" xfId="0" applyNumberFormat="1" applyFill="1" applyBorder="1" applyAlignment="1">
      <alignment horizontal="left"/>
    </xf>
    <xf numFmtId="168" fontId="0" fillId="6" borderId="79" xfId="0" applyNumberFormat="1" applyFill="1" applyBorder="1" applyAlignment="1">
      <alignment horizontal="left"/>
    </xf>
    <xf numFmtId="165" fontId="0" fillId="6" borderId="80" xfId="0" applyNumberFormat="1" applyFill="1" applyBorder="1" applyAlignment="1">
      <alignment horizontal="left"/>
    </xf>
    <xf numFmtId="165" fontId="0" fillId="6" borderId="81" xfId="0" applyNumberFormat="1" applyFill="1" applyBorder="1" applyAlignment="1">
      <alignment horizontal="left"/>
    </xf>
    <xf numFmtId="165" fontId="0" fillId="6" borderId="95" xfId="2" applyFont="1" applyFill="1" applyBorder="1" applyAlignment="1" applyProtection="1">
      <alignment horizontal="left"/>
    </xf>
    <xf numFmtId="165" fontId="0" fillId="6" borderId="95" xfId="0" applyNumberFormat="1" applyFill="1" applyBorder="1" applyAlignment="1">
      <alignment horizontal="left"/>
    </xf>
    <xf numFmtId="0" fontId="0" fillId="6" borderId="85" xfId="0" applyFill="1" applyBorder="1" applyAlignment="1">
      <alignment horizontal="center"/>
    </xf>
    <xf numFmtId="165" fontId="0" fillId="6" borderId="86" xfId="2" applyFont="1" applyFill="1" applyBorder="1" applyAlignment="1" applyProtection="1">
      <alignment horizontal="left"/>
    </xf>
    <xf numFmtId="165" fontId="0" fillId="6" borderId="85" xfId="2" applyFont="1" applyFill="1" applyBorder="1" applyAlignment="1" applyProtection="1">
      <alignment horizontal="left"/>
    </xf>
    <xf numFmtId="165" fontId="0" fillId="6" borderId="86" xfId="2" applyFont="1" applyFill="1" applyBorder="1" applyAlignment="1" applyProtection="1">
      <alignment vertical="center"/>
    </xf>
    <xf numFmtId="165" fontId="0" fillId="6" borderId="96" xfId="2" applyFont="1" applyFill="1" applyBorder="1" applyAlignment="1" applyProtection="1">
      <alignment horizontal="left"/>
    </xf>
    <xf numFmtId="0" fontId="46" fillId="2" borderId="33" xfId="0" applyFont="1" applyFill="1" applyBorder="1" applyAlignment="1">
      <alignment horizontal="center" wrapText="1"/>
    </xf>
    <xf numFmtId="165" fontId="0" fillId="6" borderId="95" xfId="2" applyFont="1" applyFill="1" applyBorder="1" applyAlignment="1" applyProtection="1">
      <alignment vertical="center"/>
    </xf>
    <xf numFmtId="167" fontId="0" fillId="6" borderId="95" xfId="2" applyNumberFormat="1" applyFont="1" applyFill="1" applyBorder="1" applyAlignment="1" applyProtection="1">
      <alignment horizontal="left"/>
    </xf>
    <xf numFmtId="0" fontId="40" fillId="0" borderId="0" xfId="0" applyFont="1"/>
    <xf numFmtId="3" fontId="0" fillId="4" borderId="25" xfId="0" applyNumberFormat="1" applyFill="1" applyBorder="1" applyProtection="1">
      <protection locked="0"/>
    </xf>
    <xf numFmtId="3" fontId="7" fillId="4" borderId="63" xfId="0" applyNumberFormat="1" applyFont="1" applyFill="1" applyBorder="1" applyProtection="1">
      <protection locked="0"/>
    </xf>
    <xf numFmtId="3" fontId="7" fillId="4" borderId="57" xfId="0" applyNumberFormat="1" applyFont="1" applyFill="1" applyBorder="1" applyProtection="1">
      <protection locked="0"/>
    </xf>
    <xf numFmtId="0" fontId="40" fillId="4" borderId="37" xfId="0" applyFont="1" applyFill="1" applyBorder="1" applyAlignment="1">
      <alignment wrapText="1"/>
    </xf>
    <xf numFmtId="169" fontId="21" fillId="5" borderId="32" xfId="2" applyNumberFormat="1" applyFont="1" applyFill="1" applyBorder="1" applyAlignment="1">
      <alignment horizontal="center" vertical="center" wrapText="1"/>
    </xf>
    <xf numFmtId="0" fontId="37" fillId="0" borderId="37" xfId="0" applyFont="1" applyBorder="1"/>
    <xf numFmtId="3" fontId="7" fillId="0" borderId="24" xfId="0" applyNumberFormat="1" applyFont="1" applyBorder="1"/>
    <xf numFmtId="3" fontId="7" fillId="0" borderId="25" xfId="0" applyNumberFormat="1" applyFont="1" applyBorder="1"/>
    <xf numFmtId="0" fontId="37" fillId="0" borderId="39" xfId="0" applyFont="1" applyBorder="1"/>
    <xf numFmtId="2" fontId="7" fillId="0" borderId="31" xfId="0" applyNumberFormat="1" applyFont="1" applyBorder="1"/>
    <xf numFmtId="0" fontId="7" fillId="0" borderId="32" xfId="0" applyFont="1" applyBorder="1"/>
    <xf numFmtId="0" fontId="46" fillId="2" borderId="34" xfId="0" applyFont="1" applyFill="1" applyBorder="1" applyAlignment="1">
      <alignment horizontal="center" wrapText="1"/>
    </xf>
    <xf numFmtId="1" fontId="0" fillId="6" borderId="81" xfId="0" applyNumberFormat="1" applyFill="1" applyBorder="1" applyAlignment="1">
      <alignment vertical="center"/>
    </xf>
    <xf numFmtId="168" fontId="0" fillId="6" borderId="95" xfId="0" applyNumberFormat="1" applyFill="1" applyBorder="1" applyAlignment="1">
      <alignment horizontal="left"/>
    </xf>
    <xf numFmtId="171" fontId="7" fillId="6" borderId="85" xfId="4" applyNumberFormat="1" applyFont="1" applyFill="1" applyBorder="1" applyAlignment="1" applyProtection="1">
      <alignment horizontal="center"/>
    </xf>
    <xf numFmtId="172" fontId="7" fillId="6" borderId="86" xfId="2" applyNumberFormat="1" applyFont="1" applyFill="1" applyBorder="1" applyAlignment="1" applyProtection="1">
      <alignment horizontal="left"/>
    </xf>
    <xf numFmtId="172" fontId="7" fillId="6" borderId="85" xfId="2" applyNumberFormat="1" applyFont="1" applyFill="1" applyBorder="1" applyAlignment="1" applyProtection="1">
      <alignment horizontal="left"/>
    </xf>
    <xf numFmtId="172" fontId="7" fillId="6" borderId="87" xfId="2" applyNumberFormat="1" applyFont="1" applyFill="1" applyBorder="1" applyAlignment="1" applyProtection="1">
      <alignment horizontal="left"/>
    </xf>
    <xf numFmtId="172" fontId="7" fillId="6" borderId="88" xfId="2" applyNumberFormat="1" applyFont="1" applyFill="1" applyBorder="1" applyAlignment="1" applyProtection="1">
      <alignment horizontal="left"/>
    </xf>
    <xf numFmtId="165" fontId="7" fillId="6" borderId="86" xfId="2" applyFont="1" applyFill="1" applyBorder="1" applyAlignment="1" applyProtection="1">
      <alignment vertical="center"/>
    </xf>
    <xf numFmtId="168" fontId="7" fillId="6" borderId="86" xfId="0" applyNumberFormat="1" applyFont="1" applyFill="1" applyBorder="1" applyAlignment="1">
      <alignment horizontal="left"/>
    </xf>
    <xf numFmtId="165" fontId="7" fillId="6" borderId="96" xfId="2" applyFont="1" applyFill="1" applyBorder="1" applyAlignment="1" applyProtection="1">
      <alignment vertical="center"/>
    </xf>
    <xf numFmtId="169" fontId="37" fillId="5" borderId="62" xfId="2" applyNumberFormat="1" applyFont="1" applyFill="1" applyBorder="1" applyAlignment="1">
      <alignment horizontal="center" vertical="center" wrapText="1"/>
    </xf>
    <xf numFmtId="169" fontId="37" fillId="5" borderId="37" xfId="2" applyNumberFormat="1" applyFont="1" applyFill="1" applyBorder="1" applyAlignment="1">
      <alignment horizontal="center" vertical="center" wrapText="1"/>
    </xf>
    <xf numFmtId="1" fontId="1" fillId="9" borderId="24" xfId="0" applyNumberFormat="1" applyFont="1" applyFill="1" applyBorder="1"/>
    <xf numFmtId="0" fontId="1" fillId="0" borderId="24" xfId="0" applyFont="1" applyBorder="1"/>
    <xf numFmtId="1" fontId="1" fillId="0" borderId="24" xfId="0" applyNumberFormat="1" applyFont="1" applyBorder="1"/>
    <xf numFmtId="1" fontId="1" fillId="0" borderId="25" xfId="0" applyNumberFormat="1" applyFont="1" applyBorder="1"/>
    <xf numFmtId="169" fontId="37" fillId="5" borderId="39" xfId="2" applyNumberFormat="1" applyFont="1" applyFill="1" applyBorder="1" applyAlignment="1">
      <alignment horizontal="center" vertical="center" wrapText="1"/>
    </xf>
    <xf numFmtId="0" fontId="1" fillId="9" borderId="31" xfId="0" applyFont="1" applyFill="1" applyBorder="1"/>
    <xf numFmtId="0" fontId="1" fillId="0" borderId="31" xfId="0" applyFont="1" applyBorder="1"/>
    <xf numFmtId="0" fontId="1" fillId="0" borderId="32" xfId="0" applyFont="1" applyBorder="1"/>
    <xf numFmtId="169" fontId="37" fillId="5" borderId="57" xfId="2" applyNumberFormat="1" applyFont="1" applyFill="1" applyBorder="1" applyAlignment="1">
      <alignment horizontal="center" vertical="center"/>
    </xf>
    <xf numFmtId="3" fontId="7" fillId="7" borderId="63" xfId="0" applyNumberFormat="1" applyFont="1" applyFill="1" applyBorder="1"/>
    <xf numFmtId="3" fontId="7" fillId="7" borderId="57" xfId="0" applyNumberFormat="1" applyFont="1" applyFill="1" applyBorder="1"/>
    <xf numFmtId="0" fontId="37" fillId="0" borderId="38" xfId="0" applyFont="1" applyBorder="1"/>
    <xf numFmtId="165" fontId="7" fillId="7" borderId="1" xfId="0" applyNumberFormat="1" applyFont="1" applyFill="1" applyBorder="1"/>
    <xf numFmtId="165" fontId="7" fillId="7" borderId="27" xfId="0" applyNumberFormat="1" applyFont="1" applyFill="1" applyBorder="1"/>
    <xf numFmtId="165" fontId="7" fillId="4" borderId="24" xfId="0" applyNumberFormat="1" applyFont="1" applyFill="1" applyBorder="1"/>
    <xf numFmtId="165" fontId="7" fillId="4" borderId="25" xfId="0" applyNumberFormat="1" applyFont="1" applyFill="1" applyBorder="1"/>
    <xf numFmtId="165" fontId="7" fillId="4" borderId="31" xfId="0" applyNumberFormat="1" applyFont="1" applyFill="1" applyBorder="1"/>
    <xf numFmtId="165" fontId="7" fillId="0" borderId="31" xfId="0" applyNumberFormat="1" applyFont="1" applyBorder="1"/>
    <xf numFmtId="165" fontId="7" fillId="4" borderId="32" xfId="0" applyNumberFormat="1" applyFont="1" applyFill="1" applyBorder="1"/>
    <xf numFmtId="9" fontId="46" fillId="2" borderId="56" xfId="3" applyFont="1" applyFill="1" applyBorder="1" applyAlignment="1" applyProtection="1">
      <alignment horizontal="center" vertical="center"/>
    </xf>
    <xf numFmtId="9" fontId="46" fillId="2" borderId="63" xfId="3" applyFont="1" applyFill="1" applyBorder="1" applyAlignment="1" applyProtection="1">
      <alignment horizontal="center" vertical="center"/>
    </xf>
    <xf numFmtId="9" fontId="46" fillId="2" borderId="63" xfId="3" applyFont="1" applyFill="1" applyBorder="1" applyAlignment="1" applyProtection="1">
      <alignment horizontal="center" vertical="center"/>
      <protection locked="0"/>
    </xf>
    <xf numFmtId="9" fontId="46" fillId="2" borderId="57" xfId="3" applyFont="1" applyFill="1" applyBorder="1" applyAlignment="1" applyProtection="1">
      <alignment horizontal="center" vertical="center"/>
    </xf>
    <xf numFmtId="168" fontId="40" fillId="3" borderId="24" xfId="1" applyNumberFormat="1" applyFont="1" applyFill="1" applyBorder="1" applyAlignment="1" applyProtection="1">
      <alignment horizontal="left" vertical="center"/>
    </xf>
    <xf numFmtId="1" fontId="3" fillId="4" borderId="24" xfId="1" applyNumberFormat="1" applyFont="1" applyFill="1" applyBorder="1" applyAlignment="1" applyProtection="1">
      <alignment horizontal="center" vertical="center"/>
    </xf>
    <xf numFmtId="168" fontId="3" fillId="9" borderId="24" xfId="1" applyNumberFormat="1" applyFont="1" applyFill="1" applyBorder="1" applyAlignment="1" applyProtection="1">
      <alignment horizontal="left" vertical="center"/>
      <protection locked="0"/>
    </xf>
    <xf numFmtId="168" fontId="3" fillId="3" borderId="24" xfId="1" applyNumberFormat="1" applyFont="1" applyFill="1" applyBorder="1" applyAlignment="1" applyProtection="1">
      <alignment horizontal="left" vertical="center"/>
    </xf>
    <xf numFmtId="10" fontId="3" fillId="3" borderId="25" xfId="3" applyNumberFormat="1" applyFont="1" applyFill="1" applyBorder="1" applyAlignment="1" applyProtection="1">
      <alignment horizontal="center" vertical="center"/>
    </xf>
    <xf numFmtId="168" fontId="40" fillId="3" borderId="31" xfId="1" applyNumberFormat="1" applyFont="1" applyFill="1" applyBorder="1" applyAlignment="1" applyProtection="1">
      <alignment horizontal="left" vertical="center"/>
    </xf>
    <xf numFmtId="168" fontId="3" fillId="9" borderId="31" xfId="1" applyNumberFormat="1" applyFont="1" applyFill="1" applyBorder="1" applyAlignment="1" applyProtection="1">
      <alignment horizontal="left" vertical="center"/>
      <protection locked="0"/>
    </xf>
    <xf numFmtId="168" fontId="3" fillId="3" borderId="31" xfId="1" applyNumberFormat="1" applyFont="1" applyFill="1" applyBorder="1" applyAlignment="1" applyProtection="1">
      <alignment horizontal="left" vertical="center"/>
    </xf>
    <xf numFmtId="9" fontId="3" fillId="3" borderId="32" xfId="3" applyFont="1" applyFill="1" applyBorder="1" applyAlignment="1" applyProtection="1">
      <alignment horizontal="center" vertical="center"/>
    </xf>
    <xf numFmtId="0" fontId="3" fillId="3" borderId="24" xfId="1" applyNumberFormat="1" applyFont="1" applyFill="1" applyBorder="1" applyAlignment="1" applyProtection="1">
      <alignment horizontal="center" vertical="center"/>
    </xf>
    <xf numFmtId="9" fontId="3" fillId="3" borderId="25" xfId="3" applyFont="1" applyFill="1" applyBorder="1" applyAlignment="1" applyProtection="1">
      <alignment horizontal="center" vertical="center"/>
    </xf>
    <xf numFmtId="9" fontId="3" fillId="3" borderId="27" xfId="3" applyFont="1" applyFill="1" applyBorder="1" applyAlignment="1" applyProtection="1">
      <alignment horizontal="center" vertical="center"/>
    </xf>
    <xf numFmtId="0" fontId="40" fillId="0" borderId="56" xfId="0" applyFont="1" applyBorder="1" applyAlignment="1">
      <alignment horizontal="center" vertical="center"/>
    </xf>
    <xf numFmtId="168" fontId="40" fillId="3" borderId="63" xfId="1" applyNumberFormat="1" applyFont="1" applyFill="1" applyBorder="1" applyAlignment="1" applyProtection="1">
      <alignment horizontal="left" vertical="center" wrapText="1"/>
    </xf>
    <xf numFmtId="0" fontId="3" fillId="3" borderId="63" xfId="1" applyNumberFormat="1" applyFont="1" applyFill="1" applyBorder="1" applyAlignment="1" applyProtection="1">
      <alignment horizontal="center" vertical="center"/>
    </xf>
    <xf numFmtId="168" fontId="3" fillId="9" borderId="63" xfId="1" applyNumberFormat="1" applyFont="1" applyFill="1" applyBorder="1" applyAlignment="1" applyProtection="1">
      <alignment horizontal="left" vertical="center"/>
      <protection locked="0"/>
    </xf>
    <xf numFmtId="168" fontId="3" fillId="3" borderId="63" xfId="1" applyNumberFormat="1" applyFont="1" applyFill="1" applyBorder="1" applyAlignment="1" applyProtection="1">
      <alignment horizontal="left" vertical="center"/>
    </xf>
    <xf numFmtId="9" fontId="3" fillId="3" borderId="57" xfId="3" applyFont="1" applyFill="1" applyBorder="1" applyAlignment="1" applyProtection="1">
      <alignment horizontal="center" vertical="center"/>
    </xf>
    <xf numFmtId="0" fontId="40" fillId="0" borderId="56" xfId="0" applyFont="1" applyBorder="1" applyAlignment="1">
      <alignment horizontal="center" vertical="center" wrapText="1"/>
    </xf>
    <xf numFmtId="168" fontId="40" fillId="3" borderId="63" xfId="1" applyNumberFormat="1" applyFont="1" applyFill="1" applyBorder="1" applyAlignment="1" applyProtection="1">
      <alignment horizontal="left" vertical="center"/>
    </xf>
    <xf numFmtId="165" fontId="47" fillId="2" borderId="63" xfId="2" applyFont="1" applyFill="1" applyBorder="1" applyAlignment="1" applyProtection="1">
      <alignment horizontal="center" vertical="center"/>
    </xf>
    <xf numFmtId="0" fontId="51" fillId="2" borderId="63" xfId="2" applyNumberFormat="1" applyFont="1" applyFill="1" applyBorder="1" applyAlignment="1" applyProtection="1">
      <alignment horizontal="center" vertical="center"/>
    </xf>
    <xf numFmtId="165" fontId="51" fillId="2" borderId="63" xfId="2" applyFont="1" applyFill="1" applyBorder="1" applyAlignment="1" applyProtection="1">
      <alignment horizontal="center" vertical="center"/>
    </xf>
    <xf numFmtId="9" fontId="51" fillId="2" borderId="57" xfId="3" applyFont="1" applyFill="1" applyBorder="1" applyAlignment="1" applyProtection="1">
      <alignment horizontal="center" vertical="center"/>
    </xf>
    <xf numFmtId="0" fontId="3" fillId="9" borderId="31" xfId="1" applyNumberFormat="1" applyFont="1" applyFill="1" applyBorder="1" applyAlignment="1" applyProtection="1">
      <alignment horizontal="center" vertical="center"/>
      <protection locked="0"/>
    </xf>
    <xf numFmtId="0" fontId="3" fillId="9" borderId="24" xfId="1" applyNumberFormat="1" applyFont="1" applyFill="1" applyBorder="1" applyAlignment="1" applyProtection="1">
      <alignment horizontal="center" vertical="center"/>
      <protection locked="0"/>
    </xf>
    <xf numFmtId="9" fontId="48" fillId="3" borderId="57" xfId="3" applyFont="1" applyFill="1" applyBorder="1" applyAlignment="1" applyProtection="1">
      <alignment horizontal="center" vertical="center"/>
    </xf>
    <xf numFmtId="4" fontId="0" fillId="0" borderId="24" xfId="0" applyNumberFormat="1" applyBorder="1" applyProtection="1">
      <protection locked="0"/>
    </xf>
    <xf numFmtId="0" fontId="8" fillId="2" borderId="34" xfId="0" applyFont="1" applyFill="1" applyBorder="1" applyAlignment="1">
      <alignment horizontal="center" wrapText="1"/>
    </xf>
    <xf numFmtId="168" fontId="0" fillId="6" borderId="81" xfId="0" applyNumberFormat="1" applyFill="1" applyBorder="1" applyAlignment="1">
      <alignment horizontal="left"/>
    </xf>
    <xf numFmtId="172" fontId="7" fillId="6" borderId="96" xfId="2" applyNumberFormat="1" applyFont="1" applyFill="1" applyBorder="1" applyAlignment="1" applyProtection="1">
      <alignment horizontal="left"/>
    </xf>
    <xf numFmtId="3" fontId="7" fillId="7" borderId="60" xfId="0" applyNumberFormat="1" applyFont="1" applyFill="1" applyBorder="1"/>
    <xf numFmtId="0" fontId="7" fillId="0" borderId="38" xfId="0" applyFont="1" applyBorder="1"/>
    <xf numFmtId="0" fontId="10" fillId="0" borderId="5" xfId="0" applyFont="1" applyBorder="1" applyAlignment="1">
      <alignment horizontal="center"/>
    </xf>
    <xf numFmtId="165" fontId="0" fillId="0" borderId="63" xfId="0" applyNumberFormat="1" applyBorder="1"/>
    <xf numFmtId="165" fontId="0" fillId="0" borderId="57" xfId="0" applyNumberFormat="1" applyBorder="1"/>
    <xf numFmtId="165" fontId="0" fillId="4" borderId="24" xfId="0" applyNumberFormat="1" applyFill="1" applyBorder="1" applyAlignment="1">
      <alignment horizontal="center" vertical="center"/>
    </xf>
    <xf numFmtId="165" fontId="0" fillId="4" borderId="25" xfId="0" applyNumberFormat="1" applyFill="1" applyBorder="1" applyAlignment="1">
      <alignment horizontal="center" vertical="center"/>
    </xf>
    <xf numFmtId="0" fontId="25" fillId="0" borderId="41" xfId="0" applyFont="1" applyBorder="1"/>
    <xf numFmtId="0" fontId="25" fillId="0" borderId="46" xfId="0" applyFont="1" applyBorder="1"/>
    <xf numFmtId="0" fontId="10" fillId="0" borderId="44" xfId="0" applyFont="1" applyBorder="1" applyAlignment="1">
      <alignment wrapText="1"/>
    </xf>
    <xf numFmtId="0" fontId="0" fillId="0" borderId="35" xfId="0" applyBorder="1"/>
    <xf numFmtId="0" fontId="35" fillId="0" borderId="0" xfId="0" applyFont="1"/>
    <xf numFmtId="0" fontId="10" fillId="9" borderId="33" xfId="0" applyFont="1" applyFill="1" applyBorder="1" applyAlignment="1">
      <alignment horizontal="center"/>
    </xf>
    <xf numFmtId="0" fontId="29" fillId="0" borderId="34" xfId="0" applyFont="1" applyBorder="1" applyAlignment="1">
      <alignment horizontal="center" vertical="center"/>
    </xf>
    <xf numFmtId="2" fontId="36" fillId="14" borderId="50" xfId="0" applyNumberFormat="1" applyFont="1" applyFill="1" applyBorder="1" applyAlignment="1">
      <alignment horizontal="center"/>
    </xf>
    <xf numFmtId="9" fontId="2" fillId="2" borderId="2" xfId="3" applyFont="1" applyFill="1" applyBorder="1" applyAlignment="1" applyProtection="1">
      <alignment horizontal="center" vertical="center"/>
    </xf>
    <xf numFmtId="0" fontId="3" fillId="4" borderId="24" xfId="1" applyNumberFormat="1" applyFont="1" applyFill="1" applyBorder="1" applyAlignment="1" applyProtection="1">
      <alignment horizontal="center" vertical="center"/>
    </xf>
    <xf numFmtId="0" fontId="3" fillId="4" borderId="31" xfId="1" applyNumberFormat="1" applyFont="1" applyFill="1" applyBorder="1" applyAlignment="1" applyProtection="1">
      <alignment horizontal="center" vertical="center"/>
    </xf>
    <xf numFmtId="0" fontId="40" fillId="4" borderId="56" xfId="0" applyFont="1" applyFill="1" applyBorder="1" applyAlignment="1">
      <alignment horizontal="center" vertical="center"/>
    </xf>
    <xf numFmtId="3" fontId="10" fillId="9" borderId="33" xfId="0" applyNumberFormat="1" applyFont="1" applyFill="1" applyBorder="1" applyAlignment="1" applyProtection="1">
      <alignment vertical="center"/>
      <protection locked="0"/>
    </xf>
    <xf numFmtId="0" fontId="3" fillId="9" borderId="1" xfId="1" applyNumberFormat="1" applyFont="1" applyFill="1" applyBorder="1" applyAlignment="1" applyProtection="1">
      <alignment horizontal="center" vertical="center"/>
      <protection locked="0"/>
    </xf>
    <xf numFmtId="0" fontId="10" fillId="14" borderId="36" xfId="0" applyFont="1" applyFill="1" applyBorder="1"/>
    <xf numFmtId="2" fontId="10" fillId="14" borderId="36" xfId="0" applyNumberFormat="1" applyFont="1" applyFill="1" applyBorder="1"/>
    <xf numFmtId="0" fontId="10" fillId="9" borderId="44" xfId="0" applyFont="1" applyFill="1" applyBorder="1" applyAlignment="1" applyProtection="1">
      <alignment horizontal="center" vertical="center"/>
      <protection locked="0"/>
    </xf>
    <xf numFmtId="0" fontId="10" fillId="9" borderId="47" xfId="0" applyFont="1" applyFill="1" applyBorder="1" applyAlignment="1" applyProtection="1">
      <alignment horizontal="center" vertical="center"/>
      <protection locked="0"/>
    </xf>
    <xf numFmtId="0" fontId="10" fillId="9" borderId="36" xfId="0" applyFont="1" applyFill="1" applyBorder="1" applyAlignment="1" applyProtection="1">
      <alignment horizontal="center" vertical="center"/>
      <protection locked="0"/>
    </xf>
    <xf numFmtId="3" fontId="10" fillId="9" borderId="50" xfId="0" applyNumberFormat="1" applyFont="1" applyFill="1" applyBorder="1" applyAlignment="1" applyProtection="1">
      <alignment vertical="center"/>
      <protection locked="0"/>
    </xf>
    <xf numFmtId="0" fontId="10" fillId="9" borderId="34" xfId="0" applyFont="1" applyFill="1" applyBorder="1" applyAlignment="1" applyProtection="1">
      <alignment horizontal="center" vertical="center"/>
      <protection locked="0"/>
    </xf>
    <xf numFmtId="0" fontId="10" fillId="9" borderId="35" xfId="0" applyFont="1" applyFill="1" applyBorder="1" applyAlignment="1" applyProtection="1">
      <alignment horizontal="center" vertical="center"/>
      <protection locked="0"/>
    </xf>
    <xf numFmtId="169" fontId="37" fillId="5" borderId="39" xfId="2" applyNumberFormat="1" applyFont="1" applyFill="1" applyBorder="1" applyAlignment="1" applyProtection="1">
      <alignment horizontal="center" vertical="center"/>
    </xf>
    <xf numFmtId="169" fontId="37" fillId="5" borderId="31" xfId="2" applyNumberFormat="1" applyFont="1" applyFill="1" applyBorder="1" applyAlignment="1" applyProtection="1">
      <alignment horizontal="center" vertical="center"/>
    </xf>
    <xf numFmtId="169" fontId="37" fillId="5" borderId="31" xfId="2" applyNumberFormat="1" applyFont="1" applyFill="1" applyBorder="1" applyAlignment="1" applyProtection="1">
      <alignment horizontal="center" vertical="center" wrapText="1"/>
    </xf>
    <xf numFmtId="169" fontId="37" fillId="5" borderId="32" xfId="2" applyNumberFormat="1" applyFont="1" applyFill="1" applyBorder="1" applyAlignment="1" applyProtection="1">
      <alignment horizontal="center" vertical="center" wrapText="1"/>
    </xf>
    <xf numFmtId="4" fontId="0" fillId="4" borderId="24" xfId="0" applyNumberFormat="1" applyFill="1" applyBorder="1"/>
    <xf numFmtId="2" fontId="0" fillId="0" borderId="24" xfId="0" applyNumberFormat="1" applyBorder="1"/>
    <xf numFmtId="2" fontId="0" fillId="4" borderId="1" xfId="0" applyNumberFormat="1" applyFill="1" applyBorder="1"/>
    <xf numFmtId="0" fontId="0" fillId="4" borderId="1" xfId="0" applyFill="1" applyBorder="1"/>
    <xf numFmtId="0" fontId="0" fillId="9" borderId="31" xfId="0" applyFill="1" applyBorder="1"/>
    <xf numFmtId="0" fontId="0" fillId="0" borderId="0" xfId="0" applyAlignment="1">
      <alignment horizontal="center"/>
    </xf>
    <xf numFmtId="169" fontId="37" fillId="5" borderId="47" xfId="2" applyNumberFormat="1" applyFont="1" applyFill="1" applyBorder="1" applyAlignment="1" applyProtection="1">
      <alignment horizontal="center" vertical="center" wrapText="1"/>
    </xf>
    <xf numFmtId="169" fontId="37" fillId="5" borderId="56" xfId="2" applyNumberFormat="1" applyFont="1" applyFill="1" applyBorder="1" applyAlignment="1" applyProtection="1">
      <alignment horizontal="center" vertical="center"/>
    </xf>
    <xf numFmtId="169" fontId="37" fillId="5" borderId="63" xfId="2" applyNumberFormat="1" applyFont="1" applyFill="1" applyBorder="1" applyAlignment="1" applyProtection="1">
      <alignment horizontal="center" vertical="center"/>
    </xf>
    <xf numFmtId="169" fontId="37" fillId="5" borderId="63" xfId="2" applyNumberFormat="1" applyFont="1" applyFill="1" applyBorder="1" applyAlignment="1" applyProtection="1">
      <alignment horizontal="center" vertical="center" wrapText="1"/>
    </xf>
    <xf numFmtId="169" fontId="37" fillId="5" borderId="57" xfId="2" applyNumberFormat="1" applyFont="1" applyFill="1" applyBorder="1" applyAlignment="1" applyProtection="1">
      <alignment horizontal="center" vertical="center" wrapText="1"/>
    </xf>
    <xf numFmtId="0" fontId="40" fillId="4" borderId="53" xfId="0" applyFont="1" applyFill="1" applyBorder="1" applyAlignment="1">
      <alignment wrapText="1"/>
    </xf>
    <xf numFmtId="3" fontId="0" fillId="4" borderId="52" xfId="0" applyNumberFormat="1" applyFill="1" applyBorder="1"/>
    <xf numFmtId="0" fontId="37" fillId="0" borderId="71" xfId="0" applyFont="1" applyBorder="1"/>
    <xf numFmtId="3" fontId="7" fillId="4" borderId="72" xfId="0" applyNumberFormat="1" applyFont="1" applyFill="1" applyBorder="1"/>
    <xf numFmtId="1" fontId="0" fillId="4" borderId="31" xfId="0" applyNumberFormat="1" applyFill="1" applyBorder="1"/>
    <xf numFmtId="169" fontId="37" fillId="5" borderId="32" xfId="2" applyNumberFormat="1" applyFont="1" applyFill="1" applyBorder="1" applyAlignment="1" applyProtection="1">
      <alignment horizontal="center" vertical="center"/>
    </xf>
    <xf numFmtId="0" fontId="0" fillId="0" borderId="63" xfId="0" applyBorder="1"/>
    <xf numFmtId="3" fontId="0" fillId="0" borderId="63" xfId="0" applyNumberFormat="1" applyBorder="1"/>
    <xf numFmtId="168" fontId="4" fillId="4" borderId="0" xfId="1" applyNumberFormat="1" applyFont="1" applyFill="1" applyBorder="1" applyAlignment="1" applyProtection="1">
      <alignment vertical="center"/>
    </xf>
    <xf numFmtId="169" fontId="37" fillId="4" borderId="39" xfId="2" applyNumberFormat="1" applyFont="1" applyFill="1" applyBorder="1" applyAlignment="1" applyProtection="1">
      <alignment horizontal="center" vertical="center"/>
    </xf>
    <xf numFmtId="169" fontId="37" fillId="4" borderId="31" xfId="2" applyNumberFormat="1" applyFont="1" applyFill="1" applyBorder="1" applyAlignment="1" applyProtection="1">
      <alignment horizontal="center" vertical="center"/>
    </xf>
    <xf numFmtId="169" fontId="37" fillId="4" borderId="32" xfId="2" applyNumberFormat="1" applyFont="1" applyFill="1" applyBorder="1" applyAlignment="1" applyProtection="1">
      <alignment horizontal="center" vertical="center"/>
    </xf>
    <xf numFmtId="0" fontId="37" fillId="0" borderId="0" xfId="0" applyFont="1"/>
    <xf numFmtId="0" fontId="38" fillId="0" borderId="33" xfId="0" applyFont="1" applyBorder="1"/>
    <xf numFmtId="168" fontId="8" fillId="2" borderId="14" xfId="1" applyNumberFormat="1" applyFont="1" applyFill="1" applyBorder="1" applyAlignment="1" applyProtection="1">
      <alignment vertical="center"/>
    </xf>
    <xf numFmtId="0" fontId="0" fillId="8" borderId="1" xfId="0" applyFill="1" applyBorder="1"/>
    <xf numFmtId="0" fontId="0" fillId="15" borderId="1" xfId="0" applyFill="1" applyBorder="1"/>
    <xf numFmtId="0" fontId="0" fillId="4" borderId="24" xfId="0" applyFill="1" applyBorder="1"/>
    <xf numFmtId="0" fontId="0" fillId="18" borderId="1" xfId="0" applyFill="1" applyBorder="1"/>
    <xf numFmtId="0" fontId="0" fillId="15" borderId="31" xfId="0" applyFill="1" applyBorder="1"/>
    <xf numFmtId="0" fontId="0" fillId="8" borderId="31" xfId="0" applyFill="1" applyBorder="1"/>
    <xf numFmtId="0" fontId="0" fillId="18" borderId="31" xfId="0" applyFill="1" applyBorder="1"/>
    <xf numFmtId="0" fontId="0" fillId="5" borderId="1" xfId="0" applyFill="1" applyBorder="1"/>
    <xf numFmtId="0" fontId="0" fillId="19" borderId="24" xfId="0" applyFill="1" applyBorder="1"/>
    <xf numFmtId="0" fontId="0" fillId="19" borderId="1" xfId="0" applyFill="1" applyBorder="1"/>
    <xf numFmtId="0" fontId="0" fillId="5" borderId="24" xfId="0" applyFill="1" applyBorder="1"/>
    <xf numFmtId="1" fontId="0" fillId="5" borderId="1" xfId="0" applyNumberFormat="1" applyFill="1" applyBorder="1"/>
    <xf numFmtId="0" fontId="0" fillId="5" borderId="31" xfId="0" applyFill="1" applyBorder="1"/>
    <xf numFmtId="0" fontId="0" fillId="19" borderId="31" xfId="0" applyFill="1" applyBorder="1"/>
    <xf numFmtId="0" fontId="7" fillId="0" borderId="0" xfId="0" applyFont="1" applyAlignment="1">
      <alignment horizontal="left"/>
    </xf>
    <xf numFmtId="2" fontId="8" fillId="2" borderId="14" xfId="0" applyNumberFormat="1" applyFont="1" applyFill="1" applyBorder="1" applyAlignment="1">
      <alignment horizontal="center"/>
    </xf>
    <xf numFmtId="166" fontId="8" fillId="2" borderId="14" xfId="5" applyFont="1" applyFill="1" applyBorder="1" applyAlignment="1" applyProtection="1">
      <alignment horizontal="center"/>
    </xf>
    <xf numFmtId="166" fontId="49" fillId="9" borderId="14" xfId="5" applyFont="1" applyFill="1" applyBorder="1" applyAlignment="1" applyProtection="1">
      <alignment horizontal="center"/>
      <protection locked="0"/>
    </xf>
    <xf numFmtId="0" fontId="40" fillId="16" borderId="63" xfId="0" applyFont="1" applyFill="1" applyBorder="1" applyAlignment="1" applyProtection="1">
      <alignment horizontal="center" vertical="center"/>
      <protection locked="0"/>
    </xf>
    <xf numFmtId="0" fontId="43" fillId="16" borderId="63" xfId="0" applyFont="1" applyFill="1" applyBorder="1" applyAlignment="1" applyProtection="1">
      <alignment horizontal="center" vertical="center"/>
      <protection locked="0"/>
    </xf>
    <xf numFmtId="9" fontId="49" fillId="2" borderId="65" xfId="0" applyNumberFormat="1" applyFont="1" applyFill="1" applyBorder="1" applyAlignment="1">
      <alignment horizontal="center"/>
    </xf>
    <xf numFmtId="0" fontId="10" fillId="9" borderId="33" xfId="0" applyFont="1" applyFill="1" applyBorder="1" applyAlignment="1">
      <alignment horizontal="center" vertical="center"/>
    </xf>
    <xf numFmtId="0" fontId="3" fillId="3" borderId="1" xfId="1" applyNumberFormat="1" applyFont="1" applyFill="1" applyBorder="1" applyAlignment="1" applyProtection="1">
      <alignment horizontal="center" vertical="center"/>
    </xf>
    <xf numFmtId="0" fontId="3" fillId="3" borderId="31" xfId="1" applyNumberFormat="1" applyFont="1" applyFill="1" applyBorder="1" applyAlignment="1" applyProtection="1">
      <alignment horizontal="center" vertical="center" wrapText="1"/>
    </xf>
    <xf numFmtId="0" fontId="0" fillId="17" borderId="48" xfId="0" applyFill="1" applyBorder="1" applyAlignment="1">
      <alignment horizontal="center"/>
    </xf>
    <xf numFmtId="0" fontId="0" fillId="17" borderId="49" xfId="0" applyFill="1" applyBorder="1" applyAlignment="1">
      <alignment horizontal="center"/>
    </xf>
    <xf numFmtId="0" fontId="0" fillId="17" borderId="50" xfId="0" applyFill="1" applyBorder="1" applyAlignment="1">
      <alignment horizontal="center"/>
    </xf>
    <xf numFmtId="0" fontId="0" fillId="17" borderId="34" xfId="0" applyFill="1" applyBorder="1" applyAlignment="1">
      <alignment horizontal="center"/>
    </xf>
    <xf numFmtId="0" fontId="0" fillId="17" borderId="35" xfId="0" applyFill="1" applyBorder="1" applyAlignment="1">
      <alignment horizontal="center"/>
    </xf>
    <xf numFmtId="0" fontId="0" fillId="17" borderId="36" xfId="0" applyFill="1" applyBorder="1" applyAlignment="1">
      <alignment horizontal="center"/>
    </xf>
    <xf numFmtId="0" fontId="40" fillId="4" borderId="40" xfId="0" applyFont="1" applyFill="1" applyBorder="1" applyAlignment="1">
      <alignment horizontal="center" vertical="center" wrapText="1"/>
    </xf>
    <xf numFmtId="0" fontId="40" fillId="4" borderId="41" xfId="0" applyFont="1" applyFill="1" applyBorder="1" applyAlignment="1">
      <alignment horizontal="center" vertical="center" wrapText="1"/>
    </xf>
    <xf numFmtId="0" fontId="40" fillId="4" borderId="42" xfId="0" applyFont="1" applyFill="1" applyBorder="1" applyAlignment="1">
      <alignment horizontal="center" vertical="center" wrapText="1"/>
    </xf>
    <xf numFmtId="0" fontId="40" fillId="4" borderId="43" xfId="0" applyFont="1" applyFill="1" applyBorder="1" applyAlignment="1">
      <alignment horizontal="center" vertical="center" wrapText="1"/>
    </xf>
    <xf numFmtId="0" fontId="40" fillId="4" borderId="0" xfId="0" applyFont="1" applyFill="1" applyAlignment="1">
      <alignment horizontal="center" vertical="center" wrapText="1"/>
    </xf>
    <xf numFmtId="0" fontId="40" fillId="4" borderId="44" xfId="0" applyFont="1" applyFill="1" applyBorder="1" applyAlignment="1">
      <alignment horizontal="center" vertical="center" wrapText="1"/>
    </xf>
    <xf numFmtId="0" fontId="40" fillId="4" borderId="45" xfId="0" applyFont="1" applyFill="1" applyBorder="1" applyAlignment="1">
      <alignment horizontal="center" vertical="center" wrapText="1"/>
    </xf>
    <xf numFmtId="0" fontId="40" fillId="4" borderId="46" xfId="0" applyFont="1" applyFill="1" applyBorder="1" applyAlignment="1">
      <alignment horizontal="center" vertical="center" wrapText="1"/>
    </xf>
    <xf numFmtId="0" fontId="40" fillId="4" borderId="47" xfId="0" applyFont="1" applyFill="1" applyBorder="1" applyAlignment="1">
      <alignment horizontal="center" vertical="center" wrapText="1"/>
    </xf>
    <xf numFmtId="0" fontId="22" fillId="12" borderId="40" xfId="0" applyFont="1" applyFill="1" applyBorder="1" applyAlignment="1">
      <alignment horizontal="center" vertical="center" wrapText="1"/>
    </xf>
    <xf numFmtId="0" fontId="22" fillId="12" borderId="41" xfId="0" applyFont="1" applyFill="1" applyBorder="1" applyAlignment="1">
      <alignment horizontal="center" vertical="center" wrapText="1"/>
    </xf>
    <xf numFmtId="0" fontId="22" fillId="12" borderId="42" xfId="0" applyFont="1" applyFill="1" applyBorder="1" applyAlignment="1">
      <alignment horizontal="center" vertical="center" wrapText="1"/>
    </xf>
    <xf numFmtId="0" fontId="22" fillId="12" borderId="43" xfId="0" applyFont="1" applyFill="1" applyBorder="1" applyAlignment="1">
      <alignment horizontal="center" vertical="center" wrapText="1"/>
    </xf>
    <xf numFmtId="0" fontId="22" fillId="12" borderId="0" xfId="0" applyFont="1" applyFill="1" applyAlignment="1">
      <alignment horizontal="center" vertical="center" wrapText="1"/>
    </xf>
    <xf numFmtId="0" fontId="22" fillId="12" borderId="44" xfId="0" applyFont="1" applyFill="1" applyBorder="1" applyAlignment="1">
      <alignment horizontal="center" vertical="center" wrapText="1"/>
    </xf>
    <xf numFmtId="0" fontId="22" fillId="12" borderId="45" xfId="0" applyFont="1" applyFill="1" applyBorder="1" applyAlignment="1">
      <alignment horizontal="center" vertical="center" wrapText="1"/>
    </xf>
    <xf numFmtId="0" fontId="22" fillId="12" borderId="46" xfId="0" applyFont="1" applyFill="1" applyBorder="1" applyAlignment="1">
      <alignment horizontal="center" vertical="center" wrapText="1"/>
    </xf>
    <xf numFmtId="0" fontId="22" fillId="12" borderId="47" xfId="0" applyFont="1" applyFill="1" applyBorder="1" applyAlignment="1">
      <alignment horizontal="center" vertical="center" wrapText="1"/>
    </xf>
    <xf numFmtId="0" fontId="10" fillId="0" borderId="1" xfId="0" applyFont="1" applyBorder="1" applyAlignment="1">
      <alignment horizontal="center"/>
    </xf>
    <xf numFmtId="0" fontId="10" fillId="0" borderId="5" xfId="0" applyFont="1" applyBorder="1" applyAlignment="1">
      <alignment horizontal="center"/>
    </xf>
    <xf numFmtId="0" fontId="10" fillId="0" borderId="37" xfId="0" applyFont="1" applyBorder="1" applyAlignment="1">
      <alignment horizontal="center"/>
    </xf>
    <xf numFmtId="0" fontId="10" fillId="0" borderId="25" xfId="0" applyFont="1" applyBorder="1" applyAlignment="1">
      <alignment horizontal="center"/>
    </xf>
    <xf numFmtId="0" fontId="30" fillId="0" borderId="1" xfId="0" applyFont="1" applyBorder="1" applyAlignment="1">
      <alignment horizontal="left" vertical="top" wrapText="1"/>
    </xf>
    <xf numFmtId="0" fontId="10" fillId="0" borderId="38" xfId="0" applyFont="1" applyBorder="1" applyAlignment="1">
      <alignment horizontal="center"/>
    </xf>
    <xf numFmtId="0" fontId="10" fillId="0" borderId="27" xfId="0" applyFont="1" applyBorder="1" applyAlignment="1">
      <alignment horizontal="center"/>
    </xf>
    <xf numFmtId="0" fontId="10" fillId="0" borderId="39" xfId="0" applyFont="1" applyBorder="1" applyAlignment="1">
      <alignment horizontal="center"/>
    </xf>
    <xf numFmtId="0" fontId="10" fillId="0" borderId="32" xfId="0" applyFont="1" applyBorder="1" applyAlignment="1">
      <alignment horizontal="center"/>
    </xf>
    <xf numFmtId="0" fontId="40" fillId="0" borderId="66" xfId="0" applyFont="1" applyBorder="1" applyAlignment="1">
      <alignment horizontal="center" vertical="center" wrapText="1"/>
    </xf>
    <xf numFmtId="0" fontId="40" fillId="0" borderId="97" xfId="0" applyFont="1" applyBorder="1" applyAlignment="1">
      <alignment horizontal="center" vertical="center" wrapText="1"/>
    </xf>
    <xf numFmtId="0" fontId="40" fillId="0" borderId="71" xfId="0" applyFont="1" applyBorder="1" applyAlignment="1">
      <alignment horizontal="center" vertical="center" wrapText="1"/>
    </xf>
    <xf numFmtId="0" fontId="10" fillId="12" borderId="40" xfId="0" applyFont="1" applyFill="1" applyBorder="1" applyAlignment="1">
      <alignment horizontal="center" wrapText="1"/>
    </xf>
    <xf numFmtId="0" fontId="10" fillId="12" borderId="41" xfId="0" applyFont="1" applyFill="1" applyBorder="1" applyAlignment="1">
      <alignment horizontal="center" wrapText="1"/>
    </xf>
    <xf numFmtId="0" fontId="10" fillId="12" borderId="42" xfId="0" applyFont="1" applyFill="1" applyBorder="1" applyAlignment="1">
      <alignment horizontal="center" wrapText="1"/>
    </xf>
    <xf numFmtId="0" fontId="10" fillId="12" borderId="43" xfId="0" applyFont="1" applyFill="1" applyBorder="1" applyAlignment="1">
      <alignment horizontal="center" wrapText="1"/>
    </xf>
    <xf numFmtId="0" fontId="10" fillId="12" borderId="0" xfId="0" applyFont="1" applyFill="1" applyAlignment="1">
      <alignment horizontal="center" wrapText="1"/>
    </xf>
    <xf numFmtId="0" fontId="10" fillId="12" borderId="44" xfId="0" applyFont="1" applyFill="1" applyBorder="1" applyAlignment="1">
      <alignment horizontal="center" wrapText="1"/>
    </xf>
    <xf numFmtId="0" fontId="10" fillId="12" borderId="45" xfId="0" applyFont="1" applyFill="1" applyBorder="1" applyAlignment="1">
      <alignment horizontal="center" wrapText="1"/>
    </xf>
    <xf numFmtId="0" fontId="10" fillId="12" borderId="46" xfId="0" applyFont="1" applyFill="1" applyBorder="1" applyAlignment="1">
      <alignment horizontal="center" wrapText="1"/>
    </xf>
    <xf numFmtId="0" fontId="10" fillId="12" borderId="47" xfId="0" applyFont="1" applyFill="1" applyBorder="1" applyAlignment="1">
      <alignment horizontal="center" wrapText="1"/>
    </xf>
    <xf numFmtId="9" fontId="2" fillId="2" borderId="3" xfId="3" applyFont="1" applyFill="1" applyBorder="1" applyAlignment="1" applyProtection="1">
      <alignment horizontal="center" vertical="center"/>
    </xf>
    <xf numFmtId="9" fontId="2" fillId="2" borderId="4" xfId="3" applyFont="1" applyFill="1" applyBorder="1" applyAlignment="1" applyProtection="1">
      <alignment horizontal="center" vertical="center"/>
    </xf>
    <xf numFmtId="0" fontId="7" fillId="0" borderId="48" xfId="0" applyFont="1" applyBorder="1" applyAlignment="1">
      <alignment horizontal="center"/>
    </xf>
    <xf numFmtId="0" fontId="7" fillId="0" borderId="49" xfId="0" applyFont="1" applyBorder="1" applyAlignment="1">
      <alignment horizontal="center"/>
    </xf>
    <xf numFmtId="0" fontId="7" fillId="0" borderId="50" xfId="0" applyFont="1" applyBorder="1" applyAlignment="1">
      <alignment horizontal="center"/>
    </xf>
    <xf numFmtId="0" fontId="23" fillId="14" borderId="37" xfId="0" applyFont="1" applyFill="1" applyBorder="1" applyAlignment="1">
      <alignment horizontal="center" wrapText="1"/>
    </xf>
    <xf numFmtId="0" fontId="23" fillId="14" borderId="24" xfId="0" applyFont="1" applyFill="1" applyBorder="1" applyAlignment="1">
      <alignment horizontal="center" wrapText="1"/>
    </xf>
    <xf numFmtId="0" fontId="23" fillId="14" borderId="25" xfId="0" applyFont="1" applyFill="1" applyBorder="1" applyAlignment="1">
      <alignment horizontal="center" wrapText="1"/>
    </xf>
    <xf numFmtId="0" fontId="23" fillId="14" borderId="39" xfId="0" applyFont="1" applyFill="1" applyBorder="1" applyAlignment="1">
      <alignment horizontal="center" wrapText="1"/>
    </xf>
    <xf numFmtId="0" fontId="23" fillId="14" borderId="31" xfId="0" applyFont="1" applyFill="1" applyBorder="1" applyAlignment="1">
      <alignment horizontal="center" wrapText="1"/>
    </xf>
    <xf numFmtId="0" fontId="23" fillId="14" borderId="32" xfId="0" applyFont="1" applyFill="1" applyBorder="1" applyAlignment="1">
      <alignment horizontal="center" wrapText="1"/>
    </xf>
    <xf numFmtId="0" fontId="35" fillId="0" borderId="48" xfId="0" applyFont="1" applyBorder="1" applyAlignment="1">
      <alignment horizontal="center"/>
    </xf>
    <xf numFmtId="0" fontId="35" fillId="0" borderId="49" xfId="0" applyFont="1" applyBorder="1" applyAlignment="1">
      <alignment horizontal="center"/>
    </xf>
    <xf numFmtId="0" fontId="35" fillId="0" borderId="50" xfId="0" applyFont="1" applyBorder="1" applyAlignment="1">
      <alignment horizontal="center"/>
    </xf>
    <xf numFmtId="0" fontId="28" fillId="12" borderId="40" xfId="0" applyFont="1" applyFill="1" applyBorder="1" applyAlignment="1">
      <alignment horizontal="center" vertical="center" wrapText="1"/>
    </xf>
    <xf numFmtId="0" fontId="28" fillId="12" borderId="41" xfId="0" applyFont="1" applyFill="1" applyBorder="1" applyAlignment="1">
      <alignment horizontal="center" vertical="center" wrapText="1"/>
    </xf>
    <xf numFmtId="0" fontId="28" fillId="12" borderId="42" xfId="0" applyFont="1" applyFill="1" applyBorder="1" applyAlignment="1">
      <alignment horizontal="center" vertical="center" wrapText="1"/>
    </xf>
    <xf numFmtId="0" fontId="28" fillId="12" borderId="43" xfId="0" applyFont="1" applyFill="1" applyBorder="1" applyAlignment="1">
      <alignment horizontal="center" vertical="center" wrapText="1"/>
    </xf>
    <xf numFmtId="0" fontId="28" fillId="12" borderId="0" xfId="0" applyFont="1" applyFill="1" applyAlignment="1">
      <alignment horizontal="center" vertical="center" wrapText="1"/>
    </xf>
    <xf numFmtId="0" fontId="28" fillId="12" borderId="44" xfId="0" applyFont="1" applyFill="1" applyBorder="1" applyAlignment="1">
      <alignment horizontal="center" vertical="center" wrapText="1"/>
    </xf>
    <xf numFmtId="0" fontId="28" fillId="12" borderId="45" xfId="0" applyFont="1" applyFill="1" applyBorder="1" applyAlignment="1">
      <alignment horizontal="center" vertical="center" wrapText="1"/>
    </xf>
    <xf numFmtId="0" fontId="28" fillId="12" borderId="46" xfId="0" applyFont="1" applyFill="1" applyBorder="1" applyAlignment="1">
      <alignment horizontal="center" vertical="center" wrapText="1"/>
    </xf>
    <xf numFmtId="0" fontId="28" fillId="12" borderId="47" xfId="0" applyFont="1" applyFill="1" applyBorder="1" applyAlignment="1">
      <alignment horizontal="center" vertical="center" wrapText="1"/>
    </xf>
    <xf numFmtId="0" fontId="40" fillId="0" borderId="37" xfId="0" applyFont="1" applyBorder="1" applyAlignment="1">
      <alignment horizontal="center" vertical="center" wrapText="1"/>
    </xf>
    <xf numFmtId="0" fontId="40" fillId="0" borderId="38" xfId="0" applyFont="1" applyBorder="1" applyAlignment="1">
      <alignment horizontal="center" vertical="center" wrapText="1"/>
    </xf>
    <xf numFmtId="0" fontId="40" fillId="0" borderId="39" xfId="0" applyFont="1" applyBorder="1" applyAlignment="1">
      <alignment horizontal="center" vertical="center" wrapText="1"/>
    </xf>
    <xf numFmtId="0" fontId="10" fillId="12" borderId="40" xfId="0" applyFont="1" applyFill="1" applyBorder="1" applyAlignment="1">
      <alignment horizontal="center" vertical="center" wrapText="1"/>
    </xf>
    <xf numFmtId="0" fontId="10" fillId="12" borderId="41" xfId="0" applyFont="1" applyFill="1" applyBorder="1" applyAlignment="1">
      <alignment horizontal="center" vertical="center" wrapText="1"/>
    </xf>
    <xf numFmtId="0" fontId="10" fillId="12" borderId="42" xfId="0" applyFont="1" applyFill="1" applyBorder="1" applyAlignment="1">
      <alignment horizontal="center" vertical="center" wrapText="1"/>
    </xf>
    <xf numFmtId="0" fontId="10" fillId="12" borderId="43" xfId="0" applyFont="1" applyFill="1" applyBorder="1" applyAlignment="1">
      <alignment horizontal="center" vertical="center" wrapText="1"/>
    </xf>
    <xf numFmtId="0" fontId="10" fillId="12" borderId="0" xfId="0" applyFont="1" applyFill="1" applyAlignment="1">
      <alignment horizontal="center" vertical="center" wrapText="1"/>
    </xf>
    <xf numFmtId="0" fontId="10" fillId="12" borderId="44" xfId="0" applyFont="1" applyFill="1" applyBorder="1" applyAlignment="1">
      <alignment horizontal="center" vertical="center" wrapText="1"/>
    </xf>
    <xf numFmtId="0" fontId="10" fillId="12" borderId="45" xfId="0" applyFont="1" applyFill="1" applyBorder="1" applyAlignment="1">
      <alignment horizontal="center" vertical="center" wrapText="1"/>
    </xf>
    <xf numFmtId="0" fontId="10" fillId="12" borderId="46" xfId="0" applyFont="1" applyFill="1" applyBorder="1" applyAlignment="1">
      <alignment horizontal="center" vertical="center" wrapText="1"/>
    </xf>
    <xf numFmtId="0" fontId="10" fillId="12" borderId="47" xfId="0" applyFont="1" applyFill="1" applyBorder="1" applyAlignment="1">
      <alignment horizontal="center" vertical="center" wrapText="1"/>
    </xf>
    <xf numFmtId="0" fontId="40" fillId="0" borderId="66" xfId="0" applyFont="1" applyBorder="1" applyAlignment="1">
      <alignment horizontal="center" vertical="center"/>
    </xf>
    <xf numFmtId="0" fontId="40" fillId="0" borderId="97" xfId="0" applyFont="1" applyBorder="1" applyAlignment="1">
      <alignment horizontal="center" vertical="center"/>
    </xf>
    <xf numFmtId="0" fontId="40" fillId="0" borderId="71" xfId="0" applyFont="1" applyBorder="1" applyAlignment="1">
      <alignment horizontal="center" vertical="center"/>
    </xf>
    <xf numFmtId="0" fontId="46" fillId="2" borderId="48" xfId="0" applyFont="1" applyFill="1" applyBorder="1" applyAlignment="1">
      <alignment horizontal="center" vertical="center"/>
    </xf>
    <xf numFmtId="0" fontId="46" fillId="2" borderId="49" xfId="0" applyFont="1" applyFill="1" applyBorder="1" applyAlignment="1">
      <alignment horizontal="center" vertical="center"/>
    </xf>
    <xf numFmtId="0" fontId="46" fillId="2" borderId="92" xfId="0" applyFont="1" applyFill="1" applyBorder="1" applyAlignment="1">
      <alignment horizontal="center" vertical="center"/>
    </xf>
    <xf numFmtId="0" fontId="46" fillId="2" borderId="11" xfId="0" applyFont="1" applyFill="1" applyBorder="1" applyAlignment="1">
      <alignment horizontal="center" vertical="center"/>
    </xf>
    <xf numFmtId="0" fontId="46" fillId="2" borderId="12" xfId="0" applyFont="1" applyFill="1" applyBorder="1" applyAlignment="1">
      <alignment horizontal="center" vertical="center"/>
    </xf>
    <xf numFmtId="0" fontId="26" fillId="12" borderId="1" xfId="0" applyFont="1" applyFill="1" applyBorder="1" applyAlignment="1">
      <alignment horizontal="center"/>
    </xf>
    <xf numFmtId="0" fontId="10" fillId="12" borderId="37" xfId="0" applyFont="1" applyFill="1" applyBorder="1" applyAlignment="1">
      <alignment horizontal="left" vertical="top" wrapText="1"/>
    </xf>
    <xf numFmtId="0" fontId="10" fillId="12" borderId="24" xfId="0" applyFont="1" applyFill="1" applyBorder="1" applyAlignment="1">
      <alignment horizontal="left" vertical="top" wrapText="1"/>
    </xf>
    <xf numFmtId="0" fontId="10" fillId="12" borderId="25" xfId="0" applyFont="1" applyFill="1" applyBorder="1" applyAlignment="1">
      <alignment horizontal="left" vertical="top" wrapText="1"/>
    </xf>
    <xf numFmtId="0" fontId="10" fillId="12" borderId="38" xfId="0" applyFont="1" applyFill="1" applyBorder="1" applyAlignment="1">
      <alignment horizontal="left" vertical="top" wrapText="1"/>
    </xf>
    <xf numFmtId="0" fontId="10" fillId="12" borderId="1" xfId="0" applyFont="1" applyFill="1" applyBorder="1" applyAlignment="1">
      <alignment horizontal="left" vertical="top" wrapText="1"/>
    </xf>
    <xf numFmtId="0" fontId="10" fillId="12" borderId="27" xfId="0" applyFont="1" applyFill="1" applyBorder="1" applyAlignment="1">
      <alignment horizontal="left" vertical="top" wrapText="1"/>
    </xf>
    <xf numFmtId="0" fontId="10" fillId="12" borderId="39" xfId="0" applyFont="1" applyFill="1" applyBorder="1" applyAlignment="1">
      <alignment horizontal="left" vertical="top" wrapText="1"/>
    </xf>
    <xf numFmtId="0" fontId="10" fillId="12" borderId="31" xfId="0" applyFont="1" applyFill="1" applyBorder="1" applyAlignment="1">
      <alignment horizontal="left" vertical="top" wrapText="1"/>
    </xf>
    <xf numFmtId="0" fontId="10" fillId="12" borderId="32" xfId="0" applyFont="1" applyFill="1" applyBorder="1" applyAlignment="1">
      <alignment horizontal="left" vertical="top" wrapText="1"/>
    </xf>
    <xf numFmtId="0" fontId="37" fillId="9" borderId="40" xfId="0" applyFont="1" applyFill="1" applyBorder="1" applyAlignment="1">
      <alignment horizontal="center" wrapText="1"/>
    </xf>
    <xf numFmtId="0" fontId="37" fillId="9" borderId="42" xfId="0" applyFont="1" applyFill="1" applyBorder="1" applyAlignment="1">
      <alignment horizontal="center" wrapText="1"/>
    </xf>
    <xf numFmtId="168" fontId="47" fillId="2" borderId="37" xfId="1" applyNumberFormat="1" applyFont="1" applyFill="1" applyBorder="1" applyAlignment="1">
      <alignment horizontal="center" vertical="center"/>
    </xf>
    <xf numFmtId="168" fontId="47" fillId="2" borderId="24" xfId="1" applyNumberFormat="1" applyFont="1" applyFill="1" applyBorder="1" applyAlignment="1">
      <alignment horizontal="center" vertical="center"/>
    </xf>
    <xf numFmtId="168" fontId="47" fillId="2" borderId="25" xfId="1" applyNumberFormat="1" applyFont="1" applyFill="1" applyBorder="1" applyAlignment="1">
      <alignment horizontal="center" vertical="center"/>
    </xf>
    <xf numFmtId="168" fontId="47" fillId="2" borderId="48" xfId="1" applyNumberFormat="1" applyFont="1" applyFill="1" applyBorder="1" applyAlignment="1">
      <alignment horizontal="center" vertical="center"/>
    </xf>
    <xf numFmtId="168" fontId="47" fillId="2" borderId="49" xfId="1" applyNumberFormat="1" applyFont="1" applyFill="1" applyBorder="1" applyAlignment="1">
      <alignment horizontal="center" vertical="center"/>
    </xf>
    <xf numFmtId="168" fontId="47" fillId="2" borderId="50" xfId="1" applyNumberFormat="1" applyFont="1" applyFill="1" applyBorder="1" applyAlignment="1">
      <alignment horizontal="center" vertical="center"/>
    </xf>
    <xf numFmtId="168" fontId="47" fillId="2" borderId="21" xfId="1" applyNumberFormat="1" applyFont="1" applyFill="1" applyBorder="1" applyAlignment="1">
      <alignment horizontal="center" vertical="center"/>
    </xf>
    <xf numFmtId="168" fontId="47" fillId="2" borderId="22" xfId="1" applyNumberFormat="1" applyFont="1" applyFill="1" applyBorder="1" applyAlignment="1">
      <alignment horizontal="center" vertical="center"/>
    </xf>
    <xf numFmtId="168" fontId="47" fillId="2" borderId="73" xfId="1" applyNumberFormat="1" applyFont="1" applyFill="1" applyBorder="1" applyAlignment="1">
      <alignment horizontal="center" vertical="center"/>
    </xf>
    <xf numFmtId="168" fontId="4" fillId="2" borderId="21" xfId="1" applyNumberFormat="1" applyFont="1" applyFill="1" applyBorder="1" applyAlignment="1">
      <alignment horizontal="center" vertical="center"/>
    </xf>
    <xf numFmtId="168" fontId="4" fillId="2" borderId="22" xfId="1" applyNumberFormat="1" applyFont="1" applyFill="1" applyBorder="1" applyAlignment="1">
      <alignment horizontal="center" vertical="center"/>
    </xf>
    <xf numFmtId="168" fontId="4" fillId="2" borderId="73" xfId="1" applyNumberFormat="1" applyFont="1" applyFill="1" applyBorder="1" applyAlignment="1">
      <alignment horizontal="center" vertical="center"/>
    </xf>
    <xf numFmtId="0" fontId="37" fillId="0" borderId="63" xfId="0" applyFont="1" applyBorder="1" applyAlignment="1">
      <alignment horizontal="center" wrapText="1"/>
    </xf>
    <xf numFmtId="0" fontId="37" fillId="0" borderId="57" xfId="0" applyFont="1" applyBorder="1" applyAlignment="1">
      <alignment horizontal="center" wrapText="1"/>
    </xf>
    <xf numFmtId="168" fontId="47" fillId="2" borderId="40" xfId="1" applyNumberFormat="1" applyFont="1" applyFill="1" applyBorder="1" applyAlignment="1">
      <alignment horizontal="center" vertical="center"/>
    </xf>
    <xf numFmtId="168" fontId="47" fillId="2" borderId="41" xfId="1" applyNumberFormat="1" applyFont="1" applyFill="1" applyBorder="1" applyAlignment="1">
      <alignment horizontal="center" vertical="center"/>
    </xf>
    <xf numFmtId="168" fontId="47" fillId="2" borderId="42" xfId="1" applyNumberFormat="1" applyFont="1" applyFill="1" applyBorder="1" applyAlignment="1">
      <alignment horizontal="center" vertical="center"/>
    </xf>
    <xf numFmtId="0" fontId="37" fillId="0" borderId="28" xfId="0" applyFont="1" applyBorder="1" applyAlignment="1">
      <alignment horizontal="left" vertical="top"/>
    </xf>
    <xf numFmtId="0" fontId="37" fillId="0" borderId="29" xfId="0" applyFont="1" applyBorder="1" applyAlignment="1">
      <alignment horizontal="left" vertical="top"/>
    </xf>
    <xf numFmtId="0" fontId="37" fillId="0" borderId="30" xfId="0" applyFont="1" applyBorder="1" applyAlignment="1">
      <alignment horizontal="left" vertical="top"/>
    </xf>
    <xf numFmtId="0" fontId="37" fillId="0" borderId="5" xfId="0" applyFont="1" applyBorder="1" applyAlignment="1">
      <alignment horizontal="left"/>
    </xf>
    <xf numFmtId="0" fontId="37" fillId="0" borderId="6" xfId="0" applyFont="1" applyBorder="1" applyAlignment="1">
      <alignment horizontal="left"/>
    </xf>
    <xf numFmtId="0" fontId="37" fillId="0" borderId="7" xfId="0" applyFont="1" applyBorder="1" applyAlignment="1">
      <alignment horizontal="left"/>
    </xf>
    <xf numFmtId="0" fontId="37" fillId="0" borderId="19" xfId="0" applyFont="1" applyBorder="1" applyAlignment="1">
      <alignment horizontal="left"/>
    </xf>
    <xf numFmtId="0" fontId="37" fillId="0" borderId="18" xfId="0" applyFont="1" applyBorder="1" applyAlignment="1">
      <alignment horizontal="left"/>
    </xf>
    <xf numFmtId="0" fontId="37" fillId="0" borderId="20" xfId="0" applyFont="1" applyBorder="1" applyAlignment="1">
      <alignment horizontal="left"/>
    </xf>
    <xf numFmtId="0" fontId="40" fillId="6" borderId="76" xfId="0" applyFont="1" applyFill="1" applyBorder="1" applyAlignment="1">
      <alignment horizontal="left"/>
    </xf>
    <xf numFmtId="0" fontId="40" fillId="6" borderId="77" xfId="0" applyFont="1" applyFill="1" applyBorder="1" applyAlignment="1">
      <alignment horizontal="left"/>
    </xf>
    <xf numFmtId="0" fontId="40" fillId="6" borderId="78" xfId="0" applyFont="1" applyFill="1" applyBorder="1" applyAlignment="1">
      <alignment horizontal="left"/>
    </xf>
    <xf numFmtId="0" fontId="40" fillId="6" borderId="94" xfId="0" applyFont="1" applyFill="1" applyBorder="1" applyAlignment="1">
      <alignment horizontal="left"/>
    </xf>
    <xf numFmtId="0" fontId="40" fillId="6" borderId="15" xfId="0" applyFont="1" applyFill="1" applyBorder="1" applyAlignment="1">
      <alignment horizontal="left"/>
    </xf>
    <xf numFmtId="0" fontId="40" fillId="6" borderId="16" xfId="0" applyFont="1" applyFill="1" applyBorder="1" applyAlignment="1">
      <alignment horizontal="left"/>
    </xf>
    <xf numFmtId="0" fontId="37" fillId="0" borderId="21" xfId="0" applyFont="1" applyBorder="1" applyAlignment="1">
      <alignment horizontal="left"/>
    </xf>
    <xf numFmtId="0" fontId="37" fillId="0" borderId="22" xfId="0" applyFont="1" applyBorder="1" applyAlignment="1">
      <alignment horizontal="left"/>
    </xf>
    <xf numFmtId="0" fontId="37" fillId="0" borderId="23" xfId="0" applyFont="1" applyBorder="1" applyAlignment="1">
      <alignment horizontal="left"/>
    </xf>
    <xf numFmtId="0" fontId="37" fillId="6" borderId="82" xfId="0" applyFont="1" applyFill="1" applyBorder="1" applyAlignment="1">
      <alignment horizontal="left"/>
    </xf>
    <xf numFmtId="0" fontId="37" fillId="6" borderId="83" xfId="0" applyFont="1" applyFill="1" applyBorder="1" applyAlignment="1">
      <alignment horizontal="left"/>
    </xf>
    <xf numFmtId="0" fontId="37" fillId="6" borderId="84" xfId="0" applyFont="1" applyFill="1" applyBorder="1" applyAlignment="1">
      <alignment horizontal="left"/>
    </xf>
    <xf numFmtId="0" fontId="40" fillId="6" borderId="82" xfId="0" applyFont="1" applyFill="1" applyBorder="1" applyAlignment="1">
      <alignment horizontal="left"/>
    </xf>
    <xf numFmtId="0" fontId="40" fillId="6" borderId="83" xfId="0" applyFont="1" applyFill="1" applyBorder="1" applyAlignment="1">
      <alignment horizontal="left"/>
    </xf>
    <xf numFmtId="0" fontId="40" fillId="6" borderId="84" xfId="0" applyFont="1" applyFill="1" applyBorder="1" applyAlignment="1">
      <alignment horizontal="left"/>
    </xf>
    <xf numFmtId="0" fontId="37" fillId="2" borderId="76" xfId="0" applyFont="1" applyFill="1" applyBorder="1" applyAlignment="1">
      <alignment horizontal="left"/>
    </xf>
    <xf numFmtId="0" fontId="37" fillId="2" borderId="77" xfId="0" applyFont="1" applyFill="1" applyBorder="1" applyAlignment="1">
      <alignment horizontal="left"/>
    </xf>
    <xf numFmtId="0" fontId="37" fillId="2" borderId="78" xfId="0" applyFont="1" applyFill="1" applyBorder="1" applyAlignment="1">
      <alignment horizontal="left"/>
    </xf>
    <xf numFmtId="0" fontId="37" fillId="0" borderId="26" xfId="0" applyFont="1" applyBorder="1" applyAlignment="1">
      <alignment horizontal="left"/>
    </xf>
    <xf numFmtId="0" fontId="37" fillId="0" borderId="10" xfId="0" applyFont="1" applyBorder="1" applyAlignment="1">
      <alignment horizontal="left"/>
    </xf>
    <xf numFmtId="0" fontId="47" fillId="2" borderId="11" xfId="0" applyFont="1" applyFill="1" applyBorder="1" applyAlignment="1">
      <alignment horizontal="center" vertical="center"/>
    </xf>
    <xf numFmtId="0" fontId="47" fillId="2" borderId="12" xfId="0" applyFont="1" applyFill="1" applyBorder="1" applyAlignment="1">
      <alignment horizontal="center" vertical="center"/>
    </xf>
    <xf numFmtId="0" fontId="37" fillId="0" borderId="28" xfId="0" applyFont="1" applyBorder="1" applyAlignment="1">
      <alignment horizontal="left"/>
    </xf>
    <xf numFmtId="0" fontId="37" fillId="0" borderId="29" xfId="0" applyFont="1" applyBorder="1" applyAlignment="1">
      <alignment horizontal="left"/>
    </xf>
    <xf numFmtId="0" fontId="37" fillId="0" borderId="30" xfId="0" applyFont="1" applyBorder="1" applyAlignment="1">
      <alignment horizontal="left"/>
    </xf>
    <xf numFmtId="0" fontId="46" fillId="2" borderId="15" xfId="0" applyFont="1" applyFill="1" applyBorder="1" applyAlignment="1">
      <alignment horizontal="center" vertical="center"/>
    </xf>
    <xf numFmtId="0" fontId="46" fillId="2" borderId="16" xfId="0" applyFont="1" applyFill="1" applyBorder="1" applyAlignment="1">
      <alignment horizontal="center" vertical="center"/>
    </xf>
    <xf numFmtId="0" fontId="37" fillId="12" borderId="40" xfId="0" applyFont="1" applyFill="1" applyBorder="1" applyAlignment="1">
      <alignment horizontal="center" wrapText="1"/>
    </xf>
    <xf numFmtId="0" fontId="37" fillId="12" borderId="41" xfId="0" applyFont="1" applyFill="1" applyBorder="1" applyAlignment="1">
      <alignment horizontal="center" wrapText="1"/>
    </xf>
    <xf numFmtId="0" fontId="37" fillId="12" borderId="42" xfId="0" applyFont="1" applyFill="1" applyBorder="1" applyAlignment="1">
      <alignment horizontal="center" wrapText="1"/>
    </xf>
    <xf numFmtId="0" fontId="37" fillId="12" borderId="43" xfId="0" applyFont="1" applyFill="1" applyBorder="1" applyAlignment="1">
      <alignment horizontal="center" wrapText="1"/>
    </xf>
    <xf numFmtId="0" fontId="37" fillId="12" borderId="0" xfId="0" applyFont="1" applyFill="1" applyAlignment="1">
      <alignment horizontal="center" wrapText="1"/>
    </xf>
    <xf numFmtId="0" fontId="37" fillId="12" borderId="44" xfId="0" applyFont="1" applyFill="1" applyBorder="1" applyAlignment="1">
      <alignment horizontal="center" wrapText="1"/>
    </xf>
    <xf numFmtId="0" fontId="37" fillId="12" borderId="45" xfId="0" applyFont="1" applyFill="1" applyBorder="1" applyAlignment="1">
      <alignment horizontal="center" wrapText="1"/>
    </xf>
    <xf numFmtId="0" fontId="37" fillId="12" borderId="46" xfId="0" applyFont="1" applyFill="1" applyBorder="1" applyAlignment="1">
      <alignment horizontal="center" wrapText="1"/>
    </xf>
    <xf numFmtId="0" fontId="37" fillId="12" borderId="47" xfId="0" applyFont="1" applyFill="1" applyBorder="1" applyAlignment="1">
      <alignment horizontal="center" wrapText="1"/>
    </xf>
    <xf numFmtId="0" fontId="10" fillId="12" borderId="40" xfId="0" applyFont="1" applyFill="1" applyBorder="1" applyAlignment="1">
      <alignment horizontal="center" vertical="top" wrapText="1"/>
    </xf>
    <xf numFmtId="0" fontId="10" fillId="12" borderId="41" xfId="0" applyFont="1" applyFill="1" applyBorder="1" applyAlignment="1">
      <alignment horizontal="center" vertical="top" wrapText="1"/>
    </xf>
    <xf numFmtId="0" fontId="10" fillId="12" borderId="42" xfId="0" applyFont="1" applyFill="1" applyBorder="1" applyAlignment="1">
      <alignment horizontal="center" vertical="top" wrapText="1"/>
    </xf>
    <xf numFmtId="0" fontId="10" fillId="12" borderId="43" xfId="0" applyFont="1" applyFill="1" applyBorder="1" applyAlignment="1">
      <alignment horizontal="center" vertical="top" wrapText="1"/>
    </xf>
    <xf numFmtId="0" fontId="10" fillId="12" borderId="0" xfId="0" applyFont="1" applyFill="1" applyAlignment="1">
      <alignment horizontal="center" vertical="top" wrapText="1"/>
    </xf>
    <xf numFmtId="0" fontId="10" fillId="12" borderId="44" xfId="0" applyFont="1" applyFill="1" applyBorder="1" applyAlignment="1">
      <alignment horizontal="center" vertical="top" wrapText="1"/>
    </xf>
    <xf numFmtId="0" fontId="10" fillId="12" borderId="45" xfId="0" applyFont="1" applyFill="1" applyBorder="1" applyAlignment="1">
      <alignment horizontal="center" vertical="top" wrapText="1"/>
    </xf>
    <xf numFmtId="0" fontId="10" fillId="12" borderId="46" xfId="0" applyFont="1" applyFill="1" applyBorder="1" applyAlignment="1">
      <alignment horizontal="center" vertical="top" wrapText="1"/>
    </xf>
    <xf numFmtId="0" fontId="10" fillId="12" borderId="47" xfId="0" applyFont="1" applyFill="1" applyBorder="1" applyAlignment="1">
      <alignment horizontal="center" vertical="top" wrapText="1"/>
    </xf>
    <xf numFmtId="0" fontId="10" fillId="12" borderId="40" xfId="0" applyFont="1" applyFill="1" applyBorder="1" applyAlignment="1">
      <alignment horizontal="left" vertical="top" wrapText="1"/>
    </xf>
    <xf numFmtId="0" fontId="10" fillId="12" borderId="41" xfId="0" applyFont="1" applyFill="1" applyBorder="1" applyAlignment="1">
      <alignment horizontal="left" vertical="top" wrapText="1"/>
    </xf>
    <xf numFmtId="0" fontId="10" fillId="12" borderId="42" xfId="0" applyFont="1" applyFill="1" applyBorder="1" applyAlignment="1">
      <alignment horizontal="left" vertical="top" wrapText="1"/>
    </xf>
    <xf numFmtId="0" fontId="10" fillId="12" borderId="43" xfId="0" applyFont="1" applyFill="1" applyBorder="1" applyAlignment="1">
      <alignment horizontal="left" vertical="top" wrapText="1"/>
    </xf>
    <xf numFmtId="0" fontId="10" fillId="12" borderId="0" xfId="0" applyFont="1" applyFill="1" applyAlignment="1">
      <alignment horizontal="left" vertical="top" wrapText="1"/>
    </xf>
    <xf numFmtId="0" fontId="10" fillId="12" borderId="44" xfId="0" applyFont="1" applyFill="1" applyBorder="1" applyAlignment="1">
      <alignment horizontal="left" vertical="top" wrapText="1"/>
    </xf>
    <xf numFmtId="0" fontId="10" fillId="12" borderId="45" xfId="0" applyFont="1" applyFill="1" applyBorder="1" applyAlignment="1">
      <alignment horizontal="left" vertical="top" wrapText="1"/>
    </xf>
    <xf numFmtId="0" fontId="10" fillId="12" borderId="46" xfId="0" applyFont="1" applyFill="1" applyBorder="1" applyAlignment="1">
      <alignment horizontal="left" vertical="top" wrapText="1"/>
    </xf>
    <xf numFmtId="0" fontId="10" fillId="12" borderId="47" xfId="0" applyFont="1" applyFill="1" applyBorder="1" applyAlignment="1">
      <alignment horizontal="left" vertical="top" wrapText="1"/>
    </xf>
    <xf numFmtId="0" fontId="37" fillId="12" borderId="40" xfId="0" applyFont="1" applyFill="1" applyBorder="1" applyAlignment="1">
      <alignment horizontal="center" vertical="center" wrapText="1"/>
    </xf>
    <xf numFmtId="0" fontId="37" fillId="12" borderId="41" xfId="0" applyFont="1" applyFill="1" applyBorder="1" applyAlignment="1">
      <alignment horizontal="center" vertical="center" wrapText="1"/>
    </xf>
    <xf numFmtId="0" fontId="37" fillId="12" borderId="42" xfId="0" applyFont="1" applyFill="1" applyBorder="1" applyAlignment="1">
      <alignment horizontal="center" vertical="center" wrapText="1"/>
    </xf>
    <xf numFmtId="0" fontId="37" fillId="12" borderId="43" xfId="0" applyFont="1" applyFill="1" applyBorder="1" applyAlignment="1">
      <alignment horizontal="center" vertical="center" wrapText="1"/>
    </xf>
    <xf numFmtId="0" fontId="37" fillId="12" borderId="0" xfId="0" applyFont="1" applyFill="1" applyAlignment="1">
      <alignment horizontal="center" vertical="center" wrapText="1"/>
    </xf>
    <xf numFmtId="0" fontId="37" fillId="12" borderId="44" xfId="0" applyFont="1" applyFill="1" applyBorder="1" applyAlignment="1">
      <alignment horizontal="center" vertical="center" wrapText="1"/>
    </xf>
    <xf numFmtId="0" fontId="37" fillId="12" borderId="45" xfId="0" applyFont="1" applyFill="1" applyBorder="1" applyAlignment="1">
      <alignment horizontal="center" vertical="center" wrapText="1"/>
    </xf>
    <xf numFmtId="0" fontId="37" fillId="12" borderId="46" xfId="0" applyFont="1" applyFill="1" applyBorder="1" applyAlignment="1">
      <alignment horizontal="center" vertical="center" wrapText="1"/>
    </xf>
    <xf numFmtId="0" fontId="37" fillId="12" borderId="47" xfId="0" applyFont="1" applyFill="1" applyBorder="1" applyAlignment="1">
      <alignment horizontal="center" vertical="center" wrapText="1"/>
    </xf>
    <xf numFmtId="168" fontId="4" fillId="2" borderId="37" xfId="1" applyNumberFormat="1" applyFont="1" applyFill="1" applyBorder="1" applyAlignment="1">
      <alignment horizontal="center" vertical="center"/>
    </xf>
    <xf numFmtId="168" fontId="4" fillId="2" borderId="24" xfId="1" applyNumberFormat="1" applyFont="1" applyFill="1" applyBorder="1" applyAlignment="1">
      <alignment horizontal="center" vertical="center"/>
    </xf>
    <xf numFmtId="168" fontId="4" fillId="2" borderId="25" xfId="1" applyNumberFormat="1" applyFont="1" applyFill="1" applyBorder="1" applyAlignment="1">
      <alignment horizontal="center" vertical="center"/>
    </xf>
    <xf numFmtId="0" fontId="26" fillId="12" borderId="48" xfId="0" applyFont="1" applyFill="1" applyBorder="1" applyAlignment="1">
      <alignment horizontal="center"/>
    </xf>
    <xf numFmtId="0" fontId="26" fillId="12" borderId="49" xfId="0" applyFont="1" applyFill="1" applyBorder="1" applyAlignment="1">
      <alignment horizontal="center"/>
    </xf>
    <xf numFmtId="0" fontId="26" fillId="12" borderId="50" xfId="0" applyFont="1" applyFill="1" applyBorder="1" applyAlignment="1">
      <alignment horizontal="center"/>
    </xf>
    <xf numFmtId="0" fontId="0" fillId="0" borderId="0" xfId="0" applyAlignment="1">
      <alignment horizontal="center"/>
    </xf>
    <xf numFmtId="0" fontId="23" fillId="12" borderId="40" xfId="0" applyFont="1" applyFill="1" applyBorder="1" applyAlignment="1">
      <alignment horizontal="center" vertical="center" wrapText="1"/>
    </xf>
    <xf numFmtId="0" fontId="23" fillId="12" borderId="41" xfId="0" applyFont="1" applyFill="1" applyBorder="1" applyAlignment="1">
      <alignment horizontal="center" vertical="center" wrapText="1"/>
    </xf>
    <xf numFmtId="0" fontId="23" fillId="12" borderId="42" xfId="0" applyFont="1" applyFill="1" applyBorder="1" applyAlignment="1">
      <alignment horizontal="center" vertical="center" wrapText="1"/>
    </xf>
    <xf numFmtId="0" fontId="23" fillId="12" borderId="43" xfId="0" applyFont="1" applyFill="1" applyBorder="1" applyAlignment="1">
      <alignment horizontal="center" vertical="center" wrapText="1"/>
    </xf>
    <xf numFmtId="0" fontId="23" fillId="12" borderId="0" xfId="0" applyFont="1" applyFill="1" applyAlignment="1">
      <alignment horizontal="center" vertical="center" wrapText="1"/>
    </xf>
    <xf numFmtId="0" fontId="23" fillId="12" borderId="44" xfId="0" applyFont="1" applyFill="1" applyBorder="1" applyAlignment="1">
      <alignment horizontal="center" vertical="center" wrapText="1"/>
    </xf>
    <xf numFmtId="0" fontId="23" fillId="12" borderId="45" xfId="0" applyFont="1" applyFill="1" applyBorder="1" applyAlignment="1">
      <alignment horizontal="center" vertical="center" wrapText="1"/>
    </xf>
    <xf numFmtId="0" fontId="23" fillId="12" borderId="46" xfId="0" applyFont="1" applyFill="1" applyBorder="1" applyAlignment="1">
      <alignment horizontal="center" vertical="center" wrapText="1"/>
    </xf>
    <xf numFmtId="0" fontId="23" fillId="12" borderId="47" xfId="0" applyFont="1" applyFill="1" applyBorder="1" applyAlignment="1">
      <alignment horizontal="center" vertical="center" wrapText="1"/>
    </xf>
    <xf numFmtId="0" fontId="26" fillId="12" borderId="40" xfId="0" applyFont="1" applyFill="1" applyBorder="1" applyAlignment="1">
      <alignment horizontal="center" vertical="center" wrapText="1"/>
    </xf>
    <xf numFmtId="0" fontId="26" fillId="12" borderId="41" xfId="0" applyFont="1" applyFill="1" applyBorder="1" applyAlignment="1">
      <alignment horizontal="center" vertical="center" wrapText="1"/>
    </xf>
    <xf numFmtId="0" fontId="26" fillId="12" borderId="42" xfId="0" applyFont="1" applyFill="1" applyBorder="1" applyAlignment="1">
      <alignment horizontal="center" vertical="center" wrapText="1"/>
    </xf>
    <xf numFmtId="0" fontId="26" fillId="12" borderId="43" xfId="0" applyFont="1" applyFill="1" applyBorder="1" applyAlignment="1">
      <alignment horizontal="center" vertical="center" wrapText="1"/>
    </xf>
    <xf numFmtId="0" fontId="26" fillId="12" borderId="0" xfId="0" applyFont="1" applyFill="1" applyAlignment="1">
      <alignment horizontal="center" vertical="center" wrapText="1"/>
    </xf>
    <xf numFmtId="0" fontId="26" fillId="12" borderId="44" xfId="0" applyFont="1" applyFill="1" applyBorder="1" applyAlignment="1">
      <alignment horizontal="center" vertical="center" wrapText="1"/>
    </xf>
    <xf numFmtId="0" fontId="26" fillId="12" borderId="45" xfId="0" applyFont="1" applyFill="1" applyBorder="1" applyAlignment="1">
      <alignment horizontal="center" vertical="center" wrapText="1"/>
    </xf>
    <xf numFmtId="0" fontId="26" fillId="12" borderId="46" xfId="0" applyFont="1" applyFill="1" applyBorder="1" applyAlignment="1">
      <alignment horizontal="center" vertical="center" wrapText="1"/>
    </xf>
    <xf numFmtId="0" fontId="26" fillId="12" borderId="47" xfId="0" applyFont="1" applyFill="1" applyBorder="1" applyAlignment="1">
      <alignment horizontal="center" vertical="center" wrapText="1"/>
    </xf>
    <xf numFmtId="0" fontId="21" fillId="14" borderId="40" xfId="0" applyFont="1" applyFill="1" applyBorder="1" applyAlignment="1">
      <alignment horizontal="center" wrapText="1"/>
    </xf>
    <xf numFmtId="0" fontId="21" fillId="14" borderId="41" xfId="0" applyFont="1" applyFill="1" applyBorder="1" applyAlignment="1">
      <alignment horizontal="center" wrapText="1"/>
    </xf>
    <xf numFmtId="0" fontId="21" fillId="14" borderId="42" xfId="0" applyFont="1" applyFill="1" applyBorder="1" applyAlignment="1">
      <alignment horizontal="center" wrapText="1"/>
    </xf>
    <xf numFmtId="0" fontId="21" fillId="14" borderId="45" xfId="0" applyFont="1" applyFill="1" applyBorder="1" applyAlignment="1">
      <alignment horizontal="center" wrapText="1"/>
    </xf>
    <xf numFmtId="0" fontId="21" fillId="14" borderId="46" xfId="0" applyFont="1" applyFill="1" applyBorder="1" applyAlignment="1">
      <alignment horizontal="center" wrapText="1"/>
    </xf>
    <xf numFmtId="0" fontId="21" fillId="14" borderId="47" xfId="0" applyFont="1" applyFill="1" applyBorder="1" applyAlignment="1">
      <alignment horizontal="center" wrapText="1"/>
    </xf>
    <xf numFmtId="0" fontId="40" fillId="0" borderId="37" xfId="0" applyFont="1" applyBorder="1" applyAlignment="1">
      <alignment horizontal="center" vertical="center"/>
    </xf>
    <xf numFmtId="0" fontId="40" fillId="0" borderId="38" xfId="0" applyFont="1" applyBorder="1" applyAlignment="1">
      <alignment horizontal="center" vertical="center"/>
    </xf>
    <xf numFmtId="0" fontId="40" fillId="0" borderId="39" xfId="0" applyFont="1" applyBorder="1" applyAlignment="1">
      <alignment horizontal="center" vertical="center"/>
    </xf>
    <xf numFmtId="0" fontId="10" fillId="0" borderId="48" xfId="0" applyFont="1" applyBorder="1" applyAlignment="1">
      <alignment horizontal="center"/>
    </xf>
    <xf numFmtId="0" fontId="10" fillId="0" borderId="49" xfId="0" applyFont="1" applyBorder="1" applyAlignment="1">
      <alignment horizontal="center"/>
    </xf>
    <xf numFmtId="0" fontId="10" fillId="0" borderId="50" xfId="0" applyFont="1" applyBorder="1" applyAlignment="1">
      <alignment horizontal="center"/>
    </xf>
    <xf numFmtId="0" fontId="10" fillId="0" borderId="24" xfId="0" applyFont="1" applyBorder="1" applyAlignment="1">
      <alignment horizontal="center"/>
    </xf>
    <xf numFmtId="9" fontId="46" fillId="2" borderId="3" xfId="3" applyFont="1" applyFill="1" applyBorder="1" applyAlignment="1" applyProtection="1">
      <alignment horizontal="center" vertical="center"/>
      <protection locked="0"/>
    </xf>
    <xf numFmtId="9" fontId="46" fillId="2" borderId="4" xfId="3" applyFont="1" applyFill="1" applyBorder="1" applyAlignment="1" applyProtection="1">
      <alignment horizontal="center" vertical="center"/>
      <protection locked="0"/>
    </xf>
    <xf numFmtId="0" fontId="10" fillId="0" borderId="61" xfId="0" applyFont="1" applyBorder="1" applyAlignment="1">
      <alignment horizontal="center"/>
    </xf>
    <xf numFmtId="0" fontId="10" fillId="0" borderId="8" xfId="0" applyFont="1" applyBorder="1" applyAlignment="1">
      <alignment horizontal="center"/>
    </xf>
    <xf numFmtId="0" fontId="10" fillId="0" borderId="62" xfId="0" applyFont="1" applyBorder="1" applyAlignment="1">
      <alignment horizontal="center"/>
    </xf>
    <xf numFmtId="0" fontId="21" fillId="0" borderId="43" xfId="0" applyFont="1" applyBorder="1" applyAlignment="1">
      <alignment horizontal="center" wrapText="1"/>
    </xf>
    <xf numFmtId="0" fontId="21" fillId="0" borderId="0" xfId="0" applyFont="1" applyAlignment="1">
      <alignment horizontal="center" wrapText="1"/>
    </xf>
    <xf numFmtId="0" fontId="37" fillId="9" borderId="48" xfId="0" applyFont="1" applyFill="1" applyBorder="1" applyAlignment="1">
      <alignment horizontal="center" wrapText="1"/>
    </xf>
    <xf numFmtId="0" fontId="37" fillId="9" borderId="50" xfId="0" applyFont="1" applyFill="1" applyBorder="1" applyAlignment="1">
      <alignment horizontal="center" wrapText="1"/>
    </xf>
    <xf numFmtId="0" fontId="26" fillId="12" borderId="40" xfId="0" applyFont="1" applyFill="1" applyBorder="1" applyAlignment="1">
      <alignment horizontal="center" vertical="top" wrapText="1"/>
    </xf>
    <xf numFmtId="0" fontId="26" fillId="12" borderId="41" xfId="0" applyFont="1" applyFill="1" applyBorder="1" applyAlignment="1">
      <alignment horizontal="center" vertical="top" wrapText="1"/>
    </xf>
    <xf numFmtId="0" fontId="26" fillId="12" borderId="42" xfId="0" applyFont="1" applyFill="1" applyBorder="1" applyAlignment="1">
      <alignment horizontal="center" vertical="top" wrapText="1"/>
    </xf>
    <xf numFmtId="0" fontId="26" fillId="12" borderId="43" xfId="0" applyFont="1" applyFill="1" applyBorder="1" applyAlignment="1">
      <alignment horizontal="center" vertical="top" wrapText="1"/>
    </xf>
    <xf numFmtId="0" fontId="26" fillId="12" borderId="0" xfId="0" applyFont="1" applyFill="1" applyAlignment="1">
      <alignment horizontal="center" vertical="top" wrapText="1"/>
    </xf>
    <xf numFmtId="0" fontId="26" fillId="12" borderId="44" xfId="0" applyFont="1" applyFill="1" applyBorder="1" applyAlignment="1">
      <alignment horizontal="center" vertical="top" wrapText="1"/>
    </xf>
    <xf numFmtId="0" fontId="26" fillId="12" borderId="45" xfId="0" applyFont="1" applyFill="1" applyBorder="1" applyAlignment="1">
      <alignment horizontal="center" vertical="top" wrapText="1"/>
    </xf>
    <xf numFmtId="0" fontId="26" fillId="12" borderId="46" xfId="0" applyFont="1" applyFill="1" applyBorder="1" applyAlignment="1">
      <alignment horizontal="center" vertical="top" wrapText="1"/>
    </xf>
    <xf numFmtId="0" fontId="26" fillId="12" borderId="47" xfId="0" applyFont="1" applyFill="1" applyBorder="1" applyAlignment="1">
      <alignment horizontal="center" vertical="top" wrapText="1"/>
    </xf>
    <xf numFmtId="0" fontId="26" fillId="12" borderId="37" xfId="0" applyFont="1" applyFill="1" applyBorder="1" applyAlignment="1">
      <alignment horizontal="left" vertical="top" wrapText="1"/>
    </xf>
    <xf numFmtId="0" fontId="26" fillId="12" borderId="24" xfId="0" applyFont="1" applyFill="1" applyBorder="1" applyAlignment="1">
      <alignment horizontal="left" vertical="top" wrapText="1"/>
    </xf>
    <xf numFmtId="0" fontId="26" fillId="12" borderId="25" xfId="0" applyFont="1" applyFill="1" applyBorder="1" applyAlignment="1">
      <alignment horizontal="left" vertical="top" wrapText="1"/>
    </xf>
    <xf numFmtId="0" fontId="26" fillId="12" borderId="38" xfId="0" applyFont="1" applyFill="1" applyBorder="1" applyAlignment="1">
      <alignment horizontal="left" vertical="top" wrapText="1"/>
    </xf>
    <xf numFmtId="0" fontId="26" fillId="12" borderId="1" xfId="0" applyFont="1" applyFill="1" applyBorder="1" applyAlignment="1">
      <alignment horizontal="left" vertical="top" wrapText="1"/>
    </xf>
    <xf numFmtId="0" fontId="26" fillId="12" borderId="27" xfId="0" applyFont="1" applyFill="1" applyBorder="1" applyAlignment="1">
      <alignment horizontal="left" vertical="top" wrapText="1"/>
    </xf>
    <xf numFmtId="0" fontId="26" fillId="12" borderId="39" xfId="0" applyFont="1" applyFill="1" applyBorder="1" applyAlignment="1">
      <alignment horizontal="left" vertical="top" wrapText="1"/>
    </xf>
    <xf numFmtId="0" fontId="26" fillId="12" borderId="31" xfId="0" applyFont="1" applyFill="1" applyBorder="1" applyAlignment="1">
      <alignment horizontal="left" vertical="top" wrapText="1"/>
    </xf>
    <xf numFmtId="0" fontId="26" fillId="12" borderId="32" xfId="0" applyFont="1" applyFill="1" applyBorder="1" applyAlignment="1">
      <alignment horizontal="left" vertical="top" wrapText="1"/>
    </xf>
    <xf numFmtId="169" fontId="37" fillId="5" borderId="66" xfId="2" applyNumberFormat="1" applyFont="1" applyFill="1" applyBorder="1" applyAlignment="1">
      <alignment horizontal="center" vertical="center" wrapText="1"/>
    </xf>
    <xf numFmtId="169" fontId="37" fillId="5" borderId="97" xfId="2" applyNumberFormat="1" applyFont="1" applyFill="1" applyBorder="1" applyAlignment="1">
      <alignment horizontal="center" vertical="center" wrapText="1"/>
    </xf>
    <xf numFmtId="168" fontId="47" fillId="2" borderId="51" xfId="1" applyNumberFormat="1" applyFont="1" applyFill="1" applyBorder="1" applyAlignment="1">
      <alignment horizontal="center" vertical="center"/>
    </xf>
    <xf numFmtId="0" fontId="10" fillId="0" borderId="45" xfId="0"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
    </xf>
    <xf numFmtId="0" fontId="26" fillId="12" borderId="56" xfId="0" applyFont="1" applyFill="1" applyBorder="1" applyAlignment="1">
      <alignment horizontal="center"/>
    </xf>
    <xf numFmtId="0" fontId="26" fillId="12" borderId="63" xfId="0" applyFont="1" applyFill="1" applyBorder="1" applyAlignment="1">
      <alignment horizontal="center"/>
    </xf>
    <xf numFmtId="0" fontId="26" fillId="12" borderId="57" xfId="0" applyFont="1" applyFill="1" applyBorder="1" applyAlignment="1">
      <alignment horizontal="center"/>
    </xf>
    <xf numFmtId="0" fontId="23" fillId="12" borderId="40" xfId="0" applyFont="1" applyFill="1" applyBorder="1" applyAlignment="1">
      <alignment horizontal="center" vertical="top" wrapText="1"/>
    </xf>
    <xf numFmtId="0" fontId="23" fillId="12" borderId="41" xfId="0" applyFont="1" applyFill="1" applyBorder="1" applyAlignment="1">
      <alignment horizontal="center" vertical="top" wrapText="1"/>
    </xf>
    <xf numFmtId="0" fontId="23" fillId="12" borderId="42" xfId="0" applyFont="1" applyFill="1" applyBorder="1" applyAlignment="1">
      <alignment horizontal="center" vertical="top" wrapText="1"/>
    </xf>
    <xf numFmtId="0" fontId="23" fillId="12" borderId="43" xfId="0" applyFont="1" applyFill="1" applyBorder="1" applyAlignment="1">
      <alignment horizontal="center" vertical="top" wrapText="1"/>
    </xf>
    <xf numFmtId="0" fontId="23" fillId="12" borderId="0" xfId="0" applyFont="1" applyFill="1" applyAlignment="1">
      <alignment horizontal="center" vertical="top" wrapText="1"/>
    </xf>
    <xf numFmtId="0" fontId="23" fillId="12" borderId="44" xfId="0" applyFont="1" applyFill="1" applyBorder="1" applyAlignment="1">
      <alignment horizontal="center" vertical="top" wrapText="1"/>
    </xf>
    <xf numFmtId="0" fontId="23" fillId="12" borderId="45" xfId="0" applyFont="1" applyFill="1" applyBorder="1" applyAlignment="1">
      <alignment horizontal="center" vertical="top" wrapText="1"/>
    </xf>
    <xf numFmtId="0" fontId="23" fillId="12" borderId="46" xfId="0" applyFont="1" applyFill="1" applyBorder="1" applyAlignment="1">
      <alignment horizontal="center" vertical="top" wrapText="1"/>
    </xf>
    <xf numFmtId="0" fontId="23" fillId="12" borderId="47" xfId="0" applyFont="1" applyFill="1" applyBorder="1" applyAlignment="1">
      <alignment horizontal="center" vertical="top" wrapText="1"/>
    </xf>
    <xf numFmtId="0" fontId="10" fillId="0" borderId="40" xfId="0" applyFont="1" applyBorder="1" applyAlignment="1">
      <alignment horizontal="center"/>
    </xf>
    <xf numFmtId="0" fontId="10" fillId="0" borderId="41" xfId="0" applyFont="1" applyBorder="1" applyAlignment="1">
      <alignment horizontal="center"/>
    </xf>
    <xf numFmtId="0" fontId="10" fillId="0" borderId="42" xfId="0" applyFont="1" applyBorder="1" applyAlignment="1">
      <alignment horizontal="center"/>
    </xf>
    <xf numFmtId="0" fontId="23" fillId="14" borderId="40" xfId="0" applyFont="1" applyFill="1" applyBorder="1" applyAlignment="1">
      <alignment horizontal="center" wrapText="1"/>
    </xf>
    <xf numFmtId="0" fontId="23" fillId="14" borderId="41" xfId="0" applyFont="1" applyFill="1" applyBorder="1" applyAlignment="1">
      <alignment horizontal="center" wrapText="1"/>
    </xf>
    <xf numFmtId="0" fontId="23" fillId="14" borderId="42" xfId="0" applyFont="1" applyFill="1" applyBorder="1" applyAlignment="1">
      <alignment horizontal="center" wrapText="1"/>
    </xf>
    <xf numFmtId="0" fontId="23" fillId="14" borderId="45" xfId="0" applyFont="1" applyFill="1" applyBorder="1" applyAlignment="1">
      <alignment horizontal="center" wrapText="1"/>
    </xf>
    <xf numFmtId="0" fontId="23" fillId="14" borderId="46" xfId="0" applyFont="1" applyFill="1" applyBorder="1" applyAlignment="1">
      <alignment horizontal="center" wrapText="1"/>
    </xf>
    <xf numFmtId="0" fontId="23" fillId="14" borderId="47" xfId="0" applyFont="1" applyFill="1" applyBorder="1" applyAlignment="1">
      <alignment horizontal="center" wrapText="1"/>
    </xf>
    <xf numFmtId="0" fontId="37" fillId="0" borderId="43" xfId="0" applyFont="1" applyBorder="1" applyAlignment="1">
      <alignment horizontal="center"/>
    </xf>
    <xf numFmtId="0" fontId="37" fillId="0" borderId="0" xfId="0" applyFont="1" applyAlignment="1">
      <alignment horizontal="center"/>
    </xf>
    <xf numFmtId="0" fontId="9" fillId="17" borderId="48" xfId="0" applyFont="1" applyFill="1" applyBorder="1" applyAlignment="1">
      <alignment horizontal="center"/>
    </xf>
    <xf numFmtId="0" fontId="9" fillId="17" borderId="49" xfId="0" applyFont="1" applyFill="1" applyBorder="1" applyAlignment="1">
      <alignment horizontal="center"/>
    </xf>
    <xf numFmtId="0" fontId="9" fillId="17" borderId="50" xfId="0" applyFont="1" applyFill="1" applyBorder="1" applyAlignment="1">
      <alignment horizontal="center"/>
    </xf>
    <xf numFmtId="0" fontId="26" fillId="12" borderId="37" xfId="0" applyFont="1" applyFill="1" applyBorder="1" applyAlignment="1">
      <alignment horizontal="left" vertical="center" wrapText="1"/>
    </xf>
    <xf numFmtId="0" fontId="26" fillId="12" borderId="24" xfId="0" applyFont="1" applyFill="1" applyBorder="1" applyAlignment="1">
      <alignment horizontal="left" vertical="center" wrapText="1"/>
    </xf>
    <xf numFmtId="0" fontId="26" fillId="12" borderId="25" xfId="0" applyFont="1" applyFill="1" applyBorder="1" applyAlignment="1">
      <alignment horizontal="left" vertical="center" wrapText="1"/>
    </xf>
    <xf numFmtId="0" fontId="26" fillId="12" borderId="38" xfId="0" applyFont="1" applyFill="1" applyBorder="1" applyAlignment="1">
      <alignment horizontal="left" vertical="center" wrapText="1"/>
    </xf>
    <xf numFmtId="0" fontId="26" fillId="12" borderId="1" xfId="0" applyFont="1" applyFill="1" applyBorder="1" applyAlignment="1">
      <alignment horizontal="left" vertical="center" wrapText="1"/>
    </xf>
    <xf numFmtId="0" fontId="26" fillId="12" borderId="27" xfId="0" applyFont="1" applyFill="1" applyBorder="1" applyAlignment="1">
      <alignment horizontal="left" vertical="center" wrapText="1"/>
    </xf>
    <xf numFmtId="0" fontId="26" fillId="12" borderId="39" xfId="0" applyFont="1" applyFill="1" applyBorder="1" applyAlignment="1">
      <alignment horizontal="left" vertical="center" wrapText="1"/>
    </xf>
    <xf numFmtId="0" fontId="26" fillId="12" borderId="31" xfId="0" applyFont="1" applyFill="1" applyBorder="1" applyAlignment="1">
      <alignment horizontal="left" vertical="center" wrapText="1"/>
    </xf>
    <xf numFmtId="0" fontId="26" fillId="12" borderId="32" xfId="0" applyFont="1" applyFill="1" applyBorder="1" applyAlignment="1">
      <alignment horizontal="left" vertical="center" wrapText="1"/>
    </xf>
    <xf numFmtId="0" fontId="10" fillId="0" borderId="31" xfId="0" applyFont="1" applyBorder="1" applyAlignment="1">
      <alignment horizontal="center"/>
    </xf>
    <xf numFmtId="0" fontId="37" fillId="9" borderId="21" xfId="0" applyFont="1" applyFill="1" applyBorder="1" applyAlignment="1">
      <alignment horizontal="center" wrapText="1"/>
    </xf>
    <xf numFmtId="0" fontId="37" fillId="9" borderId="73" xfId="0" applyFont="1" applyFill="1" applyBorder="1" applyAlignment="1">
      <alignment horizontal="center" wrapText="1"/>
    </xf>
    <xf numFmtId="169" fontId="5" fillId="5" borderId="1" xfId="2" applyNumberFormat="1" applyFont="1" applyFill="1" applyBorder="1" applyAlignment="1">
      <alignment horizontal="center" vertical="center" wrapText="1"/>
    </xf>
    <xf numFmtId="168" fontId="4" fillId="2" borderId="1" xfId="1" applyNumberFormat="1" applyFont="1" applyFill="1" applyBorder="1" applyAlignment="1">
      <alignment horizontal="center" vertical="center"/>
    </xf>
    <xf numFmtId="0" fontId="26" fillId="12" borderId="40" xfId="0" applyFont="1" applyFill="1" applyBorder="1" applyAlignment="1">
      <alignment horizontal="center" wrapText="1"/>
    </xf>
    <xf numFmtId="0" fontId="26" fillId="12" borderId="41" xfId="0" applyFont="1" applyFill="1" applyBorder="1" applyAlignment="1">
      <alignment horizontal="center" wrapText="1"/>
    </xf>
    <xf numFmtId="0" fontId="26" fillId="12" borderId="42" xfId="0" applyFont="1" applyFill="1" applyBorder="1" applyAlignment="1">
      <alignment horizontal="center" wrapText="1"/>
    </xf>
    <xf numFmtId="0" fontId="26" fillId="12" borderId="45" xfId="0" applyFont="1" applyFill="1" applyBorder="1" applyAlignment="1">
      <alignment horizontal="center" wrapText="1"/>
    </xf>
    <xf numFmtId="0" fontId="26" fillId="12" borderId="46" xfId="0" applyFont="1" applyFill="1" applyBorder="1" applyAlignment="1">
      <alignment horizontal="center" wrapText="1"/>
    </xf>
    <xf numFmtId="0" fontId="26" fillId="12" borderId="47" xfId="0" applyFont="1" applyFill="1" applyBorder="1" applyAlignment="1">
      <alignment horizontal="center" wrapText="1"/>
    </xf>
    <xf numFmtId="0" fontId="10" fillId="0" borderId="53" xfId="0" applyFont="1" applyBorder="1" applyAlignment="1">
      <alignment horizontal="center"/>
    </xf>
    <xf numFmtId="0" fontId="10" fillId="0" borderId="52" xfId="0" applyFont="1" applyBorder="1" applyAlignment="1">
      <alignment horizontal="center"/>
    </xf>
    <xf numFmtId="0" fontId="35" fillId="4" borderId="48" xfId="0" applyFont="1" applyFill="1" applyBorder="1" applyAlignment="1">
      <alignment horizontal="center"/>
    </xf>
    <xf numFmtId="0" fontId="35" fillId="4" borderId="49" xfId="0" applyFont="1" applyFill="1" applyBorder="1" applyAlignment="1">
      <alignment horizontal="center"/>
    </xf>
    <xf numFmtId="0" fontId="35" fillId="4" borderId="50" xfId="0" applyFont="1" applyFill="1" applyBorder="1" applyAlignment="1">
      <alignment horizontal="center"/>
    </xf>
    <xf numFmtId="0" fontId="40" fillId="14" borderId="40" xfId="0" applyFont="1" applyFill="1" applyBorder="1" applyAlignment="1">
      <alignment horizontal="center" wrapText="1"/>
    </xf>
    <xf numFmtId="0" fontId="40" fillId="14" borderId="41" xfId="0" applyFont="1" applyFill="1" applyBorder="1" applyAlignment="1">
      <alignment horizontal="center" wrapText="1"/>
    </xf>
    <xf numFmtId="0" fontId="40" fillId="14" borderId="42" xfId="0" applyFont="1" applyFill="1" applyBorder="1" applyAlignment="1">
      <alignment horizontal="center" wrapText="1"/>
    </xf>
    <xf numFmtId="0" fontId="40" fillId="14" borderId="43" xfId="0" applyFont="1" applyFill="1" applyBorder="1" applyAlignment="1">
      <alignment horizontal="center" wrapText="1"/>
    </xf>
    <xf numFmtId="0" fontId="40" fillId="14" borderId="0" xfId="0" applyFont="1" applyFill="1" applyAlignment="1">
      <alignment horizontal="center" wrapText="1"/>
    </xf>
    <xf numFmtId="0" fontId="40" fillId="14" borderId="44" xfId="0" applyFont="1" applyFill="1" applyBorder="1" applyAlignment="1">
      <alignment horizontal="center" wrapText="1"/>
    </xf>
    <xf numFmtId="0" fontId="40" fillId="14" borderId="45" xfId="0" applyFont="1" applyFill="1" applyBorder="1" applyAlignment="1">
      <alignment horizontal="center" wrapText="1"/>
    </xf>
    <xf numFmtId="0" fontId="40" fillId="14" borderId="46" xfId="0" applyFont="1" applyFill="1" applyBorder="1" applyAlignment="1">
      <alignment horizontal="center" wrapText="1"/>
    </xf>
    <xf numFmtId="0" fontId="40" fillId="14" borderId="47" xfId="0" applyFont="1" applyFill="1" applyBorder="1" applyAlignment="1">
      <alignment horizontal="center" wrapText="1"/>
    </xf>
    <xf numFmtId="0" fontId="10" fillId="0" borderId="38" xfId="0" applyFont="1" applyBorder="1" applyAlignment="1">
      <alignment horizontal="center" vertical="center"/>
    </xf>
    <xf numFmtId="0" fontId="10" fillId="0" borderId="5" xfId="0" applyFont="1" applyBorder="1" applyAlignment="1">
      <alignment horizontal="center" vertical="center"/>
    </xf>
    <xf numFmtId="0" fontId="0" fillId="4" borderId="40"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43" xfId="0" applyFill="1" applyBorder="1" applyAlignment="1">
      <alignment horizontal="center" vertical="center" wrapText="1"/>
    </xf>
    <xf numFmtId="0" fontId="0" fillId="4" borderId="0" xfId="0" applyFill="1" applyAlignment="1">
      <alignment horizontal="center" vertical="center" wrapText="1"/>
    </xf>
    <xf numFmtId="0" fontId="0" fillId="4" borderId="44" xfId="0" applyFill="1" applyBorder="1" applyAlignment="1">
      <alignment horizontal="center" vertical="center" wrapText="1"/>
    </xf>
    <xf numFmtId="0" fontId="0" fillId="4" borderId="45"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47" xfId="0" applyFill="1" applyBorder="1" applyAlignment="1">
      <alignment horizontal="center" vertical="center" wrapText="1"/>
    </xf>
    <xf numFmtId="0" fontId="10" fillId="0" borderId="59" xfId="0" applyFont="1" applyBorder="1" applyAlignment="1">
      <alignment horizontal="center"/>
    </xf>
    <xf numFmtId="9" fontId="2" fillId="2" borderId="3" xfId="3" applyFont="1" applyFill="1" applyBorder="1" applyAlignment="1" applyProtection="1">
      <alignment horizontal="center" vertical="center"/>
      <protection locked="0"/>
    </xf>
    <xf numFmtId="9" fontId="2" fillId="2" borderId="4" xfId="3" applyFont="1" applyFill="1" applyBorder="1" applyAlignment="1" applyProtection="1">
      <alignment horizontal="center" vertical="center"/>
      <protection locked="0"/>
    </xf>
    <xf numFmtId="0" fontId="30" fillId="0" borderId="54" xfId="0" applyFont="1" applyBorder="1" applyAlignment="1">
      <alignment horizontal="left" vertical="top" wrapText="1"/>
    </xf>
    <xf numFmtId="0" fontId="30" fillId="0" borderId="55" xfId="0" applyFont="1" applyBorder="1" applyAlignment="1">
      <alignment horizontal="left" vertical="top" wrapText="1"/>
    </xf>
    <xf numFmtId="0" fontId="10" fillId="0" borderId="56" xfId="0" applyFont="1" applyBorder="1" applyAlignment="1">
      <alignment horizontal="center" vertical="center"/>
    </xf>
    <xf numFmtId="0" fontId="10" fillId="0" borderId="60" xfId="0" applyFont="1" applyBorder="1" applyAlignment="1">
      <alignment horizontal="center" vertical="center"/>
    </xf>
    <xf numFmtId="0" fontId="10" fillId="0" borderId="37" xfId="0" applyFont="1" applyBorder="1" applyAlignment="1">
      <alignment horizontal="center" vertical="center"/>
    </xf>
    <xf numFmtId="0" fontId="10" fillId="0" borderId="51" xfId="0" applyFont="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27" fillId="2" borderId="11" xfId="0" applyFont="1" applyFill="1" applyBorder="1" applyAlignment="1">
      <alignment horizontal="center" vertical="center"/>
    </xf>
    <xf numFmtId="0" fontId="27" fillId="2" borderId="12"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7" fillId="0" borderId="28" xfId="0" applyFont="1" applyBorder="1" applyAlignment="1">
      <alignment horizontal="left"/>
    </xf>
    <xf numFmtId="0" fontId="7" fillId="0" borderId="29" xfId="0" applyFont="1" applyBorder="1" applyAlignment="1">
      <alignment horizontal="left"/>
    </xf>
    <xf numFmtId="0" fontId="7" fillId="0" borderId="30" xfId="0" applyFont="1" applyBorder="1" applyAlignment="1">
      <alignment horizontal="left"/>
    </xf>
    <xf numFmtId="0" fontId="7" fillId="0" borderId="10" xfId="0" applyFont="1" applyBorder="1" applyAlignment="1">
      <alignment horizontal="left"/>
    </xf>
    <xf numFmtId="0" fontId="7" fillId="0" borderId="21" xfId="0" applyFont="1" applyBorder="1" applyAlignment="1">
      <alignment horizontal="left"/>
    </xf>
    <xf numFmtId="0" fontId="7" fillId="0" borderId="22" xfId="0" applyFont="1" applyBorder="1" applyAlignment="1">
      <alignment horizontal="left"/>
    </xf>
    <xf numFmtId="0" fontId="7" fillId="0" borderId="23" xfId="0" applyFont="1" applyBorder="1" applyAlignment="1">
      <alignment horizontal="left"/>
    </xf>
    <xf numFmtId="0" fontId="7" fillId="0" borderId="26"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7" fillId="0" borderId="5" xfId="0" applyFont="1" applyBorder="1" applyAlignment="1">
      <alignment horizontal="left"/>
    </xf>
    <xf numFmtId="0" fontId="7" fillId="0" borderId="19" xfId="0" applyFont="1" applyBorder="1" applyAlignment="1">
      <alignment horizontal="left"/>
    </xf>
    <xf numFmtId="0" fontId="7" fillId="0" borderId="18" xfId="0" applyFont="1" applyBorder="1" applyAlignment="1">
      <alignment horizontal="left"/>
    </xf>
    <xf numFmtId="0" fontId="7" fillId="0" borderId="20" xfId="0" applyFont="1" applyBorder="1" applyAlignment="1">
      <alignment horizontal="left"/>
    </xf>
    <xf numFmtId="0" fontId="37" fillId="6" borderId="94" xfId="0" applyFont="1" applyFill="1" applyBorder="1" applyAlignment="1">
      <alignment horizontal="left"/>
    </xf>
    <xf numFmtId="0" fontId="37" fillId="6" borderId="15" xfId="0" applyFont="1" applyFill="1" applyBorder="1" applyAlignment="1">
      <alignment horizontal="left"/>
    </xf>
    <xf numFmtId="0" fontId="37" fillId="6" borderId="16" xfId="0" applyFont="1" applyFill="1" applyBorder="1" applyAlignment="1">
      <alignment horizontal="left"/>
    </xf>
    <xf numFmtId="168" fontId="47" fillId="2" borderId="37" xfId="1" applyNumberFormat="1" applyFont="1" applyFill="1" applyBorder="1" applyAlignment="1" applyProtection="1">
      <alignment horizontal="center" vertical="center"/>
    </xf>
    <xf numFmtId="168" fontId="47" fillId="2" borderId="24" xfId="1" applyNumberFormat="1" applyFont="1" applyFill="1" applyBorder="1" applyAlignment="1" applyProtection="1">
      <alignment horizontal="center" vertical="center"/>
    </xf>
    <xf numFmtId="168" fontId="47" fillId="2" borderId="25" xfId="1" applyNumberFormat="1" applyFont="1" applyFill="1" applyBorder="1" applyAlignment="1" applyProtection="1">
      <alignment horizontal="center" vertical="center"/>
    </xf>
    <xf numFmtId="168" fontId="47" fillId="2" borderId="21" xfId="1" applyNumberFormat="1" applyFont="1" applyFill="1" applyBorder="1" applyAlignment="1" applyProtection="1">
      <alignment horizontal="center" vertical="center"/>
    </xf>
    <xf numFmtId="168" fontId="47" fillId="2" borderId="22" xfId="1" applyNumberFormat="1" applyFont="1" applyFill="1" applyBorder="1" applyAlignment="1" applyProtection="1">
      <alignment horizontal="center" vertical="center"/>
    </xf>
    <xf numFmtId="168" fontId="47" fillId="2" borderId="73" xfId="1" applyNumberFormat="1" applyFont="1" applyFill="1" applyBorder="1" applyAlignment="1" applyProtection="1">
      <alignment horizontal="center" vertical="center"/>
    </xf>
    <xf numFmtId="168" fontId="47" fillId="2" borderId="40" xfId="1" applyNumberFormat="1" applyFont="1" applyFill="1" applyBorder="1" applyAlignment="1" applyProtection="1">
      <alignment horizontal="center" vertical="center"/>
    </xf>
    <xf numFmtId="168" fontId="47" fillId="2" borderId="41" xfId="1" applyNumberFormat="1" applyFont="1" applyFill="1" applyBorder="1" applyAlignment="1" applyProtection="1">
      <alignment horizontal="center" vertical="center"/>
    </xf>
    <xf numFmtId="168" fontId="47" fillId="2" borderId="42" xfId="1" applyNumberFormat="1" applyFont="1" applyFill="1" applyBorder="1" applyAlignment="1" applyProtection="1">
      <alignment horizontal="center" vertical="center"/>
    </xf>
    <xf numFmtId="0" fontId="37" fillId="6" borderId="76" xfId="0" applyFont="1" applyFill="1" applyBorder="1" applyAlignment="1">
      <alignment horizontal="left"/>
    </xf>
    <xf numFmtId="0" fontId="37" fillId="6" borderId="77" xfId="0" applyFont="1" applyFill="1" applyBorder="1" applyAlignment="1">
      <alignment horizontal="left"/>
    </xf>
    <xf numFmtId="0" fontId="37" fillId="6" borderId="78" xfId="0" applyFont="1" applyFill="1" applyBorder="1" applyAlignment="1">
      <alignment horizontal="left"/>
    </xf>
    <xf numFmtId="0" fontId="41" fillId="15" borderId="40" xfId="0" applyFont="1" applyFill="1" applyBorder="1" applyAlignment="1">
      <alignment horizontal="center"/>
    </xf>
    <xf numFmtId="0" fontId="41" fillId="15" borderId="41" xfId="0" applyFont="1" applyFill="1" applyBorder="1" applyAlignment="1">
      <alignment horizontal="center"/>
    </xf>
    <xf numFmtId="0" fontId="41" fillId="15" borderId="42" xfId="0" applyFont="1" applyFill="1" applyBorder="1" applyAlignment="1">
      <alignment horizontal="center"/>
    </xf>
    <xf numFmtId="0" fontId="50" fillId="0" borderId="0" xfId="0" applyFont="1" applyAlignment="1">
      <alignment horizontal="center"/>
    </xf>
    <xf numFmtId="0" fontId="45" fillId="12" borderId="48" xfId="0" applyFont="1" applyFill="1" applyBorder="1" applyAlignment="1">
      <alignment horizontal="center" vertical="center" wrapText="1"/>
    </xf>
    <xf numFmtId="0" fontId="45" fillId="12" borderId="49" xfId="0" applyFont="1" applyFill="1" applyBorder="1" applyAlignment="1">
      <alignment horizontal="center" vertical="center" wrapText="1"/>
    </xf>
    <xf numFmtId="0" fontId="45" fillId="12" borderId="50" xfId="0" applyFont="1" applyFill="1" applyBorder="1" applyAlignment="1">
      <alignment horizontal="center" vertical="center" wrapText="1"/>
    </xf>
    <xf numFmtId="0" fontId="33" fillId="9" borderId="37" xfId="0" applyFont="1" applyFill="1" applyBorder="1" applyAlignment="1">
      <alignment horizontal="center"/>
    </xf>
    <xf numFmtId="0" fontId="33" fillId="9" borderId="24" xfId="0" applyFont="1" applyFill="1" applyBorder="1" applyAlignment="1">
      <alignment horizontal="center"/>
    </xf>
    <xf numFmtId="0" fontId="33" fillId="9" borderId="25" xfId="0" applyFont="1" applyFill="1" applyBorder="1" applyAlignment="1">
      <alignment horizontal="center"/>
    </xf>
    <xf numFmtId="0" fontId="33" fillId="13" borderId="37" xfId="0" applyFont="1" applyFill="1" applyBorder="1" applyAlignment="1">
      <alignment horizontal="center"/>
    </xf>
    <xf numFmtId="0" fontId="33" fillId="13" borderId="24" xfId="0" applyFont="1" applyFill="1" applyBorder="1" applyAlignment="1">
      <alignment horizontal="center"/>
    </xf>
    <xf numFmtId="0" fontId="33" fillId="13" borderId="25" xfId="0" applyFont="1" applyFill="1" applyBorder="1" applyAlignment="1">
      <alignment horizontal="center"/>
    </xf>
    <xf numFmtId="0" fontId="41" fillId="14" borderId="37" xfId="0" applyFont="1" applyFill="1" applyBorder="1" applyAlignment="1">
      <alignment horizontal="center"/>
    </xf>
    <xf numFmtId="0" fontId="41" fillId="14" borderId="24" xfId="0" applyFont="1" applyFill="1" applyBorder="1" applyAlignment="1">
      <alignment horizontal="center"/>
    </xf>
    <xf numFmtId="0" fontId="41" fillId="14" borderId="25" xfId="0" applyFont="1" applyFill="1" applyBorder="1" applyAlignment="1">
      <alignment horizontal="center"/>
    </xf>
    <xf numFmtId="0" fontId="7" fillId="0" borderId="28" xfId="0" applyFont="1" applyBorder="1" applyAlignment="1"/>
    <xf numFmtId="0" fontId="7" fillId="0" borderId="29" xfId="0" applyFont="1" applyBorder="1" applyAlignment="1"/>
    <xf numFmtId="0" fontId="7" fillId="0" borderId="30" xfId="0" applyFont="1" applyBorder="1" applyAlignment="1"/>
  </cellXfs>
  <cellStyles count="6">
    <cellStyle name="Millares" xfId="1" builtinId="3"/>
    <cellStyle name="Millares [0]" xfId="2" builtinId="6"/>
    <cellStyle name="Moneda" xfId="5" builtinId="4"/>
    <cellStyle name="Moneda [0]" xfId="4"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5</xdr:row>
      <xdr:rowOff>0</xdr:rowOff>
    </xdr:from>
    <xdr:to>
      <xdr:col>15</xdr:col>
      <xdr:colOff>0</xdr:colOff>
      <xdr:row>13</xdr:row>
      <xdr:rowOff>131762</xdr:rowOff>
    </xdr:to>
    <xdr:sp macro="" textlink="">
      <xdr:nvSpPr>
        <xdr:cNvPr id="2" name="Subtítulo 2">
          <a:extLst>
            <a:ext uri="{FF2B5EF4-FFF2-40B4-BE49-F238E27FC236}">
              <a16:creationId xmlns:a16="http://schemas.microsoft.com/office/drawing/2014/main" id="{00000000-0008-0000-0000-000002000000}"/>
            </a:ext>
          </a:extLst>
        </xdr:cNvPr>
        <xdr:cNvSpPr>
          <a:spLocks noGrp="1"/>
        </xdr:cNvSpPr>
      </xdr:nvSpPr>
      <xdr:spPr>
        <a:xfrm>
          <a:off x="2286000" y="952500"/>
          <a:ext cx="9144000" cy="1655762"/>
        </a:xfrm>
        <a:prstGeom prst="rect">
          <a:avLst/>
        </a:prstGeom>
      </xdr:spPr>
      <xdr:txBody>
        <a:bodyPr vert="horz" wrap="square" lIns="91440" tIns="45720" rIns="91440" bIns="45720" rtlCol="0">
          <a:normAutofit/>
        </a:bodyPr>
        <a:lstStyle>
          <a:lvl1pPr marL="0" indent="0" algn="ctr" defTabSz="914400" rtl="0" eaLnBrk="1" latinLnBrk="0" hangingPunct="1">
            <a:lnSpc>
              <a:spcPct val="90000"/>
            </a:lnSpc>
            <a:spcBef>
              <a:spcPts val="1000"/>
            </a:spcBef>
            <a:buFont typeface="Arial" panose="020B0604020202020204" pitchFamily="34" charset="0"/>
            <a:buNone/>
            <a:defRPr sz="2400" kern="1200">
              <a:solidFill>
                <a:schemeClr val="tx1"/>
              </a:solidFill>
              <a:latin typeface="+mn-lt"/>
              <a:ea typeface="+mn-ea"/>
              <a:cs typeface="+mn-cs"/>
            </a:defRPr>
          </a:lvl1pPr>
          <a:lvl2pPr marL="457200" indent="0" algn="ctr" defTabSz="914400" rtl="0" eaLnBrk="1" latinLnBrk="0" hangingPunct="1">
            <a:lnSpc>
              <a:spcPct val="90000"/>
            </a:lnSpc>
            <a:spcBef>
              <a:spcPts val="500"/>
            </a:spcBef>
            <a:buFont typeface="Arial" panose="020B0604020202020204" pitchFamily="34" charset="0"/>
            <a:buNone/>
            <a:defRPr sz="2000" kern="1200">
              <a:solidFill>
                <a:schemeClr val="tx1"/>
              </a:solidFill>
              <a:latin typeface="+mn-lt"/>
              <a:ea typeface="+mn-ea"/>
              <a:cs typeface="+mn-cs"/>
            </a:defRPr>
          </a:lvl2pPr>
          <a:lvl3pPr marL="914400" indent="0" algn="ctr" defTabSz="914400" rtl="0" eaLnBrk="1" latinLnBrk="0" hangingPunct="1">
            <a:lnSpc>
              <a:spcPct val="90000"/>
            </a:lnSpc>
            <a:spcBef>
              <a:spcPts val="500"/>
            </a:spcBef>
            <a:buFont typeface="Arial" panose="020B0604020202020204" pitchFamily="34" charset="0"/>
            <a:buNone/>
            <a:defRPr sz="1800" kern="1200">
              <a:solidFill>
                <a:schemeClr val="tx1"/>
              </a:solidFill>
              <a:latin typeface="+mn-lt"/>
              <a:ea typeface="+mn-ea"/>
              <a:cs typeface="+mn-cs"/>
            </a:defRPr>
          </a:lvl3pPr>
          <a:lvl4pPr marL="1371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4pPr>
          <a:lvl5pPr marL="18288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5pPr>
          <a:lvl6pPr marL="22860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6pPr>
          <a:lvl7pPr marL="27432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7pPr>
          <a:lvl8pPr marL="32004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8pPr>
          <a:lvl9pPr marL="3657600" indent="0" algn="ctr" defTabSz="914400" rtl="0" eaLnBrk="1" latinLnBrk="0" hangingPunct="1">
            <a:lnSpc>
              <a:spcPct val="90000"/>
            </a:lnSpc>
            <a:spcBef>
              <a:spcPts val="500"/>
            </a:spcBef>
            <a:buFont typeface="Arial" panose="020B0604020202020204" pitchFamily="34" charset="0"/>
            <a:buNone/>
            <a:defRPr sz="1600" kern="1200">
              <a:solidFill>
                <a:schemeClr val="tx1"/>
              </a:solidFill>
              <a:latin typeface="+mn-lt"/>
              <a:ea typeface="+mn-ea"/>
              <a:cs typeface="+mn-cs"/>
            </a:defRPr>
          </a:lvl9pPr>
        </a:lstStyle>
        <a:p>
          <a:pPr algn="r"/>
          <a:endParaRPr 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722226</xdr:colOff>
      <xdr:row>72</xdr:row>
      <xdr:rowOff>167472</xdr:rowOff>
    </xdr:from>
    <xdr:ext cx="184731" cy="264560"/>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0707775" y="144131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722226</xdr:colOff>
      <xdr:row>72</xdr:row>
      <xdr:rowOff>167472</xdr:rowOff>
    </xdr:from>
    <xdr:ext cx="184731" cy="264560"/>
    <xdr:sp macro="" textlink="">
      <xdr:nvSpPr>
        <xdr:cNvPr id="2" name="CuadroTexto 1">
          <a:extLst>
            <a:ext uri="{FF2B5EF4-FFF2-40B4-BE49-F238E27FC236}">
              <a16:creationId xmlns:a16="http://schemas.microsoft.com/office/drawing/2014/main" id="{00000000-0008-0000-0B00-000002000000}"/>
            </a:ext>
          </a:extLst>
        </xdr:cNvPr>
        <xdr:cNvSpPr txBox="1"/>
      </xdr:nvSpPr>
      <xdr:spPr>
        <a:xfrm>
          <a:off x="11256876" y="1529317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722226</xdr:colOff>
      <xdr:row>72</xdr:row>
      <xdr:rowOff>167472</xdr:rowOff>
    </xdr:from>
    <xdr:ext cx="184731" cy="264560"/>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11485476" y="1586467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F14"/>
  <sheetViews>
    <sheetView tabSelected="1" topLeftCell="B1" zoomScale="95" zoomScaleNormal="95" workbookViewId="0">
      <selection activeCell="C12" sqref="C12"/>
    </sheetView>
  </sheetViews>
  <sheetFormatPr defaultColWidth="11.42578125" defaultRowHeight="15"/>
  <cols>
    <col min="3" max="3" width="145.140625" customWidth="1"/>
  </cols>
  <sheetData>
    <row r="1" spans="1:6">
      <c r="F1" s="502"/>
    </row>
    <row r="2" spans="1:6" ht="15.75" thickBot="1">
      <c r="F2" s="503"/>
    </row>
    <row r="3" spans="1:6" ht="51.75" thickBot="1">
      <c r="C3" s="215" t="s">
        <v>0</v>
      </c>
      <c r="F3" s="503"/>
    </row>
    <row r="4" spans="1:6" ht="15.75" thickBot="1">
      <c r="C4" s="141"/>
      <c r="F4" s="503"/>
    </row>
    <row r="5" spans="1:6" ht="140.25" customHeight="1" thickBot="1">
      <c r="C5" s="140" t="s">
        <v>1</v>
      </c>
      <c r="F5" s="503"/>
    </row>
    <row r="6" spans="1:6" ht="41.25" customHeight="1" thickBot="1">
      <c r="C6" s="142" t="s">
        <v>2</v>
      </c>
      <c r="D6" s="30"/>
      <c r="F6" s="503"/>
    </row>
    <row r="7" spans="1:6" ht="149.25" customHeight="1" thickBot="1">
      <c r="C7" s="143" t="s">
        <v>3</v>
      </c>
      <c r="F7" s="503"/>
    </row>
    <row r="8" spans="1:6" ht="151.5" customHeight="1" thickBot="1">
      <c r="C8" s="143" t="s">
        <v>4</v>
      </c>
      <c r="F8" s="503"/>
    </row>
    <row r="9" spans="1:6" ht="142.5" customHeight="1" thickBot="1">
      <c r="C9" s="143" t="s">
        <v>5</v>
      </c>
      <c r="F9" s="503"/>
    </row>
    <row r="10" spans="1:6" ht="62.25" customHeight="1" thickBot="1">
      <c r="C10" s="144" t="s">
        <v>6</v>
      </c>
      <c r="F10" s="503"/>
    </row>
    <row r="11" spans="1:6" ht="15.75" thickBot="1">
      <c r="F11" s="503"/>
    </row>
    <row r="12" spans="1:6" ht="141.75" customHeight="1" thickBot="1">
      <c r="C12" s="143" t="s">
        <v>7</v>
      </c>
      <c r="F12" s="504"/>
    </row>
    <row r="13" spans="1:6" ht="15.75" thickBot="1">
      <c r="A13" s="499"/>
      <c r="B13" s="500"/>
      <c r="C13" s="500"/>
      <c r="D13" s="500"/>
      <c r="E13" s="500"/>
      <c r="F13" s="501"/>
    </row>
    <row r="14" spans="1:6">
      <c r="C14" s="225"/>
    </row>
  </sheetData>
  <sheetProtection password="E869" sheet="1" objects="1" scenarios="1"/>
  <mergeCells count="2">
    <mergeCell ref="A13:F13"/>
    <mergeCell ref="F1:F1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W31"/>
  <sheetViews>
    <sheetView topLeftCell="A19" zoomScale="78" zoomScaleNormal="78" workbookViewId="0">
      <selection activeCell="H5" sqref="H5"/>
    </sheetView>
  </sheetViews>
  <sheetFormatPr defaultColWidth="11.42578125" defaultRowHeight="15"/>
  <cols>
    <col min="2" max="2" width="17.28515625" customWidth="1"/>
    <col min="3" max="3" width="14" customWidth="1"/>
    <col min="4" max="5" width="12.5703125" bestFit="1" customWidth="1"/>
    <col min="6" max="6" width="13.42578125" customWidth="1"/>
    <col min="7" max="7" width="13.140625" customWidth="1"/>
    <col min="8" max="8" width="13.85546875" customWidth="1"/>
    <col min="9" max="9" width="14.28515625" customWidth="1"/>
    <col min="10" max="11" width="13.42578125" customWidth="1"/>
    <col min="12" max="12" width="13.28515625" customWidth="1"/>
  </cols>
  <sheetData>
    <row r="1" spans="2:23" ht="15.75" thickBot="1">
      <c r="W1" s="502"/>
    </row>
    <row r="2" spans="2:23" ht="19.5" thickBot="1">
      <c r="B2" s="722" t="s">
        <v>267</v>
      </c>
      <c r="C2" s="723"/>
      <c r="D2" s="723"/>
      <c r="E2" s="723"/>
      <c r="F2" s="723"/>
      <c r="G2" s="723"/>
      <c r="H2" s="723"/>
      <c r="I2" s="723"/>
      <c r="J2" s="723"/>
      <c r="K2" s="723"/>
      <c r="L2" s="724"/>
      <c r="W2" s="503"/>
    </row>
    <row r="3" spans="2:23" ht="19.5" thickBot="1">
      <c r="C3" s="31"/>
      <c r="D3" s="31"/>
      <c r="E3" s="31"/>
      <c r="F3" s="31"/>
      <c r="G3" s="31"/>
      <c r="W3" s="503"/>
    </row>
    <row r="4" spans="2:23" ht="22.5" customHeight="1" thickBot="1">
      <c r="B4" s="722" t="s">
        <v>268</v>
      </c>
      <c r="C4" s="723"/>
      <c r="D4" s="723"/>
      <c r="E4" s="723"/>
      <c r="F4" s="723"/>
      <c r="G4" s="724"/>
      <c r="H4" s="190">
        <v>0</v>
      </c>
      <c r="I4" s="40" t="s">
        <v>10</v>
      </c>
      <c r="J4" s="799" t="s">
        <v>269</v>
      </c>
      <c r="K4" s="800"/>
      <c r="L4" s="801"/>
      <c r="O4" s="759" t="s">
        <v>72</v>
      </c>
      <c r="P4" s="760"/>
      <c r="Q4" s="760"/>
      <c r="R4" s="761"/>
      <c r="W4" s="503"/>
    </row>
    <row r="5" spans="2:23" ht="27.75" thickBot="1">
      <c r="B5" s="756" t="s">
        <v>248</v>
      </c>
      <c r="C5" s="757"/>
      <c r="D5" s="757"/>
      <c r="E5" s="757"/>
      <c r="F5" s="757"/>
      <c r="G5" s="758"/>
      <c r="H5" s="190">
        <v>0</v>
      </c>
      <c r="I5" s="40" t="s">
        <v>10</v>
      </c>
      <c r="J5" s="802"/>
      <c r="K5" s="803"/>
      <c r="L5" s="804"/>
      <c r="O5" s="41" t="s">
        <v>27</v>
      </c>
      <c r="W5" s="503"/>
    </row>
    <row r="6" spans="2:23" ht="23.25" customHeight="1" thickBot="1">
      <c r="O6" s="762" t="s">
        <v>270</v>
      </c>
      <c r="P6" s="763"/>
      <c r="Q6" s="763"/>
      <c r="R6" s="763"/>
      <c r="S6" s="763"/>
      <c r="T6" s="763"/>
      <c r="U6" s="764"/>
      <c r="W6" s="503"/>
    </row>
    <row r="7" spans="2:23" ht="24" customHeight="1" thickBot="1">
      <c r="B7" s="280" t="s">
        <v>44</v>
      </c>
      <c r="C7" s="281" t="s">
        <v>198</v>
      </c>
      <c r="D7" s="281" t="s">
        <v>199</v>
      </c>
      <c r="E7" s="281" t="s">
        <v>200</v>
      </c>
      <c r="F7" s="281" t="s">
        <v>201</v>
      </c>
      <c r="G7" s="281" t="s">
        <v>202</v>
      </c>
      <c r="H7" s="281" t="s">
        <v>203</v>
      </c>
      <c r="I7" s="281" t="s">
        <v>158</v>
      </c>
      <c r="J7" s="281" t="s">
        <v>159</v>
      </c>
      <c r="K7" s="281" t="s">
        <v>160</v>
      </c>
      <c r="L7" s="370" t="s">
        <v>161</v>
      </c>
      <c r="O7" s="765"/>
      <c r="P7" s="766"/>
      <c r="Q7" s="766"/>
      <c r="R7" s="766"/>
      <c r="S7" s="766"/>
      <c r="T7" s="766"/>
      <c r="U7" s="767"/>
      <c r="W7" s="503"/>
    </row>
    <row r="8" spans="2:23" ht="19.5" customHeight="1">
      <c r="B8" s="192" t="s">
        <v>250</v>
      </c>
      <c r="C8" s="99">
        <f>'Inversiones Ceba'!D15</f>
        <v>0</v>
      </c>
      <c r="D8" s="99">
        <f>'Inversiones Ceba'!D15</f>
        <v>0</v>
      </c>
      <c r="E8" s="99">
        <f>'Inversiones Ceba'!D15</f>
        <v>0</v>
      </c>
      <c r="F8" s="99">
        <f>'Inversiones Ceba'!D15</f>
        <v>0</v>
      </c>
      <c r="G8" s="99">
        <f>'Inversiones Ceba'!D15</f>
        <v>0</v>
      </c>
      <c r="H8" s="99">
        <f>'Inversiones Ceba'!D15</f>
        <v>0</v>
      </c>
      <c r="I8" s="99">
        <f>'Inversiones Ceba'!D15</f>
        <v>0</v>
      </c>
      <c r="J8" s="99">
        <f>'Inversiones Ceba'!D15</f>
        <v>0</v>
      </c>
      <c r="K8" s="99">
        <f>'Inversiones Ceba'!D15</f>
        <v>0</v>
      </c>
      <c r="L8" s="100">
        <f>'Inversiones Ceba'!D15</f>
        <v>0</v>
      </c>
      <c r="O8" s="765"/>
      <c r="P8" s="766"/>
      <c r="Q8" s="766"/>
      <c r="R8" s="766"/>
      <c r="S8" s="766"/>
      <c r="T8" s="766"/>
      <c r="U8" s="767"/>
      <c r="W8" s="503"/>
    </row>
    <row r="9" spans="2:23" ht="24" customHeight="1">
      <c r="B9" s="193" t="s">
        <v>251</v>
      </c>
      <c r="C9" s="6">
        <f>'Inversiones Ceba'!G5</f>
        <v>0</v>
      </c>
      <c r="D9" s="6">
        <f>C9*(1+'Costos año Ceba'!F46)</f>
        <v>0</v>
      </c>
      <c r="E9" s="6">
        <f>D9*(1+'Costos año Ceba'!G46)</f>
        <v>0</v>
      </c>
      <c r="F9" s="6">
        <f>E9*(1+'Costos año Ceba'!H46)</f>
        <v>0</v>
      </c>
      <c r="G9" s="6">
        <f>F9*(1+'Costos año Ceba'!I46)</f>
        <v>0</v>
      </c>
      <c r="H9" s="6">
        <f>G9*(1+'Costos año Ceba'!J46)</f>
        <v>0</v>
      </c>
      <c r="I9" s="6">
        <f>H9*(1+'Costos año Ceba'!K46)</f>
        <v>0</v>
      </c>
      <c r="J9" s="6">
        <f>I9*(1+'Costos año Ceba'!L46)</f>
        <v>0</v>
      </c>
      <c r="K9" s="6">
        <f>J9*(1+'Costos año Ceba'!M46)</f>
        <v>0</v>
      </c>
      <c r="L9" s="101">
        <f>K9*(1+'Costos año Ceba'!N46)</f>
        <v>0</v>
      </c>
      <c r="O9" s="765"/>
      <c r="P9" s="766"/>
      <c r="Q9" s="766"/>
      <c r="R9" s="766"/>
      <c r="S9" s="766"/>
      <c r="T9" s="766"/>
      <c r="U9" s="767"/>
      <c r="W9" s="503"/>
    </row>
    <row r="10" spans="2:23" ht="43.5">
      <c r="B10" s="196" t="s">
        <v>271</v>
      </c>
      <c r="C10" s="6">
        <f>C9*H5</f>
        <v>0</v>
      </c>
      <c r="D10" s="6">
        <f>D9*H5</f>
        <v>0</v>
      </c>
      <c r="E10" s="6">
        <f t="shared" ref="E10:L10" si="0">D10*1.1</f>
        <v>0</v>
      </c>
      <c r="F10" s="6">
        <f t="shared" si="0"/>
        <v>0</v>
      </c>
      <c r="G10" s="6">
        <f t="shared" si="0"/>
        <v>0</v>
      </c>
      <c r="H10" s="6">
        <f t="shared" si="0"/>
        <v>0</v>
      </c>
      <c r="I10" s="6">
        <f t="shared" si="0"/>
        <v>0</v>
      </c>
      <c r="J10" s="6">
        <f t="shared" si="0"/>
        <v>0</v>
      </c>
      <c r="K10" s="6">
        <f t="shared" si="0"/>
        <v>0</v>
      </c>
      <c r="L10" s="101">
        <f t="shared" si="0"/>
        <v>0</v>
      </c>
      <c r="O10" s="765"/>
      <c r="P10" s="766"/>
      <c r="Q10" s="766"/>
      <c r="R10" s="766"/>
      <c r="S10" s="766"/>
      <c r="T10" s="766"/>
      <c r="U10" s="767"/>
      <c r="W10" s="503"/>
    </row>
    <row r="11" spans="2:23" ht="15.75" thickBot="1">
      <c r="B11" s="194" t="s">
        <v>67</v>
      </c>
      <c r="C11" s="102"/>
      <c r="D11" s="26"/>
      <c r="E11" s="26"/>
      <c r="F11" s="26"/>
      <c r="G11" s="26"/>
      <c r="H11" s="26"/>
      <c r="I11" s="26"/>
      <c r="J11" s="26"/>
      <c r="K11" s="26"/>
      <c r="L11" s="130"/>
      <c r="O11" s="768"/>
      <c r="P11" s="769"/>
      <c r="Q11" s="769"/>
      <c r="R11" s="769"/>
      <c r="S11" s="769"/>
      <c r="T11" s="769"/>
      <c r="U11" s="770"/>
      <c r="W11" s="503"/>
    </row>
    <row r="12" spans="2:23" ht="15.75" thickBot="1">
      <c r="B12" s="278" t="s">
        <v>210</v>
      </c>
      <c r="C12" s="371">
        <f>C8*C10+C11</f>
        <v>0</v>
      </c>
      <c r="D12" s="371">
        <f t="shared" ref="D12:L12" si="1">D10*D8+D11</f>
        <v>0</v>
      </c>
      <c r="E12" s="371">
        <f t="shared" si="1"/>
        <v>0</v>
      </c>
      <c r="F12" s="371">
        <f t="shared" si="1"/>
        <v>0</v>
      </c>
      <c r="G12" s="371">
        <f t="shared" si="1"/>
        <v>0</v>
      </c>
      <c r="H12" s="371">
        <f t="shared" si="1"/>
        <v>0</v>
      </c>
      <c r="I12" s="371">
        <f t="shared" si="1"/>
        <v>0</v>
      </c>
      <c r="J12" s="371">
        <f t="shared" si="1"/>
        <v>0</v>
      </c>
      <c r="K12" s="371">
        <f t="shared" si="1"/>
        <v>0</v>
      </c>
      <c r="L12" s="372">
        <f t="shared" si="1"/>
        <v>0</v>
      </c>
      <c r="W12" s="503"/>
    </row>
    <row r="13" spans="2:23" ht="15.75" thickBot="1">
      <c r="W13" s="503"/>
    </row>
    <row r="14" spans="2:23">
      <c r="B14" s="109" t="s">
        <v>211</v>
      </c>
      <c r="C14" s="110">
        <f>'Costos año Ceba'!F58</f>
        <v>0</v>
      </c>
      <c r="D14" s="110">
        <f>'Costos año Ceba'!G58</f>
        <v>0</v>
      </c>
      <c r="E14" s="110">
        <f>'Costos año Ceba'!H58</f>
        <v>0</v>
      </c>
      <c r="F14" s="110">
        <f>'Costos año Ceba'!I58</f>
        <v>0</v>
      </c>
      <c r="G14" s="110">
        <f>'Costos año Ceba'!J58</f>
        <v>0</v>
      </c>
      <c r="H14" s="110">
        <f>'Costos año Ceba'!K58</f>
        <v>0</v>
      </c>
      <c r="I14" s="110">
        <f>'Costos año Ceba'!L58</f>
        <v>0</v>
      </c>
      <c r="J14" s="110">
        <f>'Costos año Ceba'!M58</f>
        <v>0</v>
      </c>
      <c r="K14" s="110">
        <f>'Costos año Ceba'!N58</f>
        <v>0</v>
      </c>
      <c r="L14" s="111">
        <f>'Costos año Ceba'!O58</f>
        <v>0</v>
      </c>
      <c r="W14" s="503"/>
    </row>
    <row r="15" spans="2:23">
      <c r="B15" s="417" t="s">
        <v>212</v>
      </c>
      <c r="C15" s="374">
        <f t="shared" ref="C15:L15" si="2">C12-C14</f>
        <v>0</v>
      </c>
      <c r="D15" s="374">
        <f t="shared" si="2"/>
        <v>0</v>
      </c>
      <c r="E15" s="374">
        <f t="shared" si="2"/>
        <v>0</v>
      </c>
      <c r="F15" s="374">
        <f t="shared" si="2"/>
        <v>0</v>
      </c>
      <c r="G15" s="374">
        <f t="shared" si="2"/>
        <v>0</v>
      </c>
      <c r="H15" s="374">
        <f t="shared" si="2"/>
        <v>0</v>
      </c>
      <c r="I15" s="374">
        <f t="shared" si="2"/>
        <v>0</v>
      </c>
      <c r="J15" s="374">
        <f t="shared" si="2"/>
        <v>0</v>
      </c>
      <c r="K15" s="374">
        <f t="shared" si="2"/>
        <v>0</v>
      </c>
      <c r="L15" s="375">
        <f t="shared" si="2"/>
        <v>0</v>
      </c>
      <c r="W15" s="503"/>
    </row>
    <row r="16" spans="2:23" ht="15.75" thickBot="1">
      <c r="B16" s="114" t="s">
        <v>213</v>
      </c>
      <c r="C16" s="121">
        <f t="shared" ref="C16:L16" si="3">C15/12</f>
        <v>0</v>
      </c>
      <c r="D16" s="121">
        <f t="shared" si="3"/>
        <v>0</v>
      </c>
      <c r="E16" s="121">
        <f t="shared" si="3"/>
        <v>0</v>
      </c>
      <c r="F16" s="121">
        <f t="shared" si="3"/>
        <v>0</v>
      </c>
      <c r="G16" s="121">
        <f t="shared" si="3"/>
        <v>0</v>
      </c>
      <c r="H16" s="121">
        <f t="shared" si="3"/>
        <v>0</v>
      </c>
      <c r="I16" s="121">
        <f t="shared" si="3"/>
        <v>0</v>
      </c>
      <c r="J16" s="121">
        <f t="shared" si="3"/>
        <v>0</v>
      </c>
      <c r="K16" s="121">
        <f t="shared" si="3"/>
        <v>0</v>
      </c>
      <c r="L16" s="131">
        <f t="shared" si="3"/>
        <v>0</v>
      </c>
      <c r="W16" s="503"/>
    </row>
    <row r="17" spans="1:23">
      <c r="W17" s="503"/>
    </row>
    <row r="18" spans="1:23">
      <c r="B18" s="60" t="s">
        <v>185</v>
      </c>
      <c r="C18" s="8">
        <v>1</v>
      </c>
      <c r="D18" s="8">
        <v>2</v>
      </c>
      <c r="E18" s="8">
        <v>3</v>
      </c>
      <c r="F18" s="8">
        <v>4</v>
      </c>
      <c r="G18" s="8">
        <v>5</v>
      </c>
      <c r="H18" s="8">
        <v>6</v>
      </c>
      <c r="I18" s="8">
        <v>7</v>
      </c>
      <c r="J18" s="8">
        <v>8</v>
      </c>
      <c r="K18" s="8">
        <v>9</v>
      </c>
      <c r="L18" s="8">
        <v>10</v>
      </c>
      <c r="W18" s="503"/>
    </row>
    <row r="19" spans="1:23" ht="30">
      <c r="B19" s="61" t="s">
        <v>186</v>
      </c>
      <c r="C19" s="57">
        <f>$H$5</f>
        <v>0</v>
      </c>
      <c r="D19" s="57">
        <f t="shared" ref="D19:L19" si="4">$H$5</f>
        <v>0</v>
      </c>
      <c r="E19" s="57">
        <f t="shared" si="4"/>
        <v>0</v>
      </c>
      <c r="F19" s="57">
        <f t="shared" si="4"/>
        <v>0</v>
      </c>
      <c r="G19" s="57">
        <f t="shared" si="4"/>
        <v>0</v>
      </c>
      <c r="H19" s="57">
        <f t="shared" si="4"/>
        <v>0</v>
      </c>
      <c r="I19" s="57">
        <f t="shared" si="4"/>
        <v>0</v>
      </c>
      <c r="J19" s="57">
        <f t="shared" si="4"/>
        <v>0</v>
      </c>
      <c r="K19" s="57">
        <f t="shared" si="4"/>
        <v>0</v>
      </c>
      <c r="L19" s="57">
        <f t="shared" si="4"/>
        <v>0</v>
      </c>
      <c r="W19" s="503"/>
    </row>
    <row r="20" spans="1:23" ht="30">
      <c r="B20" s="62" t="s">
        <v>253</v>
      </c>
      <c r="C20" s="8">
        <f t="shared" ref="C20:L20" si="5">+C8*C19</f>
        <v>0</v>
      </c>
      <c r="D20" s="8">
        <f t="shared" si="5"/>
        <v>0</v>
      </c>
      <c r="E20" s="8">
        <f t="shared" si="5"/>
        <v>0</v>
      </c>
      <c r="F20" s="8">
        <f t="shared" si="5"/>
        <v>0</v>
      </c>
      <c r="G20" s="8">
        <f t="shared" si="5"/>
        <v>0</v>
      </c>
      <c r="H20" s="8">
        <f t="shared" si="5"/>
        <v>0</v>
      </c>
      <c r="I20" s="8">
        <f t="shared" si="5"/>
        <v>0</v>
      </c>
      <c r="J20" s="8">
        <f t="shared" si="5"/>
        <v>0</v>
      </c>
      <c r="K20" s="8">
        <f t="shared" si="5"/>
        <v>0</v>
      </c>
      <c r="L20" s="8">
        <f t="shared" si="5"/>
        <v>0</v>
      </c>
      <c r="W20" s="503"/>
    </row>
    <row r="21" spans="1:23" ht="30">
      <c r="B21" s="62" t="s">
        <v>254</v>
      </c>
      <c r="C21" s="8">
        <f>+'Inversiones Ceba'!$K$6*'Inversiones Ceba'!$K$7</f>
        <v>0</v>
      </c>
      <c r="D21" s="8">
        <f>+'Inversiones Ceba'!$K$6*'Inversiones Ceba'!$K$7</f>
        <v>0</v>
      </c>
      <c r="E21" s="8">
        <f>+'Inversiones Ceba'!$K$6*'Inversiones Ceba'!$K$7</f>
        <v>0</v>
      </c>
      <c r="F21" s="8">
        <f>+'Inversiones Ceba'!$K$6*'Inversiones Ceba'!$K$7</f>
        <v>0</v>
      </c>
      <c r="G21" s="8">
        <f>+'Inversiones Ceba'!$K$6*'Inversiones Ceba'!$K$7</f>
        <v>0</v>
      </c>
      <c r="H21" s="8">
        <f>+'Inversiones Ceba'!$K$6*'Inversiones Ceba'!$K$7</f>
        <v>0</v>
      </c>
      <c r="I21" s="8">
        <f>+'Inversiones Ceba'!$K$6*'Inversiones Ceba'!$K$7</f>
        <v>0</v>
      </c>
      <c r="J21" s="8">
        <f>+'Inversiones Ceba'!$K$6*'Inversiones Ceba'!$K$7</f>
        <v>0</v>
      </c>
      <c r="K21" s="8">
        <f>+'Inversiones Ceba'!$K$6*'Inversiones Ceba'!$K$7</f>
        <v>0</v>
      </c>
      <c r="L21" s="8">
        <f>+'Inversiones Ceba'!$K$6*'Inversiones Ceba'!$K$7</f>
        <v>0</v>
      </c>
      <c r="W21" s="503"/>
    </row>
    <row r="22" spans="1:23" ht="30">
      <c r="B22" s="62" t="s">
        <v>255</v>
      </c>
      <c r="C22" s="8">
        <f>+C20-C21</f>
        <v>0</v>
      </c>
      <c r="D22" s="8">
        <f t="shared" ref="D22:L22" si="6">+D20-D21</f>
        <v>0</v>
      </c>
      <c r="E22" s="8">
        <f t="shared" si="6"/>
        <v>0</v>
      </c>
      <c r="F22" s="8">
        <f t="shared" si="6"/>
        <v>0</v>
      </c>
      <c r="G22" s="8">
        <f t="shared" si="6"/>
        <v>0</v>
      </c>
      <c r="H22" s="8">
        <f t="shared" si="6"/>
        <v>0</v>
      </c>
      <c r="I22" s="8">
        <f t="shared" si="6"/>
        <v>0</v>
      </c>
      <c r="J22" s="8">
        <f t="shared" si="6"/>
        <v>0</v>
      </c>
      <c r="K22" s="8">
        <f t="shared" si="6"/>
        <v>0</v>
      </c>
      <c r="L22" s="8">
        <f t="shared" si="6"/>
        <v>0</v>
      </c>
      <c r="W22" s="503"/>
    </row>
    <row r="23" spans="1:23">
      <c r="B23" s="63" t="s">
        <v>189</v>
      </c>
      <c r="C23" s="52" t="e">
        <f>(C20-C21)/'Inversiones Ceba'!$G$4</f>
        <v>#DIV/0!</v>
      </c>
      <c r="D23" s="52" t="e">
        <f>(D20-D21)/'Inversiones Ceba'!$G$4</f>
        <v>#DIV/0!</v>
      </c>
      <c r="E23" s="52" t="e">
        <f>(E20-E21)/'Inversiones Ceba'!$G$4</f>
        <v>#DIV/0!</v>
      </c>
      <c r="F23" s="52" t="e">
        <f>(F20-F21)/'Inversiones Ceba'!$G$4</f>
        <v>#DIV/0!</v>
      </c>
      <c r="G23" s="52" t="e">
        <f>(G20-G21)/'Inversiones Ceba'!$G$4</f>
        <v>#DIV/0!</v>
      </c>
      <c r="H23" s="52" t="e">
        <f>(H20-H21)/'Inversiones Ceba'!$G$4</f>
        <v>#DIV/0!</v>
      </c>
      <c r="I23" s="52" t="e">
        <f>(I20-I21)/'Inversiones Ceba'!$G$4</f>
        <v>#DIV/0!</v>
      </c>
      <c r="J23" s="52" t="e">
        <f>(J20-J21)/'Inversiones Ceba'!$G$4</f>
        <v>#DIV/0!</v>
      </c>
      <c r="K23" s="52" t="e">
        <f>(G20-G21)/'Inversiones Ceba'!$G$4</f>
        <v>#DIV/0!</v>
      </c>
      <c r="L23" s="52" t="e">
        <f>(L20-L21)/'Inversiones Ceba'!$G$4</f>
        <v>#DIV/0!</v>
      </c>
      <c r="W23" s="503"/>
    </row>
    <row r="24" spans="1:23" ht="30.75" thickBot="1">
      <c r="B24" s="62" t="s">
        <v>190</v>
      </c>
      <c r="C24" s="53" t="e">
        <f>'Costos año Ceba'!F58/C20</f>
        <v>#DIV/0!</v>
      </c>
      <c r="D24" s="53" t="e">
        <f>'Costos año Ceba'!G58/D20</f>
        <v>#DIV/0!</v>
      </c>
      <c r="E24" s="53" t="e">
        <f>'Costos año Ceba'!H58/E20</f>
        <v>#DIV/0!</v>
      </c>
      <c r="F24" s="53" t="e">
        <f>'Costos año Ceba'!I58/F20</f>
        <v>#DIV/0!</v>
      </c>
      <c r="G24" s="53" t="e">
        <f>'Costos año Ceba'!J58/G20</f>
        <v>#DIV/0!</v>
      </c>
      <c r="H24" s="53" t="e">
        <f>'Costos año Ceba'!K58/H20</f>
        <v>#DIV/0!</v>
      </c>
      <c r="I24" s="53" t="e">
        <f>'Costos año Ceba'!L58/I20</f>
        <v>#DIV/0!</v>
      </c>
      <c r="J24" s="53" t="e">
        <f>'Costos año Ceba'!M58/J20</f>
        <v>#DIV/0!</v>
      </c>
      <c r="K24" s="53" t="e">
        <f>'Costos año Ceba'!N58/K20</f>
        <v>#DIV/0!</v>
      </c>
      <c r="L24" s="53" t="e">
        <f>'Costos año Ceba'!O58/L20</f>
        <v>#DIV/0!</v>
      </c>
      <c r="W24" s="503"/>
    </row>
    <row r="25" spans="1:23" ht="22.5">
      <c r="B25" s="61" t="s">
        <v>192</v>
      </c>
      <c r="C25" s="275">
        <v>4800</v>
      </c>
      <c r="D25" s="275">
        <v>4800</v>
      </c>
      <c r="E25" s="275">
        <v>4800</v>
      </c>
      <c r="F25" s="275">
        <v>4800</v>
      </c>
      <c r="G25" s="275">
        <v>4800</v>
      </c>
      <c r="H25" s="275">
        <v>4800</v>
      </c>
      <c r="I25" s="275">
        <v>4800</v>
      </c>
      <c r="J25" s="275">
        <v>4800</v>
      </c>
      <c r="K25" s="275">
        <v>4800</v>
      </c>
      <c r="L25" s="275">
        <v>4800</v>
      </c>
      <c r="M25" s="40" t="s">
        <v>10</v>
      </c>
      <c r="N25" s="679" t="s">
        <v>193</v>
      </c>
      <c r="O25" s="680"/>
      <c r="P25" s="681"/>
      <c r="W25" s="503"/>
    </row>
    <row r="26" spans="1:23" ht="45">
      <c r="B26" s="62" t="s">
        <v>194</v>
      </c>
      <c r="C26" s="46" t="e">
        <f t="shared" ref="C26:L26" si="7">+C24/C25</f>
        <v>#DIV/0!</v>
      </c>
      <c r="D26" s="46" t="e">
        <f t="shared" si="7"/>
        <v>#DIV/0!</v>
      </c>
      <c r="E26" s="46" t="e">
        <f t="shared" si="7"/>
        <v>#DIV/0!</v>
      </c>
      <c r="F26" s="46" t="e">
        <f t="shared" si="7"/>
        <v>#DIV/0!</v>
      </c>
      <c r="G26" s="46" t="e">
        <f t="shared" si="7"/>
        <v>#DIV/0!</v>
      </c>
      <c r="H26" s="46" t="e">
        <f t="shared" si="7"/>
        <v>#DIV/0!</v>
      </c>
      <c r="I26" s="46" t="e">
        <f t="shared" si="7"/>
        <v>#DIV/0!</v>
      </c>
      <c r="J26" s="46" t="e">
        <f t="shared" si="7"/>
        <v>#DIV/0!</v>
      </c>
      <c r="K26" s="46" t="e">
        <f t="shared" si="7"/>
        <v>#DIV/0!</v>
      </c>
      <c r="L26" s="46" t="e">
        <f t="shared" si="7"/>
        <v>#DIV/0!</v>
      </c>
      <c r="N26" s="682"/>
      <c r="O26" s="683"/>
      <c r="P26" s="684"/>
      <c r="W26" s="503"/>
    </row>
    <row r="27" spans="1:23" ht="15.75" thickBot="1">
      <c r="B27" s="62" t="s">
        <v>215</v>
      </c>
      <c r="C27" s="64" t="e">
        <f>C15/'Inversiones levante '!$F$24</f>
        <v>#DIV/0!</v>
      </c>
      <c r="D27" s="64" t="e">
        <f>D15/'Inversiones levante '!$F$24</f>
        <v>#DIV/0!</v>
      </c>
      <c r="E27" s="64" t="e">
        <f>E15/'Inversiones levante '!$F$24</f>
        <v>#DIV/0!</v>
      </c>
      <c r="F27" s="64" t="e">
        <f>F15/'Inversiones levante '!$F$24</f>
        <v>#DIV/0!</v>
      </c>
      <c r="G27" s="64" t="e">
        <f>G15/'Inversiones levante '!$F$24</f>
        <v>#DIV/0!</v>
      </c>
      <c r="H27" s="64" t="e">
        <f>H15/'Inversiones levante '!$F$24</f>
        <v>#DIV/0!</v>
      </c>
      <c r="I27" s="64" t="e">
        <f>I15/'Inversiones levante '!$F$24</f>
        <v>#DIV/0!</v>
      </c>
      <c r="J27" s="64" t="e">
        <f>J15/'Inversiones levante '!$F$24</f>
        <v>#DIV/0!</v>
      </c>
      <c r="K27" s="64" t="e">
        <f>K15/'Inversiones levante '!$F$24</f>
        <v>#DIV/0!</v>
      </c>
      <c r="L27" s="64" t="e">
        <f>L15/'Inversiones levante '!$F$24</f>
        <v>#DIV/0!</v>
      </c>
      <c r="N27" s="685"/>
      <c r="O27" s="686"/>
      <c r="P27" s="687"/>
      <c r="W27" s="503"/>
    </row>
    <row r="28" spans="1:23">
      <c r="B28" s="62" t="s">
        <v>216</v>
      </c>
      <c r="C28" s="64" t="e">
        <f>(1+C27)/(1+'Costos año Levante '!F46)-1</f>
        <v>#DIV/0!</v>
      </c>
      <c r="D28" s="64" t="e">
        <f>(1+D27)/(1+'Costos año Levante '!G46)-1</f>
        <v>#DIV/0!</v>
      </c>
      <c r="E28" s="64" t="e">
        <f>(1+E27)/(1+'Costos año Levante '!H46)-1</f>
        <v>#DIV/0!</v>
      </c>
      <c r="F28" s="64" t="e">
        <f>(1+F27)/(1+'Costos año Levante '!I46)-1</f>
        <v>#DIV/0!</v>
      </c>
      <c r="G28" s="64" t="e">
        <f>(1+G27)/(1+'Costos año Levante '!J46)-1</f>
        <v>#DIV/0!</v>
      </c>
      <c r="H28" s="64" t="e">
        <f>(1+H27)/(1+'Costos año Levante '!K46)-1</f>
        <v>#DIV/0!</v>
      </c>
      <c r="I28" s="64" t="e">
        <f>(1+I27)/(1+'Costos año Levante '!L46)-1</f>
        <v>#DIV/0!</v>
      </c>
      <c r="J28" s="64" t="e">
        <f>(1+J27)/(1+'Costos año Levante '!M46)-1</f>
        <v>#DIV/0!</v>
      </c>
      <c r="K28" s="64" t="e">
        <f>(1+K27)/(1+'Costos año Levante '!N46)-1</f>
        <v>#DIV/0!</v>
      </c>
      <c r="L28" s="64" t="e">
        <f>(1+L27)/(1+'Costos año Levante '!O46)-1</f>
        <v>#DIV/0!</v>
      </c>
      <c r="W28" s="503"/>
    </row>
    <row r="29" spans="1:23">
      <c r="W29" s="503"/>
    </row>
    <row r="30" spans="1:23" ht="15.75" thickBot="1">
      <c r="W30" s="503"/>
    </row>
    <row r="31" spans="1:23" ht="15.75" thickBot="1">
      <c r="A31" s="499"/>
      <c r="B31" s="500"/>
      <c r="C31" s="500"/>
      <c r="D31" s="500"/>
      <c r="E31" s="500"/>
      <c r="F31" s="500"/>
      <c r="G31" s="500"/>
      <c r="H31" s="500"/>
      <c r="I31" s="500"/>
      <c r="J31" s="500"/>
      <c r="K31" s="500"/>
      <c r="L31" s="500"/>
      <c r="M31" s="500"/>
      <c r="N31" s="500"/>
      <c r="O31" s="500"/>
      <c r="P31" s="500"/>
      <c r="Q31" s="500"/>
      <c r="R31" s="500"/>
      <c r="S31" s="500"/>
      <c r="T31" s="500"/>
      <c r="U31" s="500"/>
      <c r="V31" s="501"/>
      <c r="W31" s="504"/>
    </row>
  </sheetData>
  <sheetProtection password="E869" sheet="1" objects="1" scenarios="1"/>
  <mergeCells count="9">
    <mergeCell ref="W1:W31"/>
    <mergeCell ref="A31:V31"/>
    <mergeCell ref="B2:L2"/>
    <mergeCell ref="O4:R4"/>
    <mergeCell ref="J4:L5"/>
    <mergeCell ref="O6:U11"/>
    <mergeCell ref="B4:G4"/>
    <mergeCell ref="B5:G5"/>
    <mergeCell ref="N25:P27"/>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P54"/>
  <sheetViews>
    <sheetView zoomScale="85" zoomScaleNormal="85" workbookViewId="0">
      <selection activeCell="D8" sqref="D8"/>
    </sheetView>
  </sheetViews>
  <sheetFormatPr defaultColWidth="11.42578125" defaultRowHeight="15"/>
  <cols>
    <col min="2" max="2" width="23.5703125" customWidth="1"/>
    <col min="3" max="3" width="36.140625" customWidth="1"/>
    <col min="4" max="4" width="14.42578125" customWidth="1"/>
    <col min="5" max="5" width="17" customWidth="1"/>
    <col min="6" max="6" width="15.42578125" customWidth="1"/>
    <col min="7" max="7" width="15" customWidth="1"/>
    <col min="13" max="13" width="15.85546875" customWidth="1"/>
    <col min="14" max="14" width="14.5703125" customWidth="1"/>
  </cols>
  <sheetData>
    <row r="1" spans="1:16" ht="15.75" thickBot="1"/>
    <row r="2" spans="1:16" ht="26.25" thickBot="1">
      <c r="B2" s="807" t="s">
        <v>272</v>
      </c>
      <c r="C2" s="808"/>
      <c r="D2" s="808"/>
      <c r="E2" s="808"/>
      <c r="F2" s="808"/>
      <c r="G2" s="808"/>
      <c r="H2" s="808"/>
      <c r="I2" s="809"/>
      <c r="P2" s="502"/>
    </row>
    <row r="3" spans="1:16" ht="18.75" customHeight="1">
      <c r="E3" s="423"/>
      <c r="I3" s="225"/>
      <c r="P3" s="503"/>
    </row>
    <row r="4" spans="1:16" ht="19.5" customHeight="1" thickBot="1">
      <c r="E4" s="424"/>
      <c r="H4" s="424"/>
      <c r="I4" s="424"/>
      <c r="P4" s="503"/>
    </row>
    <row r="5" spans="1:16" ht="21.75" customHeight="1" thickBot="1">
      <c r="B5" s="525" t="s">
        <v>9</v>
      </c>
      <c r="C5" s="526"/>
      <c r="D5" s="81">
        <v>0</v>
      </c>
      <c r="E5" s="40" t="s">
        <v>10</v>
      </c>
      <c r="F5" s="514" t="s">
        <v>273</v>
      </c>
      <c r="G5" s="515"/>
      <c r="H5" s="515"/>
      <c r="I5" s="516"/>
      <c r="K5" s="213"/>
      <c r="L5" s="213"/>
      <c r="M5" s="213"/>
      <c r="P5" s="503"/>
    </row>
    <row r="6" spans="1:16" ht="22.5" customHeight="1">
      <c r="B6" s="728" t="s">
        <v>274</v>
      </c>
      <c r="C6" s="730"/>
      <c r="D6" s="78">
        <v>0</v>
      </c>
      <c r="E6" s="40" t="s">
        <v>10</v>
      </c>
      <c r="F6" s="517"/>
      <c r="G6" s="518"/>
      <c r="H6" s="518"/>
      <c r="I6" s="519"/>
      <c r="J6" s="40"/>
      <c r="K6" s="821" t="s">
        <v>275</v>
      </c>
      <c r="L6" s="822"/>
      <c r="M6" s="823"/>
      <c r="P6" s="503"/>
    </row>
    <row r="7" spans="1:16" ht="18.75" customHeight="1" thickBot="1">
      <c r="B7" s="528" t="s">
        <v>14</v>
      </c>
      <c r="C7" s="529"/>
      <c r="D7" s="79">
        <v>0</v>
      </c>
      <c r="E7" s="40" t="s">
        <v>10</v>
      </c>
      <c r="F7" s="517"/>
      <c r="G7" s="518"/>
      <c r="H7" s="518"/>
      <c r="I7" s="519"/>
      <c r="K7" s="824"/>
      <c r="L7" s="825"/>
      <c r="M7" s="826"/>
      <c r="P7" s="503"/>
    </row>
    <row r="8" spans="1:16" ht="18.75" customHeight="1" thickBot="1">
      <c r="B8" s="805" t="s">
        <v>276</v>
      </c>
      <c r="C8" s="806"/>
      <c r="D8" s="439">
        <v>0</v>
      </c>
      <c r="E8" s="40" t="s">
        <v>10</v>
      </c>
      <c r="F8" s="517"/>
      <c r="G8" s="518"/>
      <c r="H8" s="518"/>
      <c r="I8" s="519"/>
      <c r="J8" s="40" t="s">
        <v>16</v>
      </c>
      <c r="K8" s="824"/>
      <c r="L8" s="825"/>
      <c r="M8" s="826"/>
      <c r="N8" s="442">
        <v>0</v>
      </c>
      <c r="P8" s="503"/>
    </row>
    <row r="9" spans="1:16" ht="18.75" customHeight="1" thickBot="1">
      <c r="A9" s="425"/>
      <c r="B9" s="528" t="s">
        <v>17</v>
      </c>
      <c r="C9" s="529"/>
      <c r="D9" s="439">
        <v>0</v>
      </c>
      <c r="E9" s="40" t="s">
        <v>10</v>
      </c>
      <c r="F9" s="517"/>
      <c r="G9" s="518"/>
      <c r="H9" s="518"/>
      <c r="I9" s="519"/>
      <c r="K9" s="827"/>
      <c r="L9" s="828"/>
      <c r="M9" s="829"/>
      <c r="P9" s="503"/>
    </row>
    <row r="10" spans="1:16" ht="18.75" customHeight="1">
      <c r="A10" s="425"/>
      <c r="B10" s="528" t="s">
        <v>18</v>
      </c>
      <c r="C10" s="529"/>
      <c r="D10" s="439">
        <v>0</v>
      </c>
      <c r="E10" s="40" t="s">
        <v>10</v>
      </c>
      <c r="F10" s="517"/>
      <c r="G10" s="518"/>
      <c r="H10" s="518"/>
      <c r="I10" s="519"/>
      <c r="P10" s="503"/>
    </row>
    <row r="11" spans="1:16" ht="18.75" customHeight="1" thickBot="1">
      <c r="A11" s="29"/>
      <c r="B11" s="528" t="s">
        <v>19</v>
      </c>
      <c r="C11" s="529"/>
      <c r="D11" s="439">
        <v>0</v>
      </c>
      <c r="E11" s="40" t="s">
        <v>10</v>
      </c>
      <c r="F11" s="517"/>
      <c r="G11" s="518"/>
      <c r="H11" s="518"/>
      <c r="I11" s="519"/>
      <c r="P11" s="503"/>
    </row>
    <row r="12" spans="1:16" ht="18.75" customHeight="1">
      <c r="A12" s="29"/>
      <c r="B12" s="528" t="s">
        <v>21</v>
      </c>
      <c r="C12" s="529"/>
      <c r="D12" s="439">
        <v>0</v>
      </c>
      <c r="E12" s="40" t="s">
        <v>10</v>
      </c>
      <c r="F12" s="517"/>
      <c r="G12" s="518"/>
      <c r="H12" s="518"/>
      <c r="I12" s="519"/>
      <c r="J12" s="40" t="s">
        <v>16</v>
      </c>
      <c r="K12" s="821" t="s">
        <v>277</v>
      </c>
      <c r="L12" s="822"/>
      <c r="M12" s="823"/>
      <c r="P12" s="503"/>
    </row>
    <row r="13" spans="1:16" ht="18.75" customHeight="1" thickBot="1">
      <c r="A13" s="29"/>
      <c r="B13" s="530" t="s">
        <v>22</v>
      </c>
      <c r="C13" s="531"/>
      <c r="D13" s="440">
        <v>0</v>
      </c>
      <c r="E13" s="40" t="s">
        <v>10</v>
      </c>
      <c r="F13" s="517"/>
      <c r="G13" s="518"/>
      <c r="H13" s="518"/>
      <c r="I13" s="519"/>
      <c r="J13" s="426"/>
      <c r="K13" s="824"/>
      <c r="L13" s="825"/>
      <c r="M13" s="826"/>
      <c r="P13" s="503"/>
    </row>
    <row r="14" spans="1:16" ht="23.25" customHeight="1" thickBot="1">
      <c r="B14" s="833" t="s">
        <v>278</v>
      </c>
      <c r="C14" s="92" t="s">
        <v>24</v>
      </c>
      <c r="D14" s="91">
        <v>0</v>
      </c>
      <c r="F14" s="517"/>
      <c r="G14" s="518"/>
      <c r="H14" s="518"/>
      <c r="I14" s="519"/>
      <c r="J14" s="426"/>
      <c r="K14" s="824"/>
      <c r="L14" s="825"/>
      <c r="M14" s="826"/>
      <c r="N14" s="442">
        <v>0</v>
      </c>
      <c r="P14" s="503"/>
    </row>
    <row r="15" spans="1:16" ht="21.75" customHeight="1" thickBot="1">
      <c r="B15" s="834"/>
      <c r="C15" s="95" t="s">
        <v>279</v>
      </c>
      <c r="D15" s="441">
        <v>0</v>
      </c>
      <c r="F15" s="517"/>
      <c r="G15" s="518"/>
      <c r="H15" s="518"/>
      <c r="I15" s="519"/>
      <c r="K15" s="827"/>
      <c r="L15" s="828"/>
      <c r="M15" s="829"/>
      <c r="N15" s="225"/>
      <c r="O15" s="187"/>
      <c r="P15" s="503"/>
    </row>
    <row r="16" spans="1:16" ht="15" customHeight="1" thickBot="1">
      <c r="B16" s="835" t="s">
        <v>26</v>
      </c>
      <c r="C16" s="836"/>
      <c r="D16" s="496">
        <f>SUM(D6:D13)</f>
        <v>0</v>
      </c>
      <c r="F16" s="520"/>
      <c r="G16" s="521"/>
      <c r="H16" s="521"/>
      <c r="I16" s="522"/>
      <c r="O16" s="187"/>
      <c r="P16" s="503"/>
    </row>
    <row r="17" spans="2:16" ht="15" customHeight="1">
      <c r="B17" s="89"/>
      <c r="C17" s="29"/>
      <c r="G17" s="94" t="s">
        <v>27</v>
      </c>
      <c r="H17" s="94" t="s">
        <v>27</v>
      </c>
      <c r="O17" s="187"/>
      <c r="P17" s="503"/>
    </row>
    <row r="18" spans="2:16" ht="15" customHeight="1" thickBot="1">
      <c r="B18" s="89"/>
      <c r="C18" s="29"/>
      <c r="G18" s="94" t="s">
        <v>27</v>
      </c>
      <c r="H18" s="94" t="s">
        <v>27</v>
      </c>
      <c r="O18" s="187"/>
      <c r="P18" s="503"/>
    </row>
    <row r="19" spans="2:16" ht="18" customHeight="1">
      <c r="B19" s="837" t="s">
        <v>280</v>
      </c>
      <c r="C19" s="838"/>
      <c r="D19" s="443">
        <v>0</v>
      </c>
      <c r="F19" s="570" t="s">
        <v>281</v>
      </c>
      <c r="G19" s="571"/>
      <c r="H19" s="571"/>
      <c r="I19" s="571"/>
      <c r="J19" s="572"/>
      <c r="P19" s="503"/>
    </row>
    <row r="20" spans="2:16" ht="18" customHeight="1">
      <c r="B20" s="819" t="s">
        <v>30</v>
      </c>
      <c r="C20" s="820"/>
      <c r="D20" s="444">
        <v>0</v>
      </c>
      <c r="F20" s="573"/>
      <c r="G20" s="574"/>
      <c r="H20" s="574"/>
      <c r="I20" s="574"/>
      <c r="J20" s="575"/>
      <c r="O20" s="187"/>
      <c r="P20" s="503"/>
    </row>
    <row r="21" spans="2:16" ht="16.5" customHeight="1">
      <c r="B21" s="819" t="s">
        <v>31</v>
      </c>
      <c r="C21" s="820"/>
      <c r="D21" s="444">
        <v>0</v>
      </c>
      <c r="E21" s="94" t="s">
        <v>10</v>
      </c>
      <c r="F21" s="573"/>
      <c r="G21" s="574"/>
      <c r="H21" s="574"/>
      <c r="I21" s="574"/>
      <c r="J21" s="575"/>
      <c r="K21" s="94" t="s">
        <v>16</v>
      </c>
      <c r="L21" s="94" t="s">
        <v>27</v>
      </c>
      <c r="O21" s="187"/>
      <c r="P21" s="503"/>
    </row>
    <row r="22" spans="2:16" ht="18" customHeight="1">
      <c r="B22" s="819" t="s">
        <v>32</v>
      </c>
      <c r="C22" s="820"/>
      <c r="D22" s="444">
        <v>0</v>
      </c>
      <c r="E22" s="94" t="s">
        <v>10</v>
      </c>
      <c r="F22" s="573"/>
      <c r="G22" s="574"/>
      <c r="H22" s="574"/>
      <c r="I22" s="574"/>
      <c r="J22" s="575"/>
      <c r="K22" s="94" t="s">
        <v>16</v>
      </c>
      <c r="L22" s="94" t="s">
        <v>27</v>
      </c>
      <c r="O22" s="187"/>
      <c r="P22" s="503"/>
    </row>
    <row r="23" spans="2:16" ht="20.25" customHeight="1">
      <c r="B23" s="819" t="s">
        <v>33</v>
      </c>
      <c r="C23" s="820"/>
      <c r="D23" s="444">
        <v>0</v>
      </c>
      <c r="F23" s="573"/>
      <c r="G23" s="574"/>
      <c r="H23" s="574"/>
      <c r="I23" s="574"/>
      <c r="J23" s="575"/>
      <c r="L23" s="94" t="s">
        <v>27</v>
      </c>
      <c r="O23" s="187"/>
      <c r="P23" s="503"/>
    </row>
    <row r="24" spans="2:16" ht="23.25" customHeight="1" thickBot="1">
      <c r="B24" s="528" t="s">
        <v>34</v>
      </c>
      <c r="C24" s="524"/>
      <c r="D24" s="444">
        <v>0</v>
      </c>
      <c r="F24" s="576"/>
      <c r="G24" s="577"/>
      <c r="H24" s="577"/>
      <c r="I24" s="577"/>
      <c r="J24" s="578"/>
      <c r="L24" s="94" t="s">
        <v>27</v>
      </c>
      <c r="O24" s="187"/>
      <c r="P24" s="503"/>
    </row>
    <row r="25" spans="2:16" ht="18" customHeight="1" thickBot="1">
      <c r="B25" s="528" t="s">
        <v>35</v>
      </c>
      <c r="C25" s="524"/>
      <c r="D25" s="444">
        <v>0</v>
      </c>
      <c r="L25" s="94" t="s">
        <v>27</v>
      </c>
      <c r="O25" s="187"/>
      <c r="P25" s="503"/>
    </row>
    <row r="26" spans="2:16" ht="17.25" customHeight="1" thickBot="1">
      <c r="B26" s="528" t="s">
        <v>36</v>
      </c>
      <c r="C26" s="524"/>
      <c r="D26" s="441">
        <v>0</v>
      </c>
      <c r="F26" s="188" t="s">
        <v>37</v>
      </c>
      <c r="G26" s="810" t="s">
        <v>38</v>
      </c>
      <c r="H26" s="811"/>
      <c r="I26" s="811"/>
      <c r="J26" s="812"/>
      <c r="L26" s="94" t="s">
        <v>27</v>
      </c>
      <c r="O26" s="187"/>
      <c r="P26" s="503"/>
    </row>
    <row r="27" spans="2:16" ht="24.75" customHeight="1" thickBot="1">
      <c r="B27" s="530" t="s">
        <v>39</v>
      </c>
      <c r="C27" s="830"/>
      <c r="D27" s="430" t="e">
        <f>+(SUMPRODUCT(D6:D13,D19:D26)/D5/500)</f>
        <v>#DIV/0!</v>
      </c>
      <c r="E27" s="65" t="e">
        <f>IF(D27&lt;1, "Capacidad subdimensionada. Por favor ajuste",IF(D27&gt;2,"Capacidad sobredimensionada. Por favor ajuste","Capacidad dentro de rango típíco"))</f>
        <v>#DIV/0!</v>
      </c>
      <c r="G27" s="813"/>
      <c r="H27" s="814"/>
      <c r="I27" s="814"/>
      <c r="J27" s="815"/>
      <c r="L27" s="94" t="s">
        <v>27</v>
      </c>
      <c r="O27" s="187"/>
      <c r="P27" s="503"/>
    </row>
    <row r="28" spans="2:16" ht="15" customHeight="1" thickBot="1">
      <c r="B28" s="29"/>
      <c r="G28" s="816"/>
      <c r="H28" s="817"/>
      <c r="I28" s="817"/>
      <c r="J28" s="818"/>
      <c r="L28" s="94" t="s">
        <v>27</v>
      </c>
      <c r="P28" s="503"/>
    </row>
    <row r="29" spans="2:16" ht="15" customHeight="1">
      <c r="B29" s="29"/>
      <c r="L29" s="94" t="s">
        <v>27</v>
      </c>
      <c r="P29" s="503"/>
    </row>
    <row r="30" spans="2:16" ht="19.5" customHeight="1" thickBot="1">
      <c r="B30" s="89"/>
      <c r="E30" s="66" t="s">
        <v>37</v>
      </c>
      <c r="F30" s="66" t="s">
        <v>40</v>
      </c>
      <c r="G30" s="66" t="s">
        <v>40</v>
      </c>
      <c r="H30" s="66" t="s">
        <v>40</v>
      </c>
      <c r="I30" s="66" t="s">
        <v>40</v>
      </c>
      <c r="J30" s="66" t="s">
        <v>41</v>
      </c>
      <c r="L30" s="94" t="s">
        <v>27</v>
      </c>
      <c r="P30" s="503"/>
    </row>
    <row r="31" spans="2:16" ht="16.5" customHeight="1" thickBot="1">
      <c r="C31" s="1"/>
      <c r="D31" s="1"/>
      <c r="E31" s="831" t="s">
        <v>42</v>
      </c>
      <c r="F31" s="832"/>
      <c r="G31" s="2"/>
      <c r="I31" s="535" t="s">
        <v>43</v>
      </c>
      <c r="J31" s="536"/>
      <c r="K31" s="536"/>
      <c r="L31" s="536"/>
      <c r="M31" s="537"/>
      <c r="P31" s="503"/>
    </row>
    <row r="32" spans="2:16" ht="16.5" customHeight="1" thickBot="1">
      <c r="B32" s="381" t="s">
        <v>44</v>
      </c>
      <c r="C32" s="382" t="s">
        <v>45</v>
      </c>
      <c r="D32" s="382" t="s">
        <v>46</v>
      </c>
      <c r="E32" s="383" t="s">
        <v>47</v>
      </c>
      <c r="F32" s="382" t="s">
        <v>48</v>
      </c>
      <c r="G32" s="384" t="s">
        <v>49</v>
      </c>
      <c r="I32" s="538"/>
      <c r="J32" s="539"/>
      <c r="K32" s="539"/>
      <c r="L32" s="539"/>
      <c r="M32" s="540"/>
      <c r="P32" s="503"/>
    </row>
    <row r="33" spans="2:16" ht="16.5" customHeight="1">
      <c r="B33" s="579" t="s">
        <v>50</v>
      </c>
      <c r="C33" s="385" t="s">
        <v>282</v>
      </c>
      <c r="D33" s="386">
        <f>D6</f>
        <v>0</v>
      </c>
      <c r="E33" s="387">
        <v>0</v>
      </c>
      <c r="F33" s="388">
        <f>D33*E33</f>
        <v>0</v>
      </c>
      <c r="G33" s="389" t="e">
        <f>F33*1/F50</f>
        <v>#DIV/0!</v>
      </c>
      <c r="I33" s="538"/>
      <c r="J33" s="539"/>
      <c r="K33" s="539"/>
      <c r="L33" s="539"/>
      <c r="M33" s="540"/>
      <c r="P33" s="503"/>
    </row>
    <row r="34" spans="2:16" ht="16.5" customHeight="1">
      <c r="B34" s="580"/>
      <c r="C34" s="191" t="s">
        <v>24</v>
      </c>
      <c r="D34" s="42">
        <f>D7</f>
        <v>0</v>
      </c>
      <c r="E34" s="226">
        <v>0</v>
      </c>
      <c r="F34" s="3">
        <f t="shared" ref="F34:F48" si="0">D34*E34</f>
        <v>0</v>
      </c>
      <c r="G34" s="396" t="e">
        <f>F34*1/F50</f>
        <v>#DIV/0!</v>
      </c>
      <c r="I34" s="538"/>
      <c r="J34" s="539"/>
      <c r="K34" s="539"/>
      <c r="L34" s="539"/>
      <c r="M34" s="540"/>
      <c r="P34" s="503"/>
    </row>
    <row r="35" spans="2:16" ht="16.5" customHeight="1" thickBot="1">
      <c r="B35" s="581"/>
      <c r="C35" s="390" t="s">
        <v>52</v>
      </c>
      <c r="D35" s="409">
        <v>0</v>
      </c>
      <c r="E35" s="391">
        <v>0</v>
      </c>
      <c r="F35" s="392">
        <f t="shared" ref="F35:F41" si="1">D35*E35</f>
        <v>0</v>
      </c>
      <c r="G35" s="393" t="e">
        <f>F35*1/F50</f>
        <v>#DIV/0!</v>
      </c>
      <c r="I35" s="538"/>
      <c r="J35" s="539"/>
      <c r="K35" s="539"/>
      <c r="L35" s="539"/>
      <c r="M35" s="540"/>
      <c r="P35" s="503"/>
    </row>
    <row r="36" spans="2:16" ht="21.75" customHeight="1">
      <c r="B36" s="532" t="s">
        <v>53</v>
      </c>
      <c r="C36" s="385" t="s">
        <v>54</v>
      </c>
      <c r="D36" s="394">
        <f t="shared" ref="D36:D40" si="2">D8</f>
        <v>0</v>
      </c>
      <c r="E36" s="387">
        <v>0</v>
      </c>
      <c r="F36" s="388">
        <f t="shared" si="1"/>
        <v>0</v>
      </c>
      <c r="G36" s="395" t="e">
        <f>F36*1/F50</f>
        <v>#DIV/0!</v>
      </c>
      <c r="I36" s="538"/>
      <c r="J36" s="539"/>
      <c r="K36" s="539"/>
      <c r="L36" s="539"/>
      <c r="M36" s="540"/>
      <c r="P36" s="503"/>
    </row>
    <row r="37" spans="2:16" ht="22.5" customHeight="1">
      <c r="B37" s="533"/>
      <c r="C37" s="191" t="s">
        <v>17</v>
      </c>
      <c r="D37" s="497">
        <f t="shared" si="2"/>
        <v>0</v>
      </c>
      <c r="E37" s="226">
        <v>0</v>
      </c>
      <c r="F37" s="3">
        <f t="shared" si="1"/>
        <v>0</v>
      </c>
      <c r="G37" s="396" t="e">
        <f>F37*1/F50</f>
        <v>#DIV/0!</v>
      </c>
      <c r="I37" s="538"/>
      <c r="J37" s="539"/>
      <c r="K37" s="539"/>
      <c r="L37" s="539"/>
      <c r="M37" s="540"/>
      <c r="P37" s="503"/>
    </row>
    <row r="38" spans="2:16" ht="18.75" customHeight="1" thickBot="1">
      <c r="B38" s="533"/>
      <c r="C38" s="191" t="s">
        <v>18</v>
      </c>
      <c r="D38" s="497">
        <f t="shared" si="2"/>
        <v>0</v>
      </c>
      <c r="E38" s="226">
        <v>0</v>
      </c>
      <c r="F38" s="3">
        <f t="shared" si="1"/>
        <v>0</v>
      </c>
      <c r="G38" s="396" t="e">
        <f>F38*1/F50</f>
        <v>#DIV/0!</v>
      </c>
      <c r="I38" s="541"/>
      <c r="J38" s="542"/>
      <c r="K38" s="542"/>
      <c r="L38" s="542"/>
      <c r="M38" s="543"/>
      <c r="P38" s="503"/>
    </row>
    <row r="39" spans="2:16" ht="18.75" customHeight="1">
      <c r="B39" s="533"/>
      <c r="C39" s="191" t="s">
        <v>55</v>
      </c>
      <c r="D39" s="497">
        <f t="shared" si="2"/>
        <v>0</v>
      </c>
      <c r="E39" s="226">
        <v>0</v>
      </c>
      <c r="F39" s="3">
        <f t="shared" si="1"/>
        <v>0</v>
      </c>
      <c r="G39" s="396" t="e">
        <f>F39*1/F50</f>
        <v>#DIV/0!</v>
      </c>
      <c r="K39" s="94" t="s">
        <v>27</v>
      </c>
      <c r="P39" s="503"/>
    </row>
    <row r="40" spans="2:16" ht="16.5" customHeight="1">
      <c r="B40" s="533"/>
      <c r="C40" s="191" t="s">
        <v>56</v>
      </c>
      <c r="D40" s="497">
        <f t="shared" si="2"/>
        <v>0</v>
      </c>
      <c r="E40" s="226">
        <v>0</v>
      </c>
      <c r="F40" s="3">
        <f t="shared" si="1"/>
        <v>0</v>
      </c>
      <c r="G40" s="396" t="e">
        <f>F40*1/F50</f>
        <v>#DIV/0!</v>
      </c>
      <c r="K40" s="94" t="s">
        <v>27</v>
      </c>
      <c r="P40" s="503"/>
    </row>
    <row r="41" spans="2:16" ht="16.5" customHeight="1" thickBot="1">
      <c r="B41" s="534"/>
      <c r="C41" s="390" t="s">
        <v>22</v>
      </c>
      <c r="D41" s="498">
        <f>D13</f>
        <v>0</v>
      </c>
      <c r="E41" s="391">
        <v>0</v>
      </c>
      <c r="F41" s="392">
        <f t="shared" si="1"/>
        <v>0</v>
      </c>
      <c r="G41" s="393" t="e">
        <f>F41*1/F50</f>
        <v>#DIV/0!</v>
      </c>
      <c r="K41" s="94" t="s">
        <v>27</v>
      </c>
      <c r="P41" s="503"/>
    </row>
    <row r="42" spans="2:16" ht="16.5" customHeight="1">
      <c r="B42" s="719" t="s">
        <v>57</v>
      </c>
      <c r="C42" s="385" t="s">
        <v>58</v>
      </c>
      <c r="D42" s="410">
        <v>0</v>
      </c>
      <c r="E42" s="387">
        <v>0</v>
      </c>
      <c r="F42" s="388">
        <f t="shared" si="0"/>
        <v>0</v>
      </c>
      <c r="G42" s="395" t="e">
        <f>F42*1/F50</f>
        <v>#DIV/0!</v>
      </c>
      <c r="I42" s="570" t="s">
        <v>283</v>
      </c>
      <c r="J42" s="571"/>
      <c r="K42" s="571"/>
      <c r="L42" s="571"/>
      <c r="M42" s="572"/>
      <c r="P42" s="503"/>
    </row>
    <row r="43" spans="2:16" ht="17.25" customHeight="1">
      <c r="B43" s="720"/>
      <c r="C43" s="191" t="s">
        <v>60</v>
      </c>
      <c r="D43" s="436">
        <v>0</v>
      </c>
      <c r="E43" s="226">
        <v>0</v>
      </c>
      <c r="F43" s="3">
        <f t="shared" si="0"/>
        <v>0</v>
      </c>
      <c r="G43" s="396" t="e">
        <f>F43*1/F50</f>
        <v>#DIV/0!</v>
      </c>
      <c r="I43" s="573"/>
      <c r="J43" s="574"/>
      <c r="K43" s="574"/>
      <c r="L43" s="574"/>
      <c r="M43" s="575"/>
      <c r="P43" s="503"/>
    </row>
    <row r="44" spans="2:16" ht="17.25" customHeight="1" thickBot="1">
      <c r="B44" s="721"/>
      <c r="C44" s="390" t="s">
        <v>61</v>
      </c>
      <c r="D44" s="409">
        <v>0</v>
      </c>
      <c r="E44" s="391">
        <v>0</v>
      </c>
      <c r="F44" s="392">
        <f t="shared" si="0"/>
        <v>0</v>
      </c>
      <c r="G44" s="393" t="e">
        <f>F44*1/F50</f>
        <v>#DIV/0!</v>
      </c>
      <c r="I44" s="573"/>
      <c r="J44" s="574"/>
      <c r="K44" s="574"/>
      <c r="L44" s="574"/>
      <c r="M44" s="575"/>
      <c r="P44" s="503"/>
    </row>
    <row r="45" spans="2:16" ht="35.25" customHeight="1" thickBot="1">
      <c r="B45" s="397" t="s">
        <v>62</v>
      </c>
      <c r="C45" s="398" t="s">
        <v>63</v>
      </c>
      <c r="D45" s="399">
        <v>1</v>
      </c>
      <c r="E45" s="400">
        <v>0</v>
      </c>
      <c r="F45" s="401">
        <f t="shared" si="0"/>
        <v>0</v>
      </c>
      <c r="G45" s="402" t="e">
        <f>F45*1/F50</f>
        <v>#DIV/0!</v>
      </c>
      <c r="I45" s="576"/>
      <c r="J45" s="577"/>
      <c r="K45" s="577"/>
      <c r="L45" s="577"/>
      <c r="M45" s="578"/>
      <c r="P45" s="503"/>
    </row>
    <row r="46" spans="2:16" ht="17.25" thickBot="1">
      <c r="B46" s="397" t="s">
        <v>64</v>
      </c>
      <c r="C46" s="404"/>
      <c r="D46" s="399">
        <v>1</v>
      </c>
      <c r="E46" s="400">
        <v>0</v>
      </c>
      <c r="F46" s="401">
        <f t="shared" si="0"/>
        <v>0</v>
      </c>
      <c r="G46" s="402" t="e">
        <f>F46*1/F50</f>
        <v>#DIV/0!</v>
      </c>
      <c r="P46" s="503"/>
    </row>
    <row r="47" spans="2:16" ht="17.25" thickBot="1">
      <c r="B47" s="397" t="s">
        <v>65</v>
      </c>
      <c r="C47" s="404"/>
      <c r="D47" s="399">
        <v>1</v>
      </c>
      <c r="E47" s="400">
        <v>0</v>
      </c>
      <c r="F47" s="401">
        <f t="shared" si="0"/>
        <v>0</v>
      </c>
      <c r="G47" s="402" t="e">
        <f>F47*1/F50</f>
        <v>#DIV/0!</v>
      </c>
      <c r="P47" s="503"/>
    </row>
    <row r="48" spans="2:16" ht="17.25" thickBot="1">
      <c r="B48" s="397" t="s">
        <v>66</v>
      </c>
      <c r="C48" s="404"/>
      <c r="D48" s="399">
        <v>1</v>
      </c>
      <c r="E48" s="400">
        <v>0</v>
      </c>
      <c r="F48" s="401">
        <f t="shared" si="0"/>
        <v>0</v>
      </c>
      <c r="G48" s="411" t="e">
        <f>F48*1/F50</f>
        <v>#DIV/0!</v>
      </c>
      <c r="P48" s="503"/>
    </row>
    <row r="49" spans="1:16" ht="17.25" thickBot="1">
      <c r="B49" s="397" t="s">
        <v>67</v>
      </c>
      <c r="C49" s="404"/>
      <c r="D49" s="399"/>
      <c r="E49" s="400"/>
      <c r="F49" s="401">
        <f>D49*E49</f>
        <v>0</v>
      </c>
      <c r="G49" s="402" t="e">
        <f>F49*1/F50</f>
        <v>#DIV/0!</v>
      </c>
      <c r="P49" s="503"/>
    </row>
    <row r="50" spans="1:16" ht="15.75" thickBot="1">
      <c r="B50" s="278"/>
      <c r="C50" s="405" t="s">
        <v>68</v>
      </c>
      <c r="D50" s="406">
        <f>SUM(D33:D49)</f>
        <v>4</v>
      </c>
      <c r="E50" s="407">
        <f>SUM(E33:E49)</f>
        <v>0</v>
      </c>
      <c r="F50" s="407">
        <f>SUM(F33:F49)</f>
        <v>0</v>
      </c>
      <c r="G50" s="408" t="e">
        <f>SUM(G33:G49)</f>
        <v>#DIV/0!</v>
      </c>
      <c r="P50" s="503"/>
    </row>
    <row r="51" spans="1:16">
      <c r="P51" s="503"/>
    </row>
    <row r="52" spans="1:16">
      <c r="P52" s="503"/>
    </row>
    <row r="53" spans="1:16" ht="15.75" thickBot="1">
      <c r="P53" s="504"/>
    </row>
    <row r="54" spans="1:16" ht="15.75" thickBot="1">
      <c r="A54" s="499"/>
      <c r="B54" s="500"/>
      <c r="C54" s="500"/>
      <c r="D54" s="500"/>
      <c r="E54" s="500"/>
      <c r="F54" s="500"/>
      <c r="G54" s="500"/>
      <c r="H54" s="500"/>
      <c r="I54" s="500"/>
      <c r="J54" s="500"/>
      <c r="K54" s="500"/>
      <c r="L54" s="500"/>
      <c r="M54" s="500"/>
      <c r="N54" s="500"/>
      <c r="O54" s="500"/>
      <c r="P54" s="501"/>
    </row>
  </sheetData>
  <sheetProtection password="E869" sheet="1" objects="1" scenarios="1"/>
  <mergeCells count="34">
    <mergeCell ref="B26:C26"/>
    <mergeCell ref="B14:B15"/>
    <mergeCell ref="B16:C16"/>
    <mergeCell ref="B19:C19"/>
    <mergeCell ref="B20:C20"/>
    <mergeCell ref="B21:C21"/>
    <mergeCell ref="B25:C25"/>
    <mergeCell ref="B22:C22"/>
    <mergeCell ref="G26:J28"/>
    <mergeCell ref="B23:C23"/>
    <mergeCell ref="A54:P54"/>
    <mergeCell ref="P2:P53"/>
    <mergeCell ref="K6:M9"/>
    <mergeCell ref="F5:I16"/>
    <mergeCell ref="B36:B41"/>
    <mergeCell ref="I31:M38"/>
    <mergeCell ref="I42:M45"/>
    <mergeCell ref="K12:M15"/>
    <mergeCell ref="B27:C27"/>
    <mergeCell ref="B42:B44"/>
    <mergeCell ref="B5:C5"/>
    <mergeCell ref="B33:B35"/>
    <mergeCell ref="E31:F31"/>
    <mergeCell ref="B9:C9"/>
    <mergeCell ref="B8:C8"/>
    <mergeCell ref="B6:C6"/>
    <mergeCell ref="B7:C7"/>
    <mergeCell ref="B24:C24"/>
    <mergeCell ref="B2:I2"/>
    <mergeCell ref="F19:J24"/>
    <mergeCell ref="B10:C10"/>
    <mergeCell ref="B11:C11"/>
    <mergeCell ref="B12:C12"/>
    <mergeCell ref="B13:C13"/>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W100"/>
  <sheetViews>
    <sheetView zoomScale="60" zoomScaleNormal="60" workbookViewId="0">
      <selection activeCell="I1" sqref="I1"/>
    </sheetView>
  </sheetViews>
  <sheetFormatPr defaultColWidth="11.42578125" defaultRowHeight="15"/>
  <cols>
    <col min="2" max="2" width="24.7109375" customWidth="1"/>
    <col min="3" max="3" width="14.85546875" customWidth="1"/>
    <col min="4" max="4" width="16.85546875" customWidth="1"/>
    <col min="5" max="5" width="16.42578125" customWidth="1"/>
    <col min="6" max="6" width="17" customWidth="1"/>
    <col min="7" max="7" width="17.7109375" customWidth="1"/>
    <col min="8" max="8" width="18.5703125" customWidth="1"/>
    <col min="9" max="9" width="16.5703125" customWidth="1"/>
    <col min="10" max="10" width="16.28515625" customWidth="1"/>
    <col min="11" max="11" width="17.140625" customWidth="1"/>
    <col min="12" max="12" width="16.42578125" customWidth="1"/>
    <col min="13" max="13" width="17" customWidth="1"/>
    <col min="14" max="14" width="17.140625" customWidth="1"/>
    <col min="15" max="15" width="16.85546875" customWidth="1"/>
    <col min="20" max="20" width="12.42578125" customWidth="1"/>
  </cols>
  <sheetData>
    <row r="1" spans="2:23" ht="15.75" thickBot="1"/>
    <row r="2" spans="2:23" ht="26.25" customHeight="1" thickBot="1">
      <c r="B2" s="555" t="s">
        <v>284</v>
      </c>
      <c r="C2" s="556"/>
      <c r="D2" s="556"/>
      <c r="E2" s="556"/>
      <c r="F2" s="556"/>
      <c r="G2" s="556"/>
      <c r="H2" s="556"/>
      <c r="I2" s="556"/>
      <c r="J2" s="556"/>
      <c r="K2" s="556"/>
      <c r="L2" s="556"/>
      <c r="M2" s="556"/>
      <c r="N2" s="556"/>
      <c r="O2" s="556"/>
      <c r="P2" s="557"/>
      <c r="W2" s="502"/>
    </row>
    <row r="3" spans="2:23">
      <c r="W3" s="503"/>
    </row>
    <row r="4" spans="2:23" ht="15.75" thickBot="1">
      <c r="W4" s="503"/>
    </row>
    <row r="5" spans="2:23" ht="30.75" customHeight="1" thickBot="1">
      <c r="E5" s="250" t="s">
        <v>70</v>
      </c>
      <c r="G5" s="250" t="s">
        <v>70</v>
      </c>
      <c r="I5" s="250" t="s">
        <v>70</v>
      </c>
      <c r="W5" s="503"/>
    </row>
    <row r="6" spans="2:23" ht="16.5" thickBot="1">
      <c r="B6" s="862" t="s">
        <v>71</v>
      </c>
      <c r="C6" s="863"/>
      <c r="D6" s="863"/>
      <c r="E6" s="863"/>
      <c r="F6" s="863"/>
      <c r="G6" s="863"/>
      <c r="H6" s="863"/>
      <c r="I6" s="863"/>
      <c r="J6" s="863"/>
      <c r="K6" s="863"/>
      <c r="L6" s="864"/>
      <c r="N6" s="759" t="s">
        <v>72</v>
      </c>
      <c r="O6" s="760"/>
      <c r="P6" s="761"/>
      <c r="W6" s="503"/>
    </row>
    <row r="7" spans="2:23" ht="66" customHeight="1" thickBot="1">
      <c r="B7" s="445" t="s">
        <v>44</v>
      </c>
      <c r="C7" s="446" t="s">
        <v>73</v>
      </c>
      <c r="D7" s="447" t="s">
        <v>285</v>
      </c>
      <c r="E7" s="447" t="s">
        <v>75</v>
      </c>
      <c r="F7" s="447" t="s">
        <v>76</v>
      </c>
      <c r="G7" s="447" t="s">
        <v>77</v>
      </c>
      <c r="H7" s="447" t="s">
        <v>78</v>
      </c>
      <c r="I7" s="447" t="s">
        <v>79</v>
      </c>
      <c r="J7" s="447" t="s">
        <v>80</v>
      </c>
      <c r="K7" s="447" t="s">
        <v>81</v>
      </c>
      <c r="L7" s="448" t="s">
        <v>82</v>
      </c>
      <c r="N7" s="41" t="s">
        <v>27</v>
      </c>
      <c r="W7" s="503"/>
    </row>
    <row r="8" spans="2:23" ht="21" customHeight="1">
      <c r="B8" s="192" t="s">
        <v>83</v>
      </c>
      <c r="C8" s="253">
        <f>'Inversiones Ciclo Completo'!D16</f>
        <v>0</v>
      </c>
      <c r="D8" s="449">
        <f>I8/40/1000</f>
        <v>0</v>
      </c>
      <c r="E8" s="255">
        <v>0</v>
      </c>
      <c r="F8" s="104">
        <f>C8*D8*E8</f>
        <v>0</v>
      </c>
      <c r="G8" s="255">
        <v>0</v>
      </c>
      <c r="H8" s="104">
        <f>F8*G8</f>
        <v>0</v>
      </c>
      <c r="I8" s="256">
        <v>0</v>
      </c>
      <c r="J8" s="104">
        <f>C8*E8*G8/1000</f>
        <v>0</v>
      </c>
      <c r="K8" s="450">
        <f>J8/40</f>
        <v>0</v>
      </c>
      <c r="L8" s="105">
        <f>I8*K8</f>
        <v>0</v>
      </c>
      <c r="N8" s="588" t="s">
        <v>286</v>
      </c>
      <c r="O8" s="589"/>
      <c r="P8" s="589"/>
      <c r="Q8" s="589"/>
      <c r="R8" s="589"/>
      <c r="S8" s="589"/>
      <c r="T8" s="590"/>
      <c r="W8" s="503"/>
    </row>
    <row r="9" spans="2:23" ht="20.25" customHeight="1">
      <c r="B9" s="272" t="s">
        <v>287</v>
      </c>
      <c r="C9" s="4">
        <f>'Inversiones Ciclo Completo'!D16</f>
        <v>0</v>
      </c>
      <c r="D9" s="451">
        <f>I9/40/1000</f>
        <v>0</v>
      </c>
      <c r="E9" s="227">
        <v>0</v>
      </c>
      <c r="F9" s="6">
        <f>C9*D9*E9</f>
        <v>0</v>
      </c>
      <c r="G9" s="227">
        <v>0</v>
      </c>
      <c r="H9" s="4">
        <f>F9*G9</f>
        <v>0</v>
      </c>
      <c r="I9" s="227">
        <v>0</v>
      </c>
      <c r="J9" s="4">
        <f>C9*E9*G9/1000</f>
        <v>0</v>
      </c>
      <c r="K9" s="4">
        <f>J9/40</f>
        <v>0</v>
      </c>
      <c r="L9" s="230">
        <f>I9*K9</f>
        <v>0</v>
      </c>
      <c r="N9" s="591"/>
      <c r="O9" s="592"/>
      <c r="P9" s="592"/>
      <c r="Q9" s="592"/>
      <c r="R9" s="592"/>
      <c r="S9" s="592"/>
      <c r="T9" s="593"/>
      <c r="W9" s="503"/>
    </row>
    <row r="10" spans="2:23" ht="21" customHeight="1">
      <c r="B10" s="193" t="s">
        <v>86</v>
      </c>
      <c r="C10" s="4">
        <f>'Inversiones Ciclo Completo'!D16</f>
        <v>0</v>
      </c>
      <c r="D10" s="452">
        <v>0</v>
      </c>
      <c r="E10" s="227">
        <v>0</v>
      </c>
      <c r="F10" s="6">
        <f>C10*D10*E10</f>
        <v>0</v>
      </c>
      <c r="G10" s="227">
        <v>0</v>
      </c>
      <c r="H10" s="4">
        <f>F10*G10</f>
        <v>0</v>
      </c>
      <c r="I10" s="227">
        <v>0</v>
      </c>
      <c r="J10" s="4">
        <f>C10*E10*G10/1000</f>
        <v>0</v>
      </c>
      <c r="K10" s="4">
        <f>J10/50</f>
        <v>0</v>
      </c>
      <c r="L10" s="230">
        <f>I10*K10</f>
        <v>0</v>
      </c>
      <c r="N10" s="591"/>
      <c r="O10" s="592"/>
      <c r="P10" s="592"/>
      <c r="Q10" s="592"/>
      <c r="R10" s="592"/>
      <c r="S10" s="592"/>
      <c r="T10" s="593"/>
      <c r="W10" s="503"/>
    </row>
    <row r="11" spans="2:23" ht="19.5" customHeight="1">
      <c r="B11" s="193" t="s">
        <v>87</v>
      </c>
      <c r="C11" s="4">
        <f>'Inversiones Ciclo Completo'!D16</f>
        <v>0</v>
      </c>
      <c r="D11" s="451">
        <f>I11/30/1000</f>
        <v>0</v>
      </c>
      <c r="E11" s="227">
        <v>0</v>
      </c>
      <c r="F11" s="6">
        <f>C11*D11*E11</f>
        <v>0</v>
      </c>
      <c r="G11" s="227">
        <v>0</v>
      </c>
      <c r="H11" s="4">
        <f>F11*G11</f>
        <v>0</v>
      </c>
      <c r="I11" s="227">
        <v>0</v>
      </c>
      <c r="J11" s="4">
        <f>C11*E11*G11/1000</f>
        <v>0</v>
      </c>
      <c r="K11" s="4">
        <f>J11/30</f>
        <v>0</v>
      </c>
      <c r="L11" s="230">
        <f>I11*K11</f>
        <v>0</v>
      </c>
      <c r="N11" s="591"/>
      <c r="O11" s="592"/>
      <c r="P11" s="592"/>
      <c r="Q11" s="592"/>
      <c r="R11" s="592"/>
      <c r="S11" s="592"/>
      <c r="T11" s="593"/>
      <c r="W11" s="503"/>
    </row>
    <row r="12" spans="2:23" ht="19.5" customHeight="1" thickBot="1">
      <c r="B12" s="199" t="s">
        <v>67</v>
      </c>
      <c r="C12" s="26">
        <f>'Inversiones Ciclo Completo'!D16</f>
        <v>0</v>
      </c>
      <c r="D12" s="212">
        <v>0</v>
      </c>
      <c r="E12" s="258">
        <v>0</v>
      </c>
      <c r="F12" s="102">
        <f>C12*D12*E12</f>
        <v>0</v>
      </c>
      <c r="G12" s="258">
        <v>0</v>
      </c>
      <c r="H12" s="26">
        <f>F12*G12</f>
        <v>0</v>
      </c>
      <c r="I12" s="258"/>
      <c r="J12" s="26">
        <f>C12*E12*G12/1000</f>
        <v>0</v>
      </c>
      <c r="K12" s="26"/>
      <c r="L12" s="130"/>
      <c r="N12" s="591"/>
      <c r="O12" s="592"/>
      <c r="P12" s="592"/>
      <c r="Q12" s="592"/>
      <c r="R12" s="592"/>
      <c r="S12" s="592"/>
      <c r="T12" s="593"/>
      <c r="W12" s="503"/>
    </row>
    <row r="13" spans="2:23" ht="32.25" customHeight="1" thickBot="1">
      <c r="B13" s="278" t="s">
        <v>88</v>
      </c>
      <c r="C13" s="217">
        <f>'Inversiones Ciclo Completo'!D16</f>
        <v>0</v>
      </c>
      <c r="D13" s="218">
        <f t="shared" ref="D13" si="0">D8+D9+D10+D11+D12</f>
        <v>0</v>
      </c>
      <c r="E13" s="217">
        <f t="shared" ref="E13:L13" si="1">SUM(E8:E12)</f>
        <v>0</v>
      </c>
      <c r="F13" s="219">
        <f t="shared" si="1"/>
        <v>0</v>
      </c>
      <c r="G13" s="217">
        <f t="shared" si="1"/>
        <v>0</v>
      </c>
      <c r="H13" s="219">
        <f t="shared" si="1"/>
        <v>0</v>
      </c>
      <c r="I13" s="219">
        <f t="shared" si="1"/>
        <v>0</v>
      </c>
      <c r="J13" s="219">
        <f t="shared" si="1"/>
        <v>0</v>
      </c>
      <c r="K13" s="279">
        <f t="shared" si="1"/>
        <v>0</v>
      </c>
      <c r="L13" s="221">
        <f t="shared" si="1"/>
        <v>0</v>
      </c>
      <c r="N13" s="594"/>
      <c r="O13" s="595"/>
      <c r="P13" s="595"/>
      <c r="Q13" s="595"/>
      <c r="R13" s="595"/>
      <c r="S13" s="595"/>
      <c r="T13" s="596"/>
      <c r="W13" s="503"/>
    </row>
    <row r="14" spans="2:23" ht="27.75" thickBot="1">
      <c r="N14" s="41" t="s">
        <v>27</v>
      </c>
      <c r="W14" s="503"/>
    </row>
    <row r="15" spans="2:23" ht="22.5" customHeight="1" thickBot="1">
      <c r="N15" s="588" t="s">
        <v>288</v>
      </c>
      <c r="O15" s="589"/>
      <c r="P15" s="589"/>
      <c r="Q15" s="589"/>
      <c r="R15" s="589"/>
      <c r="S15" s="589"/>
      <c r="T15" s="590"/>
      <c r="W15" s="503"/>
    </row>
    <row r="16" spans="2:23" ht="37.5" customHeight="1" thickBot="1">
      <c r="D16" s="597" t="s">
        <v>70</v>
      </c>
      <c r="E16" s="598"/>
      <c r="H16" s="454"/>
      <c r="J16" s="597" t="s">
        <v>70</v>
      </c>
      <c r="K16" s="598"/>
      <c r="N16" s="591"/>
      <c r="O16" s="592"/>
      <c r="P16" s="592"/>
      <c r="Q16" s="592"/>
      <c r="R16" s="592"/>
      <c r="S16" s="592"/>
      <c r="T16" s="593"/>
      <c r="W16" s="503"/>
    </row>
    <row r="17" spans="2:23" ht="29.25" customHeight="1" thickBot="1">
      <c r="B17" s="865" t="s">
        <v>90</v>
      </c>
      <c r="C17" s="866"/>
      <c r="D17" s="866"/>
      <c r="E17" s="866"/>
      <c r="F17" s="867"/>
      <c r="I17" s="868" t="s">
        <v>91</v>
      </c>
      <c r="J17" s="869"/>
      <c r="K17" s="869"/>
      <c r="L17" s="870"/>
      <c r="N17" s="591"/>
      <c r="O17" s="592"/>
      <c r="P17" s="592"/>
      <c r="Q17" s="592"/>
      <c r="R17" s="592"/>
      <c r="S17" s="592"/>
      <c r="T17" s="593"/>
      <c r="W17" s="503"/>
    </row>
    <row r="18" spans="2:23" ht="36.75" customHeight="1" thickBot="1">
      <c r="B18" s="445" t="s">
        <v>44</v>
      </c>
      <c r="C18" s="446" t="s">
        <v>73</v>
      </c>
      <c r="D18" s="446" t="s">
        <v>92</v>
      </c>
      <c r="E18" s="447" t="s">
        <v>93</v>
      </c>
      <c r="F18" s="455" t="s">
        <v>94</v>
      </c>
      <c r="I18" s="456" t="s">
        <v>44</v>
      </c>
      <c r="J18" s="457" t="s">
        <v>95</v>
      </c>
      <c r="K18" s="458" t="s">
        <v>96</v>
      </c>
      <c r="L18" s="459" t="s">
        <v>94</v>
      </c>
      <c r="N18" s="594"/>
      <c r="O18" s="595"/>
      <c r="P18" s="595"/>
      <c r="Q18" s="595"/>
      <c r="R18" s="595"/>
      <c r="S18" s="595"/>
      <c r="T18" s="596"/>
      <c r="W18" s="503"/>
    </row>
    <row r="19" spans="2:23" ht="27">
      <c r="B19" s="192" t="s">
        <v>97</v>
      </c>
      <c r="C19" s="253">
        <f>'Inversiones Ciclo Completo'!D16</f>
        <v>0</v>
      </c>
      <c r="D19" s="256">
        <v>0</v>
      </c>
      <c r="E19" s="255">
        <v>2</v>
      </c>
      <c r="F19" s="105">
        <f t="shared" ref="F19:F26" si="2">C19*D19*E19</f>
        <v>0</v>
      </c>
      <c r="I19" s="460" t="s">
        <v>98</v>
      </c>
      <c r="J19" s="241">
        <v>0</v>
      </c>
      <c r="K19" s="240">
        <v>0</v>
      </c>
      <c r="L19" s="461">
        <f>J19*K19</f>
        <v>0</v>
      </c>
      <c r="N19" s="41" t="s">
        <v>27</v>
      </c>
      <c r="W19" s="503"/>
    </row>
    <row r="20" spans="2:23" ht="27.75" thickBot="1">
      <c r="B20" s="193" t="s">
        <v>99</v>
      </c>
      <c r="C20" s="4">
        <f>'Inversiones Ciclo Completo'!D16</f>
        <v>0</v>
      </c>
      <c r="D20" s="227">
        <v>0</v>
      </c>
      <c r="E20" s="227">
        <v>2</v>
      </c>
      <c r="F20" s="101">
        <f t="shared" si="2"/>
        <v>0</v>
      </c>
      <c r="H20" s="337"/>
      <c r="I20" s="272" t="s">
        <v>100</v>
      </c>
      <c r="J20" s="229">
        <v>0</v>
      </c>
      <c r="K20" s="227">
        <v>0</v>
      </c>
      <c r="L20" s="233">
        <f>J20*K20</f>
        <v>0</v>
      </c>
      <c r="N20" s="41" t="s">
        <v>27</v>
      </c>
      <c r="W20" s="503"/>
    </row>
    <row r="21" spans="2:23" ht="21" customHeight="1">
      <c r="B21" s="193" t="s">
        <v>101</v>
      </c>
      <c r="C21" s="4">
        <f>'Inversiones Ciclo Completo'!D16</f>
        <v>0</v>
      </c>
      <c r="D21" s="256">
        <v>0</v>
      </c>
      <c r="E21" s="227">
        <v>2</v>
      </c>
      <c r="F21" s="105">
        <f t="shared" si="2"/>
        <v>0</v>
      </c>
      <c r="I21" s="272" t="s">
        <v>102</v>
      </c>
      <c r="J21" s="229">
        <v>0</v>
      </c>
      <c r="K21" s="227">
        <v>0</v>
      </c>
      <c r="L21" s="233">
        <f>J21*K21</f>
        <v>0</v>
      </c>
      <c r="N21" s="661" t="s">
        <v>103</v>
      </c>
      <c r="O21" s="662"/>
      <c r="P21" s="662"/>
      <c r="Q21" s="662"/>
      <c r="R21" s="662"/>
      <c r="S21" s="662"/>
      <c r="T21" s="663"/>
      <c r="W21" s="503"/>
    </row>
    <row r="22" spans="2:23" ht="21" customHeight="1">
      <c r="B22" s="193" t="s">
        <v>104</v>
      </c>
      <c r="C22" s="33">
        <f>'Inversiones Ciclo Completo'!D39</f>
        <v>0</v>
      </c>
      <c r="D22" s="227">
        <v>0</v>
      </c>
      <c r="E22" s="227">
        <v>2</v>
      </c>
      <c r="F22" s="230">
        <f t="shared" si="2"/>
        <v>0</v>
      </c>
      <c r="I22" s="193" t="s">
        <v>105</v>
      </c>
      <c r="J22" s="229">
        <v>0</v>
      </c>
      <c r="K22" s="227">
        <v>0</v>
      </c>
      <c r="L22" s="233">
        <f>J22*K22</f>
        <v>0</v>
      </c>
      <c r="N22" s="664"/>
      <c r="O22" s="665"/>
      <c r="P22" s="665"/>
      <c r="Q22" s="665"/>
      <c r="R22" s="665"/>
      <c r="S22" s="665"/>
      <c r="T22" s="666"/>
      <c r="W22" s="503"/>
    </row>
    <row r="23" spans="2:23" ht="21.75" customHeight="1" thickBot="1">
      <c r="B23" s="193" t="s">
        <v>106</v>
      </c>
      <c r="C23" s="33">
        <f>'Inversiones Ciclo Completo'!D36+'Inversiones Ciclo Completo'!D39</f>
        <v>0</v>
      </c>
      <c r="D23" s="229">
        <v>0</v>
      </c>
      <c r="E23" s="227">
        <v>21</v>
      </c>
      <c r="F23" s="101">
        <f t="shared" si="2"/>
        <v>0</v>
      </c>
      <c r="G23" s="454"/>
      <c r="I23" s="199" t="s">
        <v>67</v>
      </c>
      <c r="J23" s="238">
        <v>0</v>
      </c>
      <c r="K23" s="258">
        <v>0</v>
      </c>
      <c r="L23" s="273">
        <f>J23*K23</f>
        <v>0</v>
      </c>
      <c r="N23" s="664"/>
      <c r="O23" s="665"/>
      <c r="P23" s="665"/>
      <c r="Q23" s="665"/>
      <c r="R23" s="665"/>
      <c r="S23" s="665"/>
      <c r="T23" s="666"/>
      <c r="W23" s="503"/>
    </row>
    <row r="24" spans="2:23" ht="24" customHeight="1" thickBot="1">
      <c r="B24" s="193" t="s">
        <v>107</v>
      </c>
      <c r="C24" s="33">
        <f>'Inversiones Ciclo Completo'!D16</f>
        <v>0</v>
      </c>
      <c r="D24" s="229">
        <v>0</v>
      </c>
      <c r="E24" s="227">
        <v>3</v>
      </c>
      <c r="F24" s="101">
        <f t="shared" si="2"/>
        <v>0</v>
      </c>
      <c r="I24" s="462" t="s">
        <v>88</v>
      </c>
      <c r="J24" s="463">
        <f>SUM(J19:J23)</f>
        <v>0</v>
      </c>
      <c r="K24" s="294"/>
      <c r="L24" s="463">
        <f>SUM(L19:L23)</f>
        <v>0</v>
      </c>
      <c r="N24" s="664"/>
      <c r="O24" s="665"/>
      <c r="P24" s="665"/>
      <c r="Q24" s="665"/>
      <c r="R24" s="665"/>
      <c r="S24" s="665"/>
      <c r="T24" s="666"/>
      <c r="W24" s="503"/>
    </row>
    <row r="25" spans="2:23" ht="30.75" customHeight="1" thickBot="1">
      <c r="B25" s="232" t="s">
        <v>108</v>
      </c>
      <c r="C25" s="33">
        <f>'Inversiones Ciclo Completo'!D16</f>
        <v>0</v>
      </c>
      <c r="D25" s="229">
        <v>0</v>
      </c>
      <c r="E25" s="227">
        <v>3</v>
      </c>
      <c r="F25" s="101">
        <f t="shared" si="2"/>
        <v>0</v>
      </c>
      <c r="N25" s="667"/>
      <c r="O25" s="668"/>
      <c r="P25" s="668"/>
      <c r="Q25" s="668"/>
      <c r="R25" s="668"/>
      <c r="S25" s="668"/>
      <c r="T25" s="669"/>
      <c r="W25" s="503"/>
    </row>
    <row r="26" spans="2:23" ht="47.25" customHeight="1" thickBot="1">
      <c r="B26" s="292" t="s">
        <v>109</v>
      </c>
      <c r="C26" s="464">
        <f>'Inversiones Ciclo Completo'!D16</f>
        <v>0</v>
      </c>
      <c r="D26" s="258">
        <v>0</v>
      </c>
      <c r="E26" s="258">
        <v>6</v>
      </c>
      <c r="F26" s="273">
        <f t="shared" si="2"/>
        <v>0</v>
      </c>
      <c r="N26" s="41" t="s">
        <v>27</v>
      </c>
      <c r="O26" s="225"/>
      <c r="P26" s="225"/>
      <c r="Q26" s="225"/>
      <c r="R26" s="225"/>
      <c r="S26" s="225"/>
      <c r="T26" s="225"/>
      <c r="W26" s="503"/>
    </row>
    <row r="27" spans="2:23" ht="35.25" customHeight="1" thickBot="1">
      <c r="B27" s="278" t="s">
        <v>88</v>
      </c>
      <c r="C27" s="217"/>
      <c r="D27" s="219">
        <f>D19+D20+D21+D22+D23+D24+D25+D26</f>
        <v>0</v>
      </c>
      <c r="E27" s="217"/>
      <c r="F27" s="221">
        <f>SUM(F19:F26)</f>
        <v>0</v>
      </c>
      <c r="N27" s="41" t="s">
        <v>27</v>
      </c>
      <c r="W27" s="503"/>
    </row>
    <row r="28" spans="2:23" ht="26.25" customHeight="1" thickBot="1">
      <c r="N28" s="41" t="s">
        <v>27</v>
      </c>
      <c r="W28" s="503"/>
    </row>
    <row r="29" spans="2:23" ht="29.25" customHeight="1" thickBot="1">
      <c r="C29" s="597" t="s">
        <v>70</v>
      </c>
      <c r="D29" s="598"/>
      <c r="I29" s="597" t="s">
        <v>70</v>
      </c>
      <c r="J29" s="598"/>
      <c r="N29" s="41" t="s">
        <v>27</v>
      </c>
      <c r="W29" s="503"/>
    </row>
    <row r="30" spans="2:23">
      <c r="B30" s="865" t="s">
        <v>289</v>
      </c>
      <c r="C30" s="866"/>
      <c r="D30" s="866"/>
      <c r="E30" s="867"/>
      <c r="H30" s="865" t="s">
        <v>290</v>
      </c>
      <c r="I30" s="866"/>
      <c r="J30" s="866"/>
      <c r="K30" s="867"/>
      <c r="N30" s="661" t="s">
        <v>291</v>
      </c>
      <c r="O30" s="662"/>
      <c r="P30" s="662"/>
      <c r="Q30" s="662"/>
      <c r="R30" s="662"/>
      <c r="S30" s="662"/>
      <c r="T30" s="663"/>
      <c r="W30" s="503"/>
    </row>
    <row r="31" spans="2:23" ht="39.75" customHeight="1" thickBot="1">
      <c r="B31" s="445" t="s">
        <v>44</v>
      </c>
      <c r="C31" s="447" t="s">
        <v>113</v>
      </c>
      <c r="D31" s="447" t="s">
        <v>114</v>
      </c>
      <c r="E31" s="465" t="s">
        <v>115</v>
      </c>
      <c r="H31" s="445" t="s">
        <v>44</v>
      </c>
      <c r="I31" s="446" t="s">
        <v>113</v>
      </c>
      <c r="J31" s="446" t="s">
        <v>114</v>
      </c>
      <c r="K31" s="465" t="s">
        <v>115</v>
      </c>
      <c r="N31" s="664"/>
      <c r="O31" s="665"/>
      <c r="P31" s="665"/>
      <c r="Q31" s="665"/>
      <c r="R31" s="665"/>
      <c r="S31" s="665"/>
      <c r="T31" s="666"/>
      <c r="W31" s="503"/>
    </row>
    <row r="32" spans="2:23" ht="33" customHeight="1">
      <c r="B32" s="192" t="s">
        <v>292</v>
      </c>
      <c r="C32" s="255">
        <v>12</v>
      </c>
      <c r="D32" s="256">
        <v>0</v>
      </c>
      <c r="E32" s="105">
        <f>C32*D32</f>
        <v>0</v>
      </c>
      <c r="H32" s="259" t="s">
        <v>117</v>
      </c>
      <c r="I32" s="255">
        <v>12</v>
      </c>
      <c r="J32" s="256">
        <v>0</v>
      </c>
      <c r="K32" s="105">
        <f>I32*J32</f>
        <v>0</v>
      </c>
      <c r="N32" s="664"/>
      <c r="O32" s="665"/>
      <c r="P32" s="665"/>
      <c r="Q32" s="665"/>
      <c r="R32" s="665"/>
      <c r="S32" s="665"/>
      <c r="T32" s="666"/>
      <c r="W32" s="503"/>
    </row>
    <row r="33" spans="2:23">
      <c r="B33" s="193" t="s">
        <v>118</v>
      </c>
      <c r="C33" s="227">
        <v>12</v>
      </c>
      <c r="D33" s="229">
        <v>0</v>
      </c>
      <c r="E33" s="101">
        <f>C33*D33</f>
        <v>0</v>
      </c>
      <c r="H33" s="260" t="s">
        <v>119</v>
      </c>
      <c r="I33" s="227">
        <v>12</v>
      </c>
      <c r="J33" s="229">
        <v>0</v>
      </c>
      <c r="K33" s="101">
        <f>I33*J33</f>
        <v>0</v>
      </c>
      <c r="N33" s="664"/>
      <c r="O33" s="665"/>
      <c r="P33" s="665"/>
      <c r="Q33" s="665"/>
      <c r="R33" s="665"/>
      <c r="S33" s="665"/>
      <c r="T33" s="666"/>
      <c r="W33" s="503"/>
    </row>
    <row r="34" spans="2:23">
      <c r="B34" s="193" t="s">
        <v>120</v>
      </c>
      <c r="C34" s="227">
        <v>12</v>
      </c>
      <c r="D34" s="229">
        <v>0</v>
      </c>
      <c r="E34" s="101">
        <f>C34*D34</f>
        <v>0</v>
      </c>
      <c r="H34" s="260" t="s">
        <v>121</v>
      </c>
      <c r="I34" s="227">
        <v>12</v>
      </c>
      <c r="J34" s="229">
        <v>0</v>
      </c>
      <c r="K34" s="101">
        <f>I34*J34</f>
        <v>0</v>
      </c>
      <c r="N34" s="664"/>
      <c r="O34" s="665"/>
      <c r="P34" s="665"/>
      <c r="Q34" s="665"/>
      <c r="R34" s="665"/>
      <c r="S34" s="665"/>
      <c r="T34" s="666"/>
      <c r="W34" s="503"/>
    </row>
    <row r="35" spans="2:23" ht="42" customHeight="1" thickBot="1">
      <c r="B35" s="232" t="s">
        <v>122</v>
      </c>
      <c r="C35" s="227">
        <v>12</v>
      </c>
      <c r="D35" s="229">
        <v>0</v>
      </c>
      <c r="E35" s="101">
        <f>C35*D35</f>
        <v>0</v>
      </c>
      <c r="H35" s="295" t="s">
        <v>123</v>
      </c>
      <c r="I35" s="227">
        <v>12</v>
      </c>
      <c r="J35" s="229">
        <v>0</v>
      </c>
      <c r="K35" s="101">
        <f>I35*J35</f>
        <v>0</v>
      </c>
      <c r="N35" s="664"/>
      <c r="O35" s="665"/>
      <c r="P35" s="665"/>
      <c r="Q35" s="665"/>
      <c r="R35" s="665"/>
      <c r="S35" s="665"/>
      <c r="T35" s="666"/>
      <c r="W35" s="503"/>
    </row>
    <row r="36" spans="2:23" ht="27.75" customHeight="1" thickBot="1">
      <c r="B36" s="199" t="s">
        <v>124</v>
      </c>
      <c r="C36" s="258">
        <v>12</v>
      </c>
      <c r="D36" s="238">
        <v>0</v>
      </c>
      <c r="E36" s="103">
        <f>C36*D36</f>
        <v>0</v>
      </c>
      <c r="H36" s="295"/>
      <c r="I36" s="258">
        <v>0</v>
      </c>
      <c r="J36" s="258">
        <v>0</v>
      </c>
      <c r="K36" s="130">
        <f>I36*J36</f>
        <v>0</v>
      </c>
      <c r="N36" s="667"/>
      <c r="O36" s="668"/>
      <c r="P36" s="668"/>
      <c r="Q36" s="668"/>
      <c r="R36" s="668"/>
      <c r="S36" s="668"/>
      <c r="T36" s="669"/>
      <c r="W36" s="503"/>
    </row>
    <row r="37" spans="2:23" ht="15.75" thickBot="1">
      <c r="B37" s="278" t="s">
        <v>88</v>
      </c>
      <c r="C37" s="217"/>
      <c r="D37" s="219">
        <f>SUM(D32:D36)</f>
        <v>0</v>
      </c>
      <c r="E37" s="221">
        <f>SUM(E32:E36)</f>
        <v>0</v>
      </c>
      <c r="H37" s="197" t="s">
        <v>88</v>
      </c>
      <c r="I37" s="466"/>
      <c r="J37" s="467">
        <f>SUM(J32:J36)</f>
        <v>0</v>
      </c>
      <c r="K37" s="236">
        <f>SUM(K32:K36)</f>
        <v>0</v>
      </c>
      <c r="W37" s="503"/>
    </row>
    <row r="38" spans="2:23">
      <c r="J38" s="18"/>
      <c r="K38" s="18"/>
      <c r="W38" s="503"/>
    </row>
    <row r="39" spans="2:23">
      <c r="W39" s="503"/>
    </row>
    <row r="40" spans="2:23" ht="15.75" thickBot="1">
      <c r="W40" s="503"/>
    </row>
    <row r="41" spans="2:23">
      <c r="B41" s="865" t="s">
        <v>125</v>
      </c>
      <c r="C41" s="866"/>
      <c r="D41" s="866"/>
      <c r="E41" s="867"/>
      <c r="G41" s="862" t="s">
        <v>265</v>
      </c>
      <c r="H41" s="863"/>
      <c r="I41" s="863"/>
      <c r="J41" s="863"/>
      <c r="K41" s="863"/>
      <c r="L41" s="863"/>
      <c r="M41" s="863"/>
      <c r="N41" s="863"/>
      <c r="O41" s="863"/>
      <c r="P41" s="863"/>
      <c r="Q41" s="863"/>
      <c r="R41" s="863"/>
      <c r="S41" s="863"/>
      <c r="T41" s="864"/>
      <c r="U41" s="468"/>
      <c r="W41" s="503"/>
    </row>
    <row r="42" spans="2:23" ht="15.75" thickBot="1">
      <c r="B42" s="445" t="s">
        <v>44</v>
      </c>
      <c r="C42" s="446" t="s">
        <v>113</v>
      </c>
      <c r="D42" s="446" t="s">
        <v>114</v>
      </c>
      <c r="E42" s="465" t="s">
        <v>115</v>
      </c>
      <c r="G42" s="469" t="s">
        <v>44</v>
      </c>
      <c r="H42" s="470" t="s">
        <v>127</v>
      </c>
      <c r="I42" s="470" t="s">
        <v>128</v>
      </c>
      <c r="J42" s="470" t="s">
        <v>129</v>
      </c>
      <c r="K42" s="470" t="s">
        <v>130</v>
      </c>
      <c r="L42" s="470" t="s">
        <v>131</v>
      </c>
      <c r="M42" s="470" t="s">
        <v>132</v>
      </c>
      <c r="N42" s="470" t="s">
        <v>133</v>
      </c>
      <c r="O42" s="470" t="s">
        <v>134</v>
      </c>
      <c r="P42" s="470" t="s">
        <v>135</v>
      </c>
      <c r="Q42" s="470" t="s">
        <v>136</v>
      </c>
      <c r="R42" s="470" t="s">
        <v>137</v>
      </c>
      <c r="S42" s="470" t="s">
        <v>138</v>
      </c>
      <c r="T42" s="471" t="s">
        <v>88</v>
      </c>
      <c r="W42" s="503"/>
    </row>
    <row r="43" spans="2:23">
      <c r="B43" s="192" t="s">
        <v>139</v>
      </c>
      <c r="C43" s="24">
        <v>12</v>
      </c>
      <c r="D43" s="104">
        <f>E43/C43</f>
        <v>0</v>
      </c>
      <c r="E43" s="105">
        <f>L13</f>
        <v>0</v>
      </c>
      <c r="G43" s="269" t="s">
        <v>139</v>
      </c>
      <c r="H43" s="270">
        <f>E43/12</f>
        <v>0</v>
      </c>
      <c r="I43" s="270">
        <f>T43/12</f>
        <v>0</v>
      </c>
      <c r="J43" s="270">
        <f>T43/12</f>
        <v>0</v>
      </c>
      <c r="K43" s="270">
        <f>T43/12</f>
        <v>0</v>
      </c>
      <c r="L43" s="270">
        <f>T43/12</f>
        <v>0</v>
      </c>
      <c r="M43" s="270">
        <f>T43/12</f>
        <v>0</v>
      </c>
      <c r="N43" s="270">
        <f>T43/12</f>
        <v>0</v>
      </c>
      <c r="O43" s="270">
        <f>T43/12</f>
        <v>0</v>
      </c>
      <c r="P43" s="270">
        <f>T43/12</f>
        <v>0</v>
      </c>
      <c r="Q43" s="270">
        <f>T43/12</f>
        <v>0</v>
      </c>
      <c r="R43" s="270">
        <f>T43/12</f>
        <v>0</v>
      </c>
      <c r="S43" s="270">
        <f>T43/12</f>
        <v>0</v>
      </c>
      <c r="T43" s="271">
        <f>E43</f>
        <v>0</v>
      </c>
      <c r="W43" s="503"/>
    </row>
    <row r="44" spans="2:23">
      <c r="B44" s="193" t="s">
        <v>140</v>
      </c>
      <c r="C44" s="4">
        <v>12</v>
      </c>
      <c r="D44" s="6">
        <f>E44/C44</f>
        <v>0</v>
      </c>
      <c r="E44" s="101">
        <f>F27</f>
        <v>0</v>
      </c>
      <c r="G44" s="272" t="s">
        <v>140</v>
      </c>
      <c r="H44" s="43">
        <f>F19/2+F24/2+F26/2</f>
        <v>0</v>
      </c>
      <c r="I44" s="43">
        <f>F23/10+F25/10</f>
        <v>0</v>
      </c>
      <c r="J44" s="43">
        <f>I44</f>
        <v>0</v>
      </c>
      <c r="K44" s="43">
        <f>J44</f>
        <v>0</v>
      </c>
      <c r="L44" s="43">
        <f>K44</f>
        <v>0</v>
      </c>
      <c r="M44" s="43">
        <f>L44</f>
        <v>0</v>
      </c>
      <c r="N44" s="43">
        <f>H44</f>
        <v>0</v>
      </c>
      <c r="O44" s="43">
        <f>M44</f>
        <v>0</v>
      </c>
      <c r="P44" s="43">
        <f>O44</f>
        <v>0</v>
      </c>
      <c r="Q44" s="43">
        <f>P44</f>
        <v>0</v>
      </c>
      <c r="R44" s="43">
        <f>Q44</f>
        <v>0</v>
      </c>
      <c r="S44" s="43">
        <f>R44</f>
        <v>0</v>
      </c>
      <c r="T44" s="233">
        <f>SUM(H44:S44)</f>
        <v>0</v>
      </c>
      <c r="W44" s="503"/>
    </row>
    <row r="45" spans="2:23">
      <c r="B45" s="193" t="s">
        <v>142</v>
      </c>
      <c r="C45" s="4">
        <v>12</v>
      </c>
      <c r="D45" s="6">
        <f>E45/C45</f>
        <v>0</v>
      </c>
      <c r="E45" s="101">
        <f>E37</f>
        <v>0</v>
      </c>
      <c r="G45" s="272" t="s">
        <v>142</v>
      </c>
      <c r="H45" s="43">
        <f>E45/12</f>
        <v>0</v>
      </c>
      <c r="I45" s="43">
        <f>E37/12</f>
        <v>0</v>
      </c>
      <c r="J45" s="43">
        <f>E37/12</f>
        <v>0</v>
      </c>
      <c r="K45" s="43">
        <f>E37/12</f>
        <v>0</v>
      </c>
      <c r="L45" s="43">
        <f>E37/12</f>
        <v>0</v>
      </c>
      <c r="M45" s="43">
        <f>E37/12</f>
        <v>0</v>
      </c>
      <c r="N45" s="43">
        <f>E37/12</f>
        <v>0</v>
      </c>
      <c r="O45" s="43">
        <f>E37/12</f>
        <v>0</v>
      </c>
      <c r="P45" s="43">
        <f>E37/12</f>
        <v>0</v>
      </c>
      <c r="Q45" s="43">
        <f>E37/12</f>
        <v>0</v>
      </c>
      <c r="R45" s="43">
        <f>E37/12</f>
        <v>0</v>
      </c>
      <c r="S45" s="43">
        <f>E37/12</f>
        <v>0</v>
      </c>
      <c r="T45" s="233">
        <f t="shared" ref="T45" si="3">E45</f>
        <v>0</v>
      </c>
      <c r="W45" s="503"/>
    </row>
    <row r="46" spans="2:23">
      <c r="B46" s="193" t="s">
        <v>144</v>
      </c>
      <c r="C46" s="4">
        <v>12</v>
      </c>
      <c r="D46" s="6">
        <f>E46/C46</f>
        <v>0</v>
      </c>
      <c r="E46" s="101">
        <f>K37</f>
        <v>0</v>
      </c>
      <c r="G46" s="272" t="s">
        <v>144</v>
      </c>
      <c r="H46" s="43">
        <f>E46/12</f>
        <v>0</v>
      </c>
      <c r="I46" s="43">
        <f>E46/12</f>
        <v>0</v>
      </c>
      <c r="J46" s="43">
        <f>E46/12</f>
        <v>0</v>
      </c>
      <c r="K46" s="43">
        <f>E46/12</f>
        <v>0</v>
      </c>
      <c r="L46" s="43">
        <f>E46/12</f>
        <v>0</v>
      </c>
      <c r="M46" s="43">
        <f>E46/12</f>
        <v>0</v>
      </c>
      <c r="N46" s="43">
        <f>E46/12</f>
        <v>0</v>
      </c>
      <c r="O46" s="43">
        <f>E46/12</f>
        <v>0</v>
      </c>
      <c r="P46" s="43">
        <f>E46/12</f>
        <v>0</v>
      </c>
      <c r="Q46" s="43">
        <f>E46/12</f>
        <v>0</v>
      </c>
      <c r="R46" s="43">
        <f>E46/12</f>
        <v>0</v>
      </c>
      <c r="S46" s="43">
        <f>E46/12</f>
        <v>0</v>
      </c>
      <c r="T46" s="233">
        <f>SUM(H46:S46)</f>
        <v>0</v>
      </c>
      <c r="W46" s="503"/>
    </row>
    <row r="47" spans="2:23" ht="43.5" thickBot="1">
      <c r="B47" s="264" t="s">
        <v>145</v>
      </c>
      <c r="C47" s="26">
        <v>12</v>
      </c>
      <c r="D47" s="6">
        <f>E47/C47</f>
        <v>0</v>
      </c>
      <c r="E47" s="103">
        <f>L24</f>
        <v>0</v>
      </c>
      <c r="G47" s="264" t="s">
        <v>145</v>
      </c>
      <c r="H47" s="464">
        <f>E47/12</f>
        <v>0</v>
      </c>
      <c r="I47" s="464">
        <f>E47/12</f>
        <v>0</v>
      </c>
      <c r="J47" s="464">
        <f>E47/12</f>
        <v>0</v>
      </c>
      <c r="K47" s="464">
        <f>E47/12</f>
        <v>0</v>
      </c>
      <c r="L47" s="464">
        <f>E47/12</f>
        <v>0</v>
      </c>
      <c r="M47" s="464">
        <f>E47/12</f>
        <v>0</v>
      </c>
      <c r="N47" s="464">
        <f>E47/12</f>
        <v>0</v>
      </c>
      <c r="O47" s="464">
        <f>E47/12</f>
        <v>0</v>
      </c>
      <c r="P47" s="464">
        <f>E47/12</f>
        <v>0</v>
      </c>
      <c r="Q47" s="464">
        <f>E47/12</f>
        <v>0</v>
      </c>
      <c r="R47" s="464">
        <f>E47/12</f>
        <v>0</v>
      </c>
      <c r="S47" s="464">
        <f>E47/12</f>
        <v>0</v>
      </c>
      <c r="T47" s="273">
        <f>SUM(H47:S47)</f>
        <v>0</v>
      </c>
      <c r="W47" s="503"/>
    </row>
    <row r="48" spans="2:23" ht="15.75" thickBot="1">
      <c r="B48" s="278" t="s">
        <v>146</v>
      </c>
      <c r="C48" s="217">
        <v>12</v>
      </c>
      <c r="D48" s="219">
        <f>SUM(D43:D47)</f>
        <v>0</v>
      </c>
      <c r="E48" s="221">
        <f>SUM(E43:E47)</f>
        <v>0</v>
      </c>
      <c r="G48" s="296" t="s">
        <v>146</v>
      </c>
      <c r="H48" s="297">
        <f t="shared" ref="H48:S48" si="4">SUM(H43:H47)</f>
        <v>0</v>
      </c>
      <c r="I48" s="297">
        <f t="shared" si="4"/>
        <v>0</v>
      </c>
      <c r="J48" s="297">
        <f t="shared" si="4"/>
        <v>0</v>
      </c>
      <c r="K48" s="297">
        <f t="shared" si="4"/>
        <v>0</v>
      </c>
      <c r="L48" s="297">
        <f t="shared" si="4"/>
        <v>0</v>
      </c>
      <c r="M48" s="297">
        <f t="shared" si="4"/>
        <v>0</v>
      </c>
      <c r="N48" s="297">
        <f t="shared" si="4"/>
        <v>0</v>
      </c>
      <c r="O48" s="297">
        <f t="shared" si="4"/>
        <v>0</v>
      </c>
      <c r="P48" s="297">
        <f t="shared" si="4"/>
        <v>0</v>
      </c>
      <c r="Q48" s="297">
        <f t="shared" si="4"/>
        <v>0</v>
      </c>
      <c r="R48" s="297">
        <f t="shared" si="4"/>
        <v>0</v>
      </c>
      <c r="S48" s="297">
        <f t="shared" si="4"/>
        <v>0</v>
      </c>
      <c r="T48" s="298">
        <f>SUM(T43:T47)</f>
        <v>0</v>
      </c>
      <c r="W48" s="503"/>
    </row>
    <row r="49" spans="2:23" ht="15.75" thickBot="1">
      <c r="G49" s="299" t="s">
        <v>147</v>
      </c>
      <c r="H49" s="300" t="e">
        <f>H48*100/T48</f>
        <v>#DIV/0!</v>
      </c>
      <c r="I49" s="300" t="e">
        <f>I48*100/T48</f>
        <v>#DIV/0!</v>
      </c>
      <c r="J49" s="300" t="e">
        <f>J48*100/T48</f>
        <v>#DIV/0!</v>
      </c>
      <c r="K49" s="300" t="e">
        <f>K48*100/T48</f>
        <v>#DIV/0!</v>
      </c>
      <c r="L49" s="300" t="e">
        <f>L48*100/T48</f>
        <v>#DIV/0!</v>
      </c>
      <c r="M49" s="300" t="e">
        <f>M48*100/T48</f>
        <v>#DIV/0!</v>
      </c>
      <c r="N49" s="300" t="e">
        <f>N48*100/T48</f>
        <v>#DIV/0!</v>
      </c>
      <c r="O49" s="300" t="e">
        <f>O48*100/T48</f>
        <v>#DIV/0!</v>
      </c>
      <c r="P49" s="300" t="e">
        <f>P48*100/T48</f>
        <v>#DIV/0!</v>
      </c>
      <c r="Q49" s="300" t="e">
        <f>Q48*100/T48</f>
        <v>#DIV/0!</v>
      </c>
      <c r="R49" s="300" t="e">
        <f>R48*100/T48</f>
        <v>#DIV/0!</v>
      </c>
      <c r="S49" s="300" t="e">
        <f>S48*100/T48</f>
        <v>#DIV/0!</v>
      </c>
      <c r="T49" s="301" t="e">
        <f>T48*100/T48</f>
        <v>#DIV/0!</v>
      </c>
      <c r="W49" s="503"/>
    </row>
    <row r="50" spans="2:23" ht="15.75" thickBot="1">
      <c r="W50" s="503"/>
    </row>
    <row r="51" spans="2:23" ht="29.25" customHeight="1" thickBot="1">
      <c r="E51" s="334" t="s">
        <v>148</v>
      </c>
      <c r="F51" s="314">
        <v>0.1</v>
      </c>
      <c r="G51" s="315">
        <v>0.1</v>
      </c>
      <c r="H51" s="315">
        <v>0.1</v>
      </c>
      <c r="I51" s="315">
        <v>0.1</v>
      </c>
      <c r="J51" s="315">
        <v>0.1</v>
      </c>
      <c r="K51" s="315">
        <v>0.1</v>
      </c>
      <c r="L51" s="315">
        <v>0.1</v>
      </c>
      <c r="M51" s="315">
        <v>0.1</v>
      </c>
      <c r="N51" s="315">
        <v>0.1</v>
      </c>
      <c r="O51" s="316">
        <v>0.1</v>
      </c>
      <c r="P51" s="40" t="s">
        <v>10</v>
      </c>
      <c r="Q51" s="661" t="s">
        <v>149</v>
      </c>
      <c r="R51" s="662"/>
      <c r="S51" s="662"/>
      <c r="T51" s="663"/>
      <c r="W51" s="503"/>
    </row>
    <row r="52" spans="2:23" ht="15.75" thickBot="1">
      <c r="B52" s="582" t="s">
        <v>150</v>
      </c>
      <c r="C52" s="583"/>
      <c r="D52" s="584"/>
      <c r="E52" s="317" t="s">
        <v>151</v>
      </c>
      <c r="F52" s="318" t="s">
        <v>152</v>
      </c>
      <c r="G52" s="318" t="s">
        <v>153</v>
      </c>
      <c r="H52" s="318" t="s">
        <v>154</v>
      </c>
      <c r="I52" s="318" t="s">
        <v>155</v>
      </c>
      <c r="J52" s="319" t="s">
        <v>156</v>
      </c>
      <c r="K52" s="319" t="s">
        <v>157</v>
      </c>
      <c r="L52" s="319" t="s">
        <v>158</v>
      </c>
      <c r="M52" s="319" t="s">
        <v>159</v>
      </c>
      <c r="N52" s="319" t="s">
        <v>160</v>
      </c>
      <c r="O52" s="320" t="s">
        <v>161</v>
      </c>
      <c r="Q52" s="664"/>
      <c r="R52" s="665"/>
      <c r="S52" s="665"/>
      <c r="T52" s="666"/>
      <c r="W52" s="503"/>
    </row>
    <row r="53" spans="2:23" ht="15.75" thickBot="1">
      <c r="B53" s="871" t="s">
        <v>162</v>
      </c>
      <c r="C53" s="872"/>
      <c r="D53" s="873"/>
      <c r="E53" s="321"/>
      <c r="F53" s="322">
        <f>'inversiones cría'!D32+'inversiones cría'!D33</f>
        <v>0</v>
      </c>
      <c r="G53" s="322">
        <f t="shared" ref="G53:O53" si="5">F72+F73+F74+F75+F76+F77+F78+F79+F80+F82+F83</f>
        <v>0</v>
      </c>
      <c r="H53" s="323">
        <f t="shared" si="5"/>
        <v>0</v>
      </c>
      <c r="I53" s="323">
        <f t="shared" si="5"/>
        <v>0</v>
      </c>
      <c r="J53" s="324">
        <f t="shared" si="5"/>
        <v>0</v>
      </c>
      <c r="K53" s="322">
        <f t="shared" si="5"/>
        <v>0</v>
      </c>
      <c r="L53" s="322">
        <f t="shared" si="5"/>
        <v>0</v>
      </c>
      <c r="M53" s="323">
        <f t="shared" si="5"/>
        <v>0</v>
      </c>
      <c r="N53" s="325">
        <f t="shared" si="5"/>
        <v>0</v>
      </c>
      <c r="O53" s="326">
        <f t="shared" si="5"/>
        <v>0</v>
      </c>
      <c r="Q53" s="667"/>
      <c r="R53" s="668"/>
      <c r="S53" s="668"/>
      <c r="T53" s="669"/>
      <c r="W53" s="503"/>
    </row>
    <row r="54" spans="2:23">
      <c r="B54" s="859" t="s">
        <v>163</v>
      </c>
      <c r="C54" s="860"/>
      <c r="D54" s="861"/>
      <c r="E54" s="12"/>
      <c r="F54" s="14">
        <f>+'Inversiones Ciclo Completo'!F50</f>
        <v>0</v>
      </c>
      <c r="G54" s="14"/>
      <c r="H54" s="14"/>
      <c r="I54" s="14"/>
      <c r="J54" s="14"/>
      <c r="K54" s="14"/>
      <c r="L54" s="14"/>
      <c r="M54" s="14"/>
      <c r="N54" s="14"/>
      <c r="O54" s="335"/>
      <c r="W54" s="503"/>
    </row>
    <row r="55" spans="2:23">
      <c r="B55" s="859" t="s">
        <v>164</v>
      </c>
      <c r="C55" s="860"/>
      <c r="D55" s="861"/>
      <c r="E55" s="10"/>
      <c r="F55" s="14">
        <f>E43</f>
        <v>0</v>
      </c>
      <c r="G55" s="45">
        <f>F55*(1+F$51)</f>
        <v>0</v>
      </c>
      <c r="H55" s="45">
        <f t="shared" ref="H55:O55" si="6">G55*(1+G$51)</f>
        <v>0</v>
      </c>
      <c r="I55" s="45">
        <f t="shared" si="6"/>
        <v>0</v>
      </c>
      <c r="J55" s="45">
        <f t="shared" si="6"/>
        <v>0</v>
      </c>
      <c r="K55" s="45">
        <f t="shared" si="6"/>
        <v>0</v>
      </c>
      <c r="L55" s="45">
        <f t="shared" si="6"/>
        <v>0</v>
      </c>
      <c r="M55" s="45">
        <f t="shared" si="6"/>
        <v>0</v>
      </c>
      <c r="N55" s="45">
        <f t="shared" si="6"/>
        <v>0</v>
      </c>
      <c r="O55" s="336">
        <f t="shared" si="6"/>
        <v>0</v>
      </c>
      <c r="W55" s="503"/>
    </row>
    <row r="56" spans="2:23">
      <c r="B56" s="859" t="s">
        <v>165</v>
      </c>
      <c r="C56" s="860"/>
      <c r="D56" s="861"/>
      <c r="E56" s="12"/>
      <c r="F56" s="15">
        <f>E44</f>
        <v>0</v>
      </c>
      <c r="G56" s="45">
        <f t="shared" ref="G56:O58" si="7">F56*(1+F$51)</f>
        <v>0</v>
      </c>
      <c r="H56" s="45">
        <f t="shared" si="7"/>
        <v>0</v>
      </c>
      <c r="I56" s="45">
        <f t="shared" si="7"/>
        <v>0</v>
      </c>
      <c r="J56" s="45">
        <f t="shared" si="7"/>
        <v>0</v>
      </c>
      <c r="K56" s="45">
        <f t="shared" si="7"/>
        <v>0</v>
      </c>
      <c r="L56" s="45">
        <f t="shared" si="7"/>
        <v>0</v>
      </c>
      <c r="M56" s="45">
        <f t="shared" si="7"/>
        <v>0</v>
      </c>
      <c r="N56" s="45">
        <f t="shared" si="7"/>
        <v>0</v>
      </c>
      <c r="O56" s="336">
        <f t="shared" si="7"/>
        <v>0</v>
      </c>
      <c r="W56" s="503"/>
    </row>
    <row r="57" spans="2:23">
      <c r="B57" s="859" t="s">
        <v>166</v>
      </c>
      <c r="C57" s="860"/>
      <c r="D57" s="861"/>
      <c r="E57" s="12"/>
      <c r="F57" s="14">
        <f>E45</f>
        <v>0</v>
      </c>
      <c r="G57" s="45">
        <f t="shared" si="7"/>
        <v>0</v>
      </c>
      <c r="H57" s="45">
        <f t="shared" si="7"/>
        <v>0</v>
      </c>
      <c r="I57" s="45">
        <f t="shared" si="7"/>
        <v>0</v>
      </c>
      <c r="J57" s="45">
        <f t="shared" si="7"/>
        <v>0</v>
      </c>
      <c r="K57" s="45">
        <f t="shared" si="7"/>
        <v>0</v>
      </c>
      <c r="L57" s="45">
        <f t="shared" si="7"/>
        <v>0</v>
      </c>
      <c r="M57" s="45">
        <f t="shared" si="7"/>
        <v>0</v>
      </c>
      <c r="N57" s="45">
        <f t="shared" si="7"/>
        <v>0</v>
      </c>
      <c r="O57" s="336">
        <f t="shared" si="7"/>
        <v>0</v>
      </c>
      <c r="W57" s="503"/>
    </row>
    <row r="58" spans="2:23">
      <c r="B58" s="859" t="s">
        <v>167</v>
      </c>
      <c r="C58" s="860"/>
      <c r="D58" s="861"/>
      <c r="E58" s="12"/>
      <c r="F58" s="14">
        <f>K37</f>
        <v>0</v>
      </c>
      <c r="G58" s="45">
        <f t="shared" si="7"/>
        <v>0</v>
      </c>
      <c r="H58" s="45">
        <f t="shared" si="7"/>
        <v>0</v>
      </c>
      <c r="I58" s="45">
        <f t="shared" si="7"/>
        <v>0</v>
      </c>
      <c r="J58" s="45">
        <f t="shared" si="7"/>
        <v>0</v>
      </c>
      <c r="K58" s="45">
        <f t="shared" si="7"/>
        <v>0</v>
      </c>
      <c r="L58" s="45">
        <f t="shared" si="7"/>
        <v>0</v>
      </c>
      <c r="M58" s="45">
        <f t="shared" si="7"/>
        <v>0</v>
      </c>
      <c r="N58" s="45">
        <f t="shared" si="7"/>
        <v>0</v>
      </c>
      <c r="O58" s="336">
        <f t="shared" si="7"/>
        <v>0</v>
      </c>
      <c r="W58" s="503"/>
    </row>
    <row r="59" spans="2:23">
      <c r="B59" s="859" t="s">
        <v>145</v>
      </c>
      <c r="C59" s="860"/>
      <c r="D59" s="861"/>
      <c r="E59" s="12"/>
      <c r="F59" s="11">
        <f>E47</f>
        <v>0</v>
      </c>
      <c r="G59" s="11">
        <f>F59*(1+F$51)</f>
        <v>0</v>
      </c>
      <c r="H59" s="11">
        <f>G59*(1+F$51)</f>
        <v>0</v>
      </c>
      <c r="I59" s="11">
        <f>H59*(1+F$51)</f>
        <v>0</v>
      </c>
      <c r="J59" s="20">
        <f>I59*(1+F$51)</f>
        <v>0</v>
      </c>
      <c r="K59" s="11">
        <f>J59*(1+F$51)</f>
        <v>0</v>
      </c>
      <c r="L59" s="11">
        <f>K59*(1+F$51)</f>
        <v>0</v>
      </c>
      <c r="M59" s="11">
        <f>L59*(1+F$51)</f>
        <v>0</v>
      </c>
      <c r="N59" s="11">
        <f>M59*(1+F$51)</f>
        <v>0</v>
      </c>
      <c r="O59" s="327">
        <f>N59*(1+F$51)</f>
        <v>0</v>
      </c>
      <c r="W59" s="503"/>
    </row>
    <row r="60" spans="2:23">
      <c r="B60" s="859"/>
      <c r="C60" s="860"/>
      <c r="D60" s="861"/>
      <c r="E60" s="12"/>
      <c r="F60" s="11"/>
      <c r="G60" s="11"/>
      <c r="H60" s="11"/>
      <c r="I60" s="11"/>
      <c r="J60" s="20"/>
      <c r="K60" s="13"/>
      <c r="L60" s="13"/>
      <c r="M60" s="9"/>
      <c r="N60" s="11"/>
      <c r="O60" s="327"/>
      <c r="W60" s="503"/>
    </row>
    <row r="61" spans="2:23">
      <c r="B61" s="859"/>
      <c r="C61" s="860"/>
      <c r="D61" s="861"/>
      <c r="E61" s="12"/>
      <c r="F61" s="11"/>
      <c r="G61" s="11"/>
      <c r="H61" s="11"/>
      <c r="I61" s="11"/>
      <c r="J61" s="20"/>
      <c r="K61" s="14"/>
      <c r="L61" s="13"/>
      <c r="M61" s="9"/>
      <c r="N61" s="16"/>
      <c r="O61" s="328"/>
      <c r="W61" s="503"/>
    </row>
    <row r="62" spans="2:23" ht="15.75" thickBot="1">
      <c r="B62" s="634"/>
      <c r="C62" s="635"/>
      <c r="D62" s="636"/>
      <c r="E62" s="329"/>
      <c r="F62" s="330"/>
      <c r="G62" s="330"/>
      <c r="H62" s="330"/>
      <c r="I62" s="330"/>
      <c r="J62" s="331"/>
      <c r="K62" s="332"/>
      <c r="L62" s="330"/>
      <c r="M62" s="330"/>
      <c r="N62" s="330"/>
      <c r="O62" s="333"/>
      <c r="W62" s="503"/>
    </row>
    <row r="63" spans="2:23">
      <c r="B63" s="640" t="s">
        <v>168</v>
      </c>
      <c r="C63" s="641"/>
      <c r="D63" s="642"/>
      <c r="E63" s="305"/>
      <c r="F63" s="306">
        <f t="shared" ref="F63:O63" si="8">SUM(F55:F62)</f>
        <v>0</v>
      </c>
      <c r="G63" s="306">
        <f t="shared" si="8"/>
        <v>0</v>
      </c>
      <c r="H63" s="306">
        <f t="shared" si="8"/>
        <v>0</v>
      </c>
      <c r="I63" s="306">
        <f t="shared" si="8"/>
        <v>0</v>
      </c>
      <c r="J63" s="307">
        <f t="shared" si="8"/>
        <v>0</v>
      </c>
      <c r="K63" s="307">
        <f t="shared" si="8"/>
        <v>0</v>
      </c>
      <c r="L63" s="307">
        <f t="shared" si="8"/>
        <v>0</v>
      </c>
      <c r="M63" s="307">
        <f t="shared" si="8"/>
        <v>0</v>
      </c>
      <c r="N63" s="307">
        <f t="shared" si="8"/>
        <v>0</v>
      </c>
      <c r="O63" s="308">
        <f t="shared" si="8"/>
        <v>0</v>
      </c>
      <c r="W63" s="503"/>
    </row>
    <row r="64" spans="2:23" ht="15.75" thickBot="1">
      <c r="B64" s="634" t="s">
        <v>266</v>
      </c>
      <c r="C64" s="635"/>
      <c r="D64" s="636"/>
      <c r="E64" s="309"/>
      <c r="F64" s="310" t="e">
        <f t="shared" ref="F64:O64" si="9">F63/F53</f>
        <v>#DIV/0!</v>
      </c>
      <c r="G64" s="310" t="e">
        <f t="shared" si="9"/>
        <v>#DIV/0!</v>
      </c>
      <c r="H64" s="310" t="e">
        <f t="shared" si="9"/>
        <v>#DIV/0!</v>
      </c>
      <c r="I64" s="310" t="e">
        <f t="shared" si="9"/>
        <v>#DIV/0!</v>
      </c>
      <c r="J64" s="311" t="e">
        <f t="shared" si="9"/>
        <v>#DIV/0!</v>
      </c>
      <c r="K64" s="311" t="e">
        <f t="shared" si="9"/>
        <v>#DIV/0!</v>
      </c>
      <c r="L64" s="311" t="e">
        <f t="shared" si="9"/>
        <v>#DIV/0!</v>
      </c>
      <c r="M64" s="311" t="e">
        <f t="shared" si="9"/>
        <v>#DIV/0!</v>
      </c>
      <c r="N64" s="312" t="e">
        <f t="shared" si="9"/>
        <v>#DIV/0!</v>
      </c>
      <c r="O64" s="313" t="e">
        <f t="shared" si="9"/>
        <v>#DIV/0!</v>
      </c>
      <c r="W64" s="503"/>
    </row>
    <row r="65" spans="2:23">
      <c r="O65" s="96"/>
      <c r="W65" s="503"/>
    </row>
    <row r="66" spans="2:23">
      <c r="W66" s="503"/>
    </row>
    <row r="67" spans="2:23" ht="15.75" thickBot="1">
      <c r="B67" s="472"/>
      <c r="W67" s="503"/>
    </row>
    <row r="68" spans="2:23" ht="57" customHeight="1" thickBot="1">
      <c r="B68" s="473" t="s">
        <v>170</v>
      </c>
      <c r="C68" s="611" t="s">
        <v>171</v>
      </c>
      <c r="D68" s="611"/>
      <c r="E68" s="611"/>
      <c r="F68" s="611"/>
      <c r="G68" s="611"/>
      <c r="H68" s="611"/>
      <c r="I68" s="611"/>
      <c r="J68" s="611"/>
      <c r="K68" s="611"/>
      <c r="L68" s="611"/>
      <c r="M68" s="611"/>
      <c r="N68" s="611"/>
      <c r="O68" s="612"/>
      <c r="W68" s="503"/>
    </row>
    <row r="69" spans="2:23" ht="31.5" customHeight="1">
      <c r="B69" s="839" t="s">
        <v>172</v>
      </c>
      <c r="C69" s="839"/>
      <c r="D69" s="840"/>
      <c r="E69" s="97" t="s">
        <v>151</v>
      </c>
      <c r="F69" s="495">
        <v>1</v>
      </c>
      <c r="G69" s="274">
        <v>0.6</v>
      </c>
      <c r="H69" s="274">
        <v>0.6</v>
      </c>
      <c r="I69" s="274">
        <v>0.6</v>
      </c>
      <c r="J69" s="274">
        <v>0.6</v>
      </c>
      <c r="K69" s="274">
        <v>0.6</v>
      </c>
      <c r="L69" s="274">
        <v>0.6</v>
      </c>
      <c r="M69" s="274">
        <v>0.6</v>
      </c>
      <c r="N69" s="274">
        <v>0.6</v>
      </c>
      <c r="O69" s="274">
        <v>0.6</v>
      </c>
      <c r="P69" s="40" t="s">
        <v>10</v>
      </c>
      <c r="Q69" s="679" t="s">
        <v>173</v>
      </c>
      <c r="R69" s="680"/>
      <c r="S69" s="681"/>
      <c r="W69" s="503"/>
    </row>
    <row r="70" spans="2:23" ht="21" customHeight="1">
      <c r="B70" s="839" t="s">
        <v>174</v>
      </c>
      <c r="C70" s="839"/>
      <c r="D70" s="840"/>
      <c r="E70" s="7"/>
      <c r="F70" s="474">
        <f>365/(F69)</f>
        <v>365</v>
      </c>
      <c r="G70" s="474">
        <f>365/(G69)</f>
        <v>608.33333333333337</v>
      </c>
      <c r="H70" s="474">
        <f t="shared" ref="H70:O70" si="10">365/(H69)</f>
        <v>608.33333333333337</v>
      </c>
      <c r="I70" s="474">
        <f t="shared" si="10"/>
        <v>608.33333333333337</v>
      </c>
      <c r="J70" s="474">
        <f t="shared" si="10"/>
        <v>608.33333333333337</v>
      </c>
      <c r="K70" s="474">
        <f t="shared" si="10"/>
        <v>608.33333333333337</v>
      </c>
      <c r="L70" s="474">
        <f t="shared" si="10"/>
        <v>608.33333333333337</v>
      </c>
      <c r="M70" s="474">
        <f t="shared" si="10"/>
        <v>608.33333333333337</v>
      </c>
      <c r="N70" s="474">
        <f t="shared" si="10"/>
        <v>608.33333333333337</v>
      </c>
      <c r="O70" s="474">
        <f t="shared" si="10"/>
        <v>608.33333333333337</v>
      </c>
      <c r="Q70" s="682"/>
      <c r="R70" s="683"/>
      <c r="S70" s="684"/>
      <c r="W70" s="503"/>
    </row>
    <row r="71" spans="2:23" ht="21" customHeight="1" thickBot="1">
      <c r="B71" s="839" t="s">
        <v>73</v>
      </c>
      <c r="C71" s="839"/>
      <c r="D71" s="840"/>
      <c r="E71" s="7" t="s">
        <v>151</v>
      </c>
      <c r="F71" s="8" t="s">
        <v>152</v>
      </c>
      <c r="G71" s="8" t="s">
        <v>153</v>
      </c>
      <c r="H71" s="8" t="s">
        <v>154</v>
      </c>
      <c r="I71" s="8" t="s">
        <v>155</v>
      </c>
      <c r="J71" s="8" t="s">
        <v>156</v>
      </c>
      <c r="K71" s="8" t="s">
        <v>157</v>
      </c>
      <c r="L71" s="8" t="s">
        <v>158</v>
      </c>
      <c r="M71" s="8" t="s">
        <v>159</v>
      </c>
      <c r="N71" s="21" t="s">
        <v>160</v>
      </c>
      <c r="O71" s="21" t="s">
        <v>161</v>
      </c>
      <c r="Q71" s="685"/>
      <c r="R71" s="686"/>
      <c r="S71" s="687"/>
      <c r="W71" s="503"/>
    </row>
    <row r="72" spans="2:23">
      <c r="B72" s="855" t="s">
        <v>175</v>
      </c>
      <c r="C72" s="853"/>
      <c r="D72" s="854"/>
      <c r="E72" s="4"/>
      <c r="F72" s="4">
        <f>'Inversiones Ciclo Completo'!D34</f>
        <v>0</v>
      </c>
      <c r="G72" s="33">
        <f>F72</f>
        <v>0</v>
      </c>
      <c r="H72" s="33">
        <f>G72</f>
        <v>0</v>
      </c>
      <c r="I72" s="33">
        <f>H72+(H76-H80)</f>
        <v>0</v>
      </c>
      <c r="J72" s="33">
        <f>I72+(I76-I80)</f>
        <v>0</v>
      </c>
      <c r="K72" s="34">
        <f>J72+(J76-J80-J82)</f>
        <v>0</v>
      </c>
      <c r="L72" s="33">
        <f>K72+(K76-K80-K82)</f>
        <v>0</v>
      </c>
      <c r="M72" s="33">
        <f>L72+(L76-L80-L82)</f>
        <v>0</v>
      </c>
      <c r="N72" s="33">
        <f>M72+(M76-M80-M82)</f>
        <v>0</v>
      </c>
      <c r="O72" s="33">
        <f>N72+(N76-N80-N82)</f>
        <v>0</v>
      </c>
      <c r="W72" s="503"/>
    </row>
    <row r="73" spans="2:23" ht="15.75" thickBot="1">
      <c r="B73" s="856" t="s">
        <v>293</v>
      </c>
      <c r="C73" s="857"/>
      <c r="D73" s="858"/>
      <c r="E73" s="17"/>
      <c r="F73" s="35">
        <f>'Inversiones Ciclo Completo'!D33</f>
        <v>0</v>
      </c>
      <c r="G73" s="35">
        <f>F73+(F79-F81)</f>
        <v>0</v>
      </c>
      <c r="H73" s="35">
        <f>G73+(G79-G81)</f>
        <v>0</v>
      </c>
      <c r="I73" s="35">
        <f>H73+(H79-H81)</f>
        <v>0</v>
      </c>
      <c r="J73" s="35">
        <f>I73+(I79-I81)</f>
        <v>0</v>
      </c>
      <c r="K73" s="35">
        <f>J73+(J79-J81)</f>
        <v>0</v>
      </c>
      <c r="L73" s="35">
        <f>K73+(K79-K81-K83)</f>
        <v>0</v>
      </c>
      <c r="M73" s="35">
        <f>L73+(L79-L81-L83)</f>
        <v>0</v>
      </c>
      <c r="N73" s="35">
        <f>M73+(M79-M81-M83)</f>
        <v>0</v>
      </c>
      <c r="O73" s="35">
        <f>N73+(N79-N81-N83)</f>
        <v>0</v>
      </c>
      <c r="W73" s="503"/>
    </row>
    <row r="74" spans="2:23">
      <c r="B74" s="849" t="s">
        <v>177</v>
      </c>
      <c r="C74" s="850"/>
      <c r="D74" s="851"/>
      <c r="E74" s="24"/>
      <c r="F74" s="206">
        <f t="shared" ref="F74:O74" si="11">ROUND(F73*F69/2,0)</f>
        <v>0</v>
      </c>
      <c r="G74" s="475">
        <f t="shared" si="11"/>
        <v>0</v>
      </c>
      <c r="H74" s="452">
        <f t="shared" si="11"/>
        <v>0</v>
      </c>
      <c r="I74" s="82">
        <f t="shared" si="11"/>
        <v>0</v>
      </c>
      <c r="J74" s="476">
        <f t="shared" si="11"/>
        <v>0</v>
      </c>
      <c r="K74" s="475">
        <f t="shared" si="11"/>
        <v>0</v>
      </c>
      <c r="L74" s="477">
        <f t="shared" si="11"/>
        <v>0</v>
      </c>
      <c r="M74" s="478">
        <f t="shared" si="11"/>
        <v>0</v>
      </c>
      <c r="N74" s="476">
        <f t="shared" si="11"/>
        <v>0</v>
      </c>
      <c r="O74" s="25">
        <f t="shared" si="11"/>
        <v>0</v>
      </c>
      <c r="W74" s="503"/>
    </row>
    <row r="75" spans="2:23">
      <c r="B75" s="852" t="s">
        <v>178</v>
      </c>
      <c r="C75" s="853"/>
      <c r="D75" s="854"/>
      <c r="E75" s="4"/>
      <c r="F75" s="4">
        <f>'Inversiones Ciclo Completo'!D37</f>
        <v>0</v>
      </c>
      <c r="G75" s="476">
        <f t="shared" ref="G75:O75" si="12">F74</f>
        <v>0</v>
      </c>
      <c r="H75" s="475">
        <f t="shared" si="12"/>
        <v>0</v>
      </c>
      <c r="I75" s="452">
        <f t="shared" si="12"/>
        <v>0</v>
      </c>
      <c r="J75" s="478">
        <f t="shared" si="12"/>
        <v>0</v>
      </c>
      <c r="K75" s="476">
        <f t="shared" si="12"/>
        <v>0</v>
      </c>
      <c r="L75" s="475">
        <f t="shared" si="12"/>
        <v>0</v>
      </c>
      <c r="M75" s="452">
        <f t="shared" si="12"/>
        <v>0</v>
      </c>
      <c r="N75" s="478">
        <f t="shared" si="12"/>
        <v>0</v>
      </c>
      <c r="O75" s="476">
        <f t="shared" si="12"/>
        <v>0</v>
      </c>
      <c r="W75" s="503"/>
    </row>
    <row r="76" spans="2:23" ht="15.75" thickBot="1">
      <c r="B76" s="890" t="s">
        <v>179</v>
      </c>
      <c r="C76" s="891"/>
      <c r="D76" s="892"/>
      <c r="E76" s="26"/>
      <c r="F76" s="26">
        <f>'Inversiones Ciclo Completo'!D38</f>
        <v>0</v>
      </c>
      <c r="G76" s="26">
        <f>F75</f>
        <v>0</v>
      </c>
      <c r="H76" s="479">
        <f t="shared" ref="H76:O76" si="13">G75</f>
        <v>0</v>
      </c>
      <c r="I76" s="480">
        <f t="shared" si="13"/>
        <v>0</v>
      </c>
      <c r="J76" s="452">
        <f t="shared" si="13"/>
        <v>0</v>
      </c>
      <c r="K76" s="481">
        <f t="shared" si="13"/>
        <v>0</v>
      </c>
      <c r="L76" s="479">
        <f t="shared" si="13"/>
        <v>0</v>
      </c>
      <c r="M76" s="475">
        <f t="shared" si="13"/>
        <v>0</v>
      </c>
      <c r="N76" s="212">
        <f t="shared" si="13"/>
        <v>0</v>
      </c>
      <c r="O76" s="481">
        <f t="shared" si="13"/>
        <v>0</v>
      </c>
      <c r="W76" s="503"/>
    </row>
    <row r="77" spans="2:23">
      <c r="B77" s="849" t="s">
        <v>55</v>
      </c>
      <c r="C77" s="850"/>
      <c r="D77" s="851"/>
      <c r="E77" s="24"/>
      <c r="F77" s="27">
        <f t="shared" ref="F77:O77" si="14">ROUNDDOWN(F73*F69/2,0)</f>
        <v>0</v>
      </c>
      <c r="G77" s="482">
        <f t="shared" si="14"/>
        <v>0</v>
      </c>
      <c r="H77" s="452">
        <f t="shared" si="14"/>
        <v>0</v>
      </c>
      <c r="I77" s="483">
        <f t="shared" si="14"/>
        <v>0</v>
      </c>
      <c r="J77" s="22">
        <f t="shared" si="14"/>
        <v>0</v>
      </c>
      <c r="K77" s="482">
        <f t="shared" si="14"/>
        <v>0</v>
      </c>
      <c r="L77" s="477">
        <f t="shared" si="14"/>
        <v>0</v>
      </c>
      <c r="M77" s="484">
        <f t="shared" si="14"/>
        <v>0</v>
      </c>
      <c r="N77" s="22">
        <f t="shared" si="14"/>
        <v>0</v>
      </c>
      <c r="O77" s="485">
        <f t="shared" si="14"/>
        <v>0</v>
      </c>
      <c r="W77" s="503"/>
    </row>
    <row r="78" spans="2:23">
      <c r="B78" s="852" t="s">
        <v>21</v>
      </c>
      <c r="C78" s="853"/>
      <c r="D78" s="854"/>
      <c r="E78" s="4"/>
      <c r="F78" s="4">
        <f>'Inversiones Ciclo Completo'!D40</f>
        <v>0</v>
      </c>
      <c r="G78" s="32">
        <f>F77</f>
        <v>0</v>
      </c>
      <c r="H78" s="486">
        <f>G77</f>
        <v>0</v>
      </c>
      <c r="I78" s="452">
        <f t="shared" ref="I78:J79" si="15">H77</f>
        <v>0</v>
      </c>
      <c r="J78" s="484">
        <f t="shared" ref="J78:O78" si="16">I77</f>
        <v>0</v>
      </c>
      <c r="K78" s="22">
        <f t="shared" si="16"/>
        <v>0</v>
      </c>
      <c r="L78" s="482">
        <f t="shared" si="16"/>
        <v>0</v>
      </c>
      <c r="M78" s="452">
        <f t="shared" si="16"/>
        <v>0</v>
      </c>
      <c r="N78" s="484">
        <f t="shared" si="16"/>
        <v>0</v>
      </c>
      <c r="O78" s="22">
        <f t="shared" si="16"/>
        <v>0</v>
      </c>
      <c r="W78" s="503"/>
    </row>
    <row r="79" spans="2:23" ht="15.75" thickBot="1">
      <c r="B79" s="845" t="s">
        <v>294</v>
      </c>
      <c r="C79" s="846"/>
      <c r="D79" s="847"/>
      <c r="E79" s="26"/>
      <c r="F79" s="26">
        <f>'Inversiones Ciclo Completo'!D41</f>
        <v>0</v>
      </c>
      <c r="G79" s="75">
        <f>F78</f>
        <v>0</v>
      </c>
      <c r="H79" s="32">
        <f>G78</f>
        <v>0</v>
      </c>
      <c r="I79" s="487">
        <f t="shared" si="15"/>
        <v>0</v>
      </c>
      <c r="J79" s="452">
        <f t="shared" si="15"/>
        <v>0</v>
      </c>
      <c r="K79" s="484">
        <f>J78</f>
        <v>0</v>
      </c>
      <c r="L79" s="453">
        <f>K78</f>
        <v>0</v>
      </c>
      <c r="M79" s="482">
        <f>L78</f>
        <v>0</v>
      </c>
      <c r="N79" s="452">
        <f>M78</f>
        <v>0</v>
      </c>
      <c r="O79" s="488">
        <f>N78</f>
        <v>0</v>
      </c>
      <c r="W79" s="503"/>
    </row>
    <row r="80" spans="2:23">
      <c r="B80" s="848" t="s">
        <v>295</v>
      </c>
      <c r="C80" s="848"/>
      <c r="D80" s="848"/>
      <c r="E80" s="23"/>
      <c r="F80" s="36">
        <f>F76</f>
        <v>0</v>
      </c>
      <c r="G80" s="36">
        <f>G76</f>
        <v>0</v>
      </c>
      <c r="H80" s="36">
        <f t="shared" ref="H80:O80" si="17">H76/100*98</f>
        <v>0</v>
      </c>
      <c r="I80" s="36">
        <f t="shared" si="17"/>
        <v>0</v>
      </c>
      <c r="J80" s="36">
        <f t="shared" si="17"/>
        <v>0</v>
      </c>
      <c r="K80" s="36">
        <f t="shared" si="17"/>
        <v>0</v>
      </c>
      <c r="L80" s="36">
        <f t="shared" si="17"/>
        <v>0</v>
      </c>
      <c r="M80" s="36">
        <f t="shared" si="17"/>
        <v>0</v>
      </c>
      <c r="N80" s="36">
        <f t="shared" si="17"/>
        <v>0</v>
      </c>
      <c r="O80" s="36">
        <f t="shared" si="17"/>
        <v>0</v>
      </c>
      <c r="W80" s="503"/>
    </row>
    <row r="81" spans="2:23">
      <c r="B81" s="848" t="s">
        <v>296</v>
      </c>
      <c r="C81" s="848"/>
      <c r="D81" s="848"/>
      <c r="E81" s="23"/>
      <c r="F81" s="36">
        <f>F79</f>
        <v>0</v>
      </c>
      <c r="G81" s="36">
        <f>G79</f>
        <v>0</v>
      </c>
      <c r="H81" s="36">
        <f t="shared" ref="H81:O81" si="18">H79/100*80</f>
        <v>0</v>
      </c>
      <c r="I81" s="36">
        <f t="shared" si="18"/>
        <v>0</v>
      </c>
      <c r="J81" s="36">
        <f t="shared" si="18"/>
        <v>0</v>
      </c>
      <c r="K81" s="36">
        <f t="shared" si="18"/>
        <v>0</v>
      </c>
      <c r="L81" s="36">
        <f t="shared" si="18"/>
        <v>0</v>
      </c>
      <c r="M81" s="36">
        <f t="shared" si="18"/>
        <v>0</v>
      </c>
      <c r="N81" s="36">
        <f t="shared" si="18"/>
        <v>0</v>
      </c>
      <c r="O81" s="36">
        <f t="shared" si="18"/>
        <v>0</v>
      </c>
      <c r="W81" s="503"/>
    </row>
    <row r="82" spans="2:23">
      <c r="B82" s="848" t="s">
        <v>182</v>
      </c>
      <c r="C82" s="848"/>
      <c r="D82" s="848"/>
      <c r="E82" s="4"/>
      <c r="F82" s="4">
        <f>'Inversiones Ciclo Completo'!D14</f>
        <v>0</v>
      </c>
      <c r="G82" s="4">
        <f t="shared" ref="G82:I83" si="19">G72-G72</f>
        <v>0</v>
      </c>
      <c r="H82" s="4">
        <f t="shared" si="19"/>
        <v>0</v>
      </c>
      <c r="I82" s="4">
        <f t="shared" si="19"/>
        <v>0</v>
      </c>
      <c r="J82" s="33">
        <f>F72/100*25</f>
        <v>0</v>
      </c>
      <c r="K82" s="33">
        <f>F72/100*25</f>
        <v>0</v>
      </c>
      <c r="L82" s="33">
        <f>F72/100*25</f>
        <v>0</v>
      </c>
      <c r="M82" s="33">
        <f>F72/100*25</f>
        <v>0</v>
      </c>
      <c r="N82" s="33">
        <f>F72/100*25</f>
        <v>0</v>
      </c>
      <c r="O82" s="33">
        <f>F72/100*25</f>
        <v>0</v>
      </c>
      <c r="W82" s="503"/>
    </row>
    <row r="83" spans="2:23">
      <c r="B83" s="848" t="s">
        <v>183</v>
      </c>
      <c r="C83" s="848"/>
      <c r="D83" s="848"/>
      <c r="E83" s="4"/>
      <c r="F83" s="33">
        <f>'Inversiones Ciclo Completo'!D15</f>
        <v>0</v>
      </c>
      <c r="G83" s="33">
        <f t="shared" si="19"/>
        <v>0</v>
      </c>
      <c r="H83" s="33">
        <f t="shared" si="19"/>
        <v>0</v>
      </c>
      <c r="I83" s="33">
        <f t="shared" si="19"/>
        <v>0</v>
      </c>
      <c r="J83" s="33">
        <f>J73-J73</f>
        <v>0</v>
      </c>
      <c r="K83" s="33">
        <f>F73/100*10</f>
        <v>0</v>
      </c>
      <c r="L83" s="33">
        <f>F73/100*10</f>
        <v>0</v>
      </c>
      <c r="M83" s="33">
        <f>F73/100*10</f>
        <v>0</v>
      </c>
      <c r="N83" s="33">
        <f>F73/100*10</f>
        <v>0</v>
      </c>
      <c r="O83" s="33">
        <f>F73/100*10</f>
        <v>0</v>
      </c>
      <c r="W83" s="503"/>
    </row>
    <row r="84" spans="2:23">
      <c r="B84" s="848" t="s">
        <v>184</v>
      </c>
      <c r="C84" s="848"/>
      <c r="D84" s="848"/>
      <c r="E84" s="4"/>
      <c r="F84" s="33">
        <f>F80+F81+F82+F83</f>
        <v>0</v>
      </c>
      <c r="G84" s="33">
        <f>G80+G81+G82+G83</f>
        <v>0</v>
      </c>
      <c r="H84" s="33">
        <f t="shared" ref="H84:O84" si="20">H80+H81+H82+H83</f>
        <v>0</v>
      </c>
      <c r="I84" s="33">
        <f t="shared" si="20"/>
        <v>0</v>
      </c>
      <c r="J84" s="33">
        <f t="shared" si="20"/>
        <v>0</v>
      </c>
      <c r="K84" s="33">
        <f t="shared" si="20"/>
        <v>0</v>
      </c>
      <c r="L84" s="33">
        <f t="shared" si="20"/>
        <v>0</v>
      </c>
      <c r="M84" s="33">
        <f t="shared" si="20"/>
        <v>0</v>
      </c>
      <c r="N84" s="33">
        <f t="shared" si="20"/>
        <v>0</v>
      </c>
      <c r="O84" s="33">
        <f t="shared" si="20"/>
        <v>0</v>
      </c>
      <c r="W84" s="503"/>
    </row>
    <row r="85" spans="2:23">
      <c r="B85" s="489"/>
      <c r="C85" s="489"/>
      <c r="W85" s="503"/>
    </row>
    <row r="86" spans="2:23">
      <c r="B86" s="839" t="s">
        <v>185</v>
      </c>
      <c r="C86" s="839"/>
      <c r="D86" s="840"/>
      <c r="E86" s="7" t="s">
        <v>151</v>
      </c>
      <c r="F86" s="8">
        <v>1</v>
      </c>
      <c r="G86" s="8">
        <v>2</v>
      </c>
      <c r="H86" s="8">
        <v>3</v>
      </c>
      <c r="I86" s="8">
        <v>4</v>
      </c>
      <c r="J86" s="8">
        <v>5</v>
      </c>
      <c r="K86" s="8">
        <v>6</v>
      </c>
      <c r="L86" s="8">
        <v>7</v>
      </c>
      <c r="M86" s="8">
        <v>8</v>
      </c>
      <c r="N86" s="8">
        <v>9</v>
      </c>
      <c r="O86" s="8">
        <v>10</v>
      </c>
      <c r="W86" s="503"/>
    </row>
    <row r="87" spans="2:23">
      <c r="B87" s="841" t="s">
        <v>186</v>
      </c>
      <c r="C87" s="841"/>
      <c r="D87" s="842"/>
      <c r="E87" s="48"/>
      <c r="F87" s="57">
        <v>480</v>
      </c>
      <c r="G87" s="57">
        <v>480</v>
      </c>
      <c r="H87" s="57">
        <v>480</v>
      </c>
      <c r="I87" s="57">
        <v>480</v>
      </c>
      <c r="J87" s="57">
        <v>480</v>
      </c>
      <c r="K87" s="57">
        <v>480</v>
      </c>
      <c r="L87" s="57">
        <v>480</v>
      </c>
      <c r="M87" s="57">
        <v>480</v>
      </c>
      <c r="N87" s="57">
        <v>480</v>
      </c>
      <c r="O87" s="57">
        <v>480</v>
      </c>
      <c r="W87" s="503"/>
    </row>
    <row r="88" spans="2:23">
      <c r="B88" s="839" t="s">
        <v>297</v>
      </c>
      <c r="C88" s="839"/>
      <c r="D88" s="840"/>
      <c r="E88" s="7"/>
      <c r="F88" s="8">
        <f t="shared" ref="F88:O88" si="21">+(F76+F79)*F87</f>
        <v>0</v>
      </c>
      <c r="G88" s="8">
        <f t="shared" si="21"/>
        <v>0</v>
      </c>
      <c r="H88" s="8">
        <f t="shared" si="21"/>
        <v>0</v>
      </c>
      <c r="I88" s="8">
        <f t="shared" si="21"/>
        <v>0</v>
      </c>
      <c r="J88" s="8">
        <f t="shared" si="21"/>
        <v>0</v>
      </c>
      <c r="K88" s="8">
        <f t="shared" si="21"/>
        <v>0</v>
      </c>
      <c r="L88" s="8">
        <f t="shared" si="21"/>
        <v>0</v>
      </c>
      <c r="M88" s="8">
        <f t="shared" si="21"/>
        <v>0</v>
      </c>
      <c r="N88" s="8">
        <f t="shared" si="21"/>
        <v>0</v>
      </c>
      <c r="O88" s="8">
        <f t="shared" si="21"/>
        <v>0</v>
      </c>
      <c r="W88" s="503"/>
    </row>
    <row r="89" spans="2:23">
      <c r="B89" s="839" t="s">
        <v>188</v>
      </c>
      <c r="C89" s="839"/>
      <c r="D89" s="840"/>
      <c r="E89" s="7"/>
      <c r="F89" s="8">
        <f t="shared" ref="F89:O89" si="22">+(F82+F83)*F87*1.2</f>
        <v>0</v>
      </c>
      <c r="G89" s="8">
        <f t="shared" si="22"/>
        <v>0</v>
      </c>
      <c r="H89" s="8">
        <f t="shared" si="22"/>
        <v>0</v>
      </c>
      <c r="I89" s="8">
        <f t="shared" si="22"/>
        <v>0</v>
      </c>
      <c r="J89" s="8">
        <f t="shared" si="22"/>
        <v>0</v>
      </c>
      <c r="K89" s="8">
        <f t="shared" si="22"/>
        <v>0</v>
      </c>
      <c r="L89" s="8">
        <f t="shared" si="22"/>
        <v>0</v>
      </c>
      <c r="M89" s="8">
        <f t="shared" si="22"/>
        <v>0</v>
      </c>
      <c r="N89" s="8">
        <f t="shared" si="22"/>
        <v>0</v>
      </c>
      <c r="O89" s="8">
        <f t="shared" si="22"/>
        <v>0</v>
      </c>
      <c r="W89" s="503"/>
    </row>
    <row r="90" spans="2:23">
      <c r="B90" s="843" t="s">
        <v>189</v>
      </c>
      <c r="C90" s="843"/>
      <c r="D90" s="844"/>
      <c r="E90" s="7"/>
      <c r="F90" s="8" t="e">
        <f>+SUM(F88:F89)/'Inversiones Ciclo Completo'!$D$5</f>
        <v>#DIV/0!</v>
      </c>
      <c r="G90" s="8" t="e">
        <f>+SUM(G88:G89)/'Inversiones Ciclo Completo'!$D$5</f>
        <v>#DIV/0!</v>
      </c>
      <c r="H90" s="8" t="e">
        <f>+SUM(H88:H89)/'Inversiones Ciclo Completo'!$D$5</f>
        <v>#DIV/0!</v>
      </c>
      <c r="I90" s="8" t="e">
        <f>+SUM(I88:I89)/'Inversiones Ciclo Completo'!$D$5</f>
        <v>#DIV/0!</v>
      </c>
      <c r="J90" s="8" t="e">
        <f>+SUM(J88:J89)/'Inversiones Ciclo Completo'!$D$5</f>
        <v>#DIV/0!</v>
      </c>
      <c r="K90" s="8" t="e">
        <f>+SUM(K88:K89)/'Inversiones Ciclo Completo'!$D$5</f>
        <v>#DIV/0!</v>
      </c>
      <c r="L90" s="490" t="e">
        <f>+SUM(L88:L89)/'Inversiones Ciclo Completo'!$D$5</f>
        <v>#DIV/0!</v>
      </c>
      <c r="M90" s="490" t="e">
        <f>+SUM(M88:M89)/'Inversiones Ciclo Completo'!$D$5</f>
        <v>#DIV/0!</v>
      </c>
      <c r="N90" s="490" t="e">
        <f>+SUM(N88:N89)/'Inversiones Ciclo Completo'!$D$5</f>
        <v>#DIV/0!</v>
      </c>
      <c r="O90" s="490" t="e">
        <f>+SUM(O88:O89)/'Inversiones Ciclo Completo'!$D$5</f>
        <v>#DIV/0!</v>
      </c>
      <c r="W90" s="503"/>
    </row>
    <row r="91" spans="2:23">
      <c r="B91" s="839" t="s">
        <v>190</v>
      </c>
      <c r="C91" s="839"/>
      <c r="D91" s="840"/>
      <c r="E91" s="7"/>
      <c r="F91" s="491" t="e">
        <f t="shared" ref="F91:O91" si="23">+F63/SUM(F88,F89)</f>
        <v>#DIV/0!</v>
      </c>
      <c r="G91" s="491" t="e">
        <f t="shared" si="23"/>
        <v>#DIV/0!</v>
      </c>
      <c r="H91" s="491" t="e">
        <f t="shared" si="23"/>
        <v>#DIV/0!</v>
      </c>
      <c r="I91" s="491" t="e">
        <f t="shared" si="23"/>
        <v>#DIV/0!</v>
      </c>
      <c r="J91" s="491" t="e">
        <f t="shared" si="23"/>
        <v>#DIV/0!</v>
      </c>
      <c r="K91" s="491" t="e">
        <f t="shared" si="23"/>
        <v>#DIV/0!</v>
      </c>
      <c r="L91" s="491" t="e">
        <f t="shared" si="23"/>
        <v>#DIV/0!</v>
      </c>
      <c r="M91" s="491" t="e">
        <f t="shared" si="23"/>
        <v>#DIV/0!</v>
      </c>
      <c r="N91" s="491" t="e">
        <f t="shared" si="23"/>
        <v>#DIV/0!</v>
      </c>
      <c r="O91" s="491" t="e">
        <f t="shared" si="23"/>
        <v>#DIV/0!</v>
      </c>
      <c r="W91" s="503"/>
    </row>
    <row r="92" spans="2:23" ht="15.75" thickBot="1">
      <c r="B92" s="839" t="s">
        <v>298</v>
      </c>
      <c r="C92" s="839"/>
      <c r="D92" s="840"/>
      <c r="E92" s="7"/>
      <c r="F92" s="491" t="e">
        <f t="shared" ref="F92:O92" si="24">+F63/365/F73</f>
        <v>#DIV/0!</v>
      </c>
      <c r="G92" s="491" t="e">
        <f t="shared" si="24"/>
        <v>#DIV/0!</v>
      </c>
      <c r="H92" s="491" t="e">
        <f t="shared" si="24"/>
        <v>#DIV/0!</v>
      </c>
      <c r="I92" s="491" t="e">
        <f t="shared" si="24"/>
        <v>#DIV/0!</v>
      </c>
      <c r="J92" s="491" t="e">
        <f t="shared" si="24"/>
        <v>#DIV/0!</v>
      </c>
      <c r="K92" s="491" t="e">
        <f t="shared" si="24"/>
        <v>#DIV/0!</v>
      </c>
      <c r="L92" s="491" t="e">
        <f t="shared" si="24"/>
        <v>#DIV/0!</v>
      </c>
      <c r="M92" s="491" t="e">
        <f t="shared" si="24"/>
        <v>#DIV/0!</v>
      </c>
      <c r="N92" s="491" t="e">
        <f t="shared" si="24"/>
        <v>#DIV/0!</v>
      </c>
      <c r="O92" s="491" t="e">
        <f t="shared" si="24"/>
        <v>#DIV/0!</v>
      </c>
      <c r="W92" s="503"/>
    </row>
    <row r="93" spans="2:23" ht="22.5">
      <c r="B93" s="841" t="s">
        <v>192</v>
      </c>
      <c r="C93" s="841"/>
      <c r="D93" s="842"/>
      <c r="E93" s="48"/>
      <c r="F93" s="492">
        <v>5000</v>
      </c>
      <c r="G93" s="492">
        <v>5000</v>
      </c>
      <c r="H93" s="492">
        <v>5000</v>
      </c>
      <c r="I93" s="492">
        <v>5000</v>
      </c>
      <c r="J93" s="492">
        <v>5000</v>
      </c>
      <c r="K93" s="492">
        <v>5000</v>
      </c>
      <c r="L93" s="492">
        <v>5000</v>
      </c>
      <c r="M93" s="492">
        <v>5000</v>
      </c>
      <c r="N93" s="492">
        <v>5000</v>
      </c>
      <c r="O93" s="492">
        <v>5000</v>
      </c>
      <c r="P93" s="40" t="s">
        <v>10</v>
      </c>
      <c r="Q93" s="652" t="s">
        <v>193</v>
      </c>
      <c r="R93" s="653"/>
      <c r="S93" s="654"/>
      <c r="W93" s="503"/>
    </row>
    <row r="94" spans="2:23">
      <c r="B94" s="839" t="s">
        <v>194</v>
      </c>
      <c r="C94" s="839"/>
      <c r="D94" s="840"/>
      <c r="E94" s="7"/>
      <c r="F94" s="491" t="e">
        <f>+F91/F93</f>
        <v>#DIV/0!</v>
      </c>
      <c r="G94" s="491" t="e">
        <f t="shared" ref="G94:O94" si="25">+G91/G93</f>
        <v>#DIV/0!</v>
      </c>
      <c r="H94" s="491" t="e">
        <f t="shared" si="25"/>
        <v>#DIV/0!</v>
      </c>
      <c r="I94" s="491" t="e">
        <f t="shared" si="25"/>
        <v>#DIV/0!</v>
      </c>
      <c r="J94" s="491" t="e">
        <f t="shared" si="25"/>
        <v>#DIV/0!</v>
      </c>
      <c r="K94" s="491" t="e">
        <f t="shared" si="25"/>
        <v>#DIV/0!</v>
      </c>
      <c r="L94" s="491" t="e">
        <f t="shared" si="25"/>
        <v>#DIV/0!</v>
      </c>
      <c r="M94" s="491" t="e">
        <f t="shared" si="25"/>
        <v>#DIV/0!</v>
      </c>
      <c r="N94" s="491" t="e">
        <f t="shared" si="25"/>
        <v>#DIV/0!</v>
      </c>
      <c r="O94" s="491" t="e">
        <f t="shared" si="25"/>
        <v>#DIV/0!</v>
      </c>
      <c r="Q94" s="655"/>
      <c r="R94" s="656"/>
      <c r="S94" s="657"/>
      <c r="W94" s="503"/>
    </row>
    <row r="95" spans="2:23" ht="15.75" thickBot="1">
      <c r="B95" s="839" t="s">
        <v>195</v>
      </c>
      <c r="C95" s="839"/>
      <c r="D95" s="840"/>
      <c r="E95" s="7"/>
      <c r="F95" s="491" t="e">
        <f>+F92/F93</f>
        <v>#DIV/0!</v>
      </c>
      <c r="G95" s="491" t="e">
        <f t="shared" ref="G95:N95" si="26">+G92/G93</f>
        <v>#DIV/0!</v>
      </c>
      <c r="H95" s="491" t="e">
        <f t="shared" si="26"/>
        <v>#DIV/0!</v>
      </c>
      <c r="I95" s="491" t="e">
        <f t="shared" si="26"/>
        <v>#DIV/0!</v>
      </c>
      <c r="J95" s="491" t="e">
        <f t="shared" si="26"/>
        <v>#DIV/0!</v>
      </c>
      <c r="K95" s="491" t="e">
        <f t="shared" si="26"/>
        <v>#DIV/0!</v>
      </c>
      <c r="L95" s="491" t="e">
        <f t="shared" si="26"/>
        <v>#DIV/0!</v>
      </c>
      <c r="M95" s="491" t="e">
        <f t="shared" si="26"/>
        <v>#DIV/0!</v>
      </c>
      <c r="N95" s="491" t="e">
        <f t="shared" si="26"/>
        <v>#DIV/0!</v>
      </c>
      <c r="O95" s="491" t="e">
        <f>+O92/O93</f>
        <v>#DIV/0!</v>
      </c>
      <c r="Q95" s="658"/>
      <c r="R95" s="659"/>
      <c r="S95" s="660"/>
      <c r="W95" s="503"/>
    </row>
    <row r="96" spans="2:23">
      <c r="W96" s="503"/>
    </row>
    <row r="97" spans="1:23">
      <c r="W97" s="503"/>
    </row>
    <row r="98" spans="1:23">
      <c r="W98" s="503"/>
    </row>
    <row r="99" spans="1:23" ht="15.75" thickBot="1">
      <c r="W99" s="503"/>
    </row>
    <row r="100" spans="1:23" ht="15.75" thickBot="1">
      <c r="A100" s="499"/>
      <c r="B100" s="500"/>
      <c r="C100" s="500"/>
      <c r="D100" s="500"/>
      <c r="E100" s="500"/>
      <c r="F100" s="500"/>
      <c r="G100" s="500"/>
      <c r="H100" s="500"/>
      <c r="I100" s="500"/>
      <c r="J100" s="500"/>
      <c r="K100" s="500"/>
      <c r="L100" s="500"/>
      <c r="M100" s="500"/>
      <c r="N100" s="500"/>
      <c r="O100" s="500"/>
      <c r="P100" s="500"/>
      <c r="Q100" s="500"/>
      <c r="R100" s="500"/>
      <c r="S100" s="500"/>
      <c r="T100" s="500"/>
      <c r="U100" s="500"/>
      <c r="V100" s="501"/>
      <c r="W100" s="504"/>
    </row>
  </sheetData>
  <sheetProtection password="E869" sheet="1" objects="1" scenarios="1"/>
  <mergeCells count="62">
    <mergeCell ref="Q93:S95"/>
    <mergeCell ref="D16:E16"/>
    <mergeCell ref="I17:L17"/>
    <mergeCell ref="J16:K16"/>
    <mergeCell ref="N30:T36"/>
    <mergeCell ref="N21:T25"/>
    <mergeCell ref="B52:D52"/>
    <mergeCell ref="B53:D53"/>
    <mergeCell ref="B54:D54"/>
    <mergeCell ref="B55:D55"/>
    <mergeCell ref="Q51:T53"/>
    <mergeCell ref="B56:D56"/>
    <mergeCell ref="B57:D57"/>
    <mergeCell ref="B58:D58"/>
    <mergeCell ref="B71:D71"/>
    <mergeCell ref="B69:D69"/>
    <mergeCell ref="W2:W100"/>
    <mergeCell ref="A100:V100"/>
    <mergeCell ref="B2:P2"/>
    <mergeCell ref="C68:O68"/>
    <mergeCell ref="B6:L6"/>
    <mergeCell ref="N6:P6"/>
    <mergeCell ref="N8:T13"/>
    <mergeCell ref="N15:T18"/>
    <mergeCell ref="B17:F17"/>
    <mergeCell ref="B74:D74"/>
    <mergeCell ref="B75:D75"/>
    <mergeCell ref="B59:D59"/>
    <mergeCell ref="B30:E30"/>
    <mergeCell ref="H30:K30"/>
    <mergeCell ref="B41:E41"/>
    <mergeCell ref="G41:T41"/>
    <mergeCell ref="B70:D70"/>
    <mergeCell ref="B72:D72"/>
    <mergeCell ref="B73:D73"/>
    <mergeCell ref="B60:D60"/>
    <mergeCell ref="B61:D61"/>
    <mergeCell ref="B62:D62"/>
    <mergeCell ref="B63:D63"/>
    <mergeCell ref="B64:D64"/>
    <mergeCell ref="B81:D81"/>
    <mergeCell ref="B84:D84"/>
    <mergeCell ref="B87:D87"/>
    <mergeCell ref="B77:D77"/>
    <mergeCell ref="B78:D78"/>
    <mergeCell ref="B86:D86"/>
    <mergeCell ref="C29:D29"/>
    <mergeCell ref="I29:J29"/>
    <mergeCell ref="Q69:S71"/>
    <mergeCell ref="B94:D94"/>
    <mergeCell ref="B95:D95"/>
    <mergeCell ref="B93:D93"/>
    <mergeCell ref="B90:D90"/>
    <mergeCell ref="B88:D88"/>
    <mergeCell ref="B89:D89"/>
    <mergeCell ref="B91:D91"/>
    <mergeCell ref="B92:D92"/>
    <mergeCell ref="B76:D76"/>
    <mergeCell ref="B79:D79"/>
    <mergeCell ref="B80:D80"/>
    <mergeCell ref="B82:D82"/>
    <mergeCell ref="B83:D83"/>
  </mergeCells>
  <pageMargins left="0.7" right="0.7" top="0.75" bottom="0.75" header="0.3" footer="0.3"/>
  <pageSetup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U23"/>
  <sheetViews>
    <sheetView zoomScale="84" zoomScaleNormal="84" workbookViewId="0">
      <selection activeCell="C18" sqref="C18"/>
    </sheetView>
  </sheetViews>
  <sheetFormatPr defaultColWidth="11.42578125" defaultRowHeight="15"/>
  <cols>
    <col min="2" max="2" width="18.140625" customWidth="1"/>
    <col min="3" max="3" width="13.5703125" customWidth="1"/>
    <col min="4" max="4" width="13.140625" customWidth="1"/>
    <col min="5" max="12" width="14.140625" bestFit="1" customWidth="1"/>
  </cols>
  <sheetData>
    <row r="1" spans="1:21" ht="15.75" thickBot="1">
      <c r="U1" s="502"/>
    </row>
    <row r="2" spans="1:21" ht="19.5" thickBot="1">
      <c r="A2" s="31"/>
      <c r="B2" s="722" t="s">
        <v>299</v>
      </c>
      <c r="C2" s="723"/>
      <c r="D2" s="723"/>
      <c r="E2" s="723"/>
      <c r="F2" s="723"/>
      <c r="G2" s="723"/>
      <c r="H2" s="723"/>
      <c r="I2" s="723"/>
      <c r="J2" s="723"/>
      <c r="K2" s="723"/>
      <c r="L2" s="724"/>
      <c r="N2" s="691" t="s">
        <v>72</v>
      </c>
      <c r="O2" s="692"/>
      <c r="P2" s="692"/>
      <c r="Q2" s="693"/>
      <c r="U2" s="503"/>
    </row>
    <row r="3" spans="1:21" ht="27">
      <c r="N3" s="41" t="s">
        <v>27</v>
      </c>
      <c r="U3" s="503"/>
    </row>
    <row r="4" spans="1:21" ht="18.75" customHeight="1">
      <c r="N4" s="41" t="s">
        <v>27</v>
      </c>
      <c r="U4" s="503"/>
    </row>
    <row r="5" spans="1:21" ht="18" customHeight="1" thickBot="1">
      <c r="N5" s="41" t="s">
        <v>27</v>
      </c>
      <c r="U5" s="503"/>
    </row>
    <row r="6" spans="1:21" ht="24.75" customHeight="1" thickBot="1">
      <c r="B6" s="106" t="s">
        <v>44</v>
      </c>
      <c r="C6" s="107" t="s">
        <v>198</v>
      </c>
      <c r="D6" s="107" t="s">
        <v>199</v>
      </c>
      <c r="E6" s="107" t="s">
        <v>200</v>
      </c>
      <c r="F6" s="107" t="s">
        <v>201</v>
      </c>
      <c r="G6" s="107" t="s">
        <v>202</v>
      </c>
      <c r="H6" s="107" t="s">
        <v>203</v>
      </c>
      <c r="I6" s="107" t="s">
        <v>158</v>
      </c>
      <c r="J6" s="107" t="s">
        <v>159</v>
      </c>
      <c r="K6" s="107" t="s">
        <v>160</v>
      </c>
      <c r="L6" s="108" t="s">
        <v>161</v>
      </c>
      <c r="N6" s="695" t="s">
        <v>300</v>
      </c>
      <c r="O6" s="696"/>
      <c r="P6" s="696"/>
      <c r="Q6" s="696"/>
      <c r="R6" s="696"/>
      <c r="S6" s="697"/>
      <c r="U6" s="503"/>
    </row>
    <row r="7" spans="1:21" ht="43.5" customHeight="1">
      <c r="B7" s="195" t="s">
        <v>301</v>
      </c>
      <c r="C7" s="99">
        <f>+'Costos año Ciclo Completo'!F80+'Costos año Ciclo Completo'!F81</f>
        <v>0</v>
      </c>
      <c r="D7" s="99">
        <f>+'Costos año Ciclo Completo'!G80+'Costos año Ciclo Completo'!G81</f>
        <v>0</v>
      </c>
      <c r="E7" s="99">
        <f>+'Costos año Ciclo Completo'!H80+'Costos año Ciclo Completo'!H81</f>
        <v>0</v>
      </c>
      <c r="F7" s="99">
        <f>+'Costos año Ciclo Completo'!I80+'Costos año Ciclo Completo'!I81</f>
        <v>0</v>
      </c>
      <c r="G7" s="99">
        <f>+'Costos año Ciclo Completo'!J80+'Costos año Ciclo Completo'!J81</f>
        <v>0</v>
      </c>
      <c r="H7" s="99">
        <f>+'Costos año Ciclo Completo'!K80+'Costos año Ciclo Completo'!K81</f>
        <v>0</v>
      </c>
      <c r="I7" s="99">
        <f>+'Costos año Ciclo Completo'!L80+'Costos año Ciclo Completo'!L81</f>
        <v>0</v>
      </c>
      <c r="J7" s="99">
        <f>+'Costos año Ciclo Completo'!M80+'Costos año Ciclo Completo'!M81</f>
        <v>0</v>
      </c>
      <c r="K7" s="99">
        <f>+'Costos año Ciclo Completo'!N80+'Costos año Ciclo Completo'!N81</f>
        <v>0</v>
      </c>
      <c r="L7" s="100">
        <f>+'Costos año Ciclo Completo'!O80+'Costos año Ciclo Completo'!O81</f>
        <v>0</v>
      </c>
      <c r="N7" s="698"/>
      <c r="O7" s="699"/>
      <c r="P7" s="699"/>
      <c r="Q7" s="699"/>
      <c r="R7" s="699"/>
      <c r="S7" s="700"/>
      <c r="U7" s="503"/>
    </row>
    <row r="8" spans="1:21" ht="42.75" customHeight="1">
      <c r="B8" s="232" t="s">
        <v>302</v>
      </c>
      <c r="C8" s="6">
        <f>'Inversiones Ciclo Completo'!N8</f>
        <v>0</v>
      </c>
      <c r="D8" s="6">
        <f>C8*(1+'Costos año Ciclo Completo'!F51)</f>
        <v>0</v>
      </c>
      <c r="E8" s="6">
        <f>D8*(1+'Costos año Ciclo Completo'!G51)</f>
        <v>0</v>
      </c>
      <c r="F8" s="6">
        <f>E8*(1+'Costos año Ciclo Completo'!H51)</f>
        <v>0</v>
      </c>
      <c r="G8" s="6">
        <f>F8*(1+'Costos año Ciclo Completo'!I51)</f>
        <v>0</v>
      </c>
      <c r="H8" s="6">
        <f>G8*(1+'Costos año Ciclo Completo'!J51)</f>
        <v>0</v>
      </c>
      <c r="I8" s="6">
        <f>H8*(1+'Costos año Ciclo Completo'!K51)</f>
        <v>0</v>
      </c>
      <c r="J8" s="6">
        <f>I8*(1+'Costos año Ciclo Completo'!L51)</f>
        <v>0</v>
      </c>
      <c r="K8" s="6">
        <f>J8*(1+'Costos año Ciclo Completo'!M51)</f>
        <v>0</v>
      </c>
      <c r="L8" s="101">
        <f>K8*(1+'Costos año Ciclo Completo'!N51)</f>
        <v>0</v>
      </c>
      <c r="N8" s="698"/>
      <c r="O8" s="699"/>
      <c r="P8" s="699"/>
      <c r="Q8" s="699"/>
      <c r="R8" s="699"/>
      <c r="S8" s="700"/>
      <c r="U8" s="503"/>
    </row>
    <row r="9" spans="1:21" ht="31.5" customHeight="1" thickBot="1">
      <c r="B9" s="194" t="s">
        <v>303</v>
      </c>
      <c r="C9" s="102">
        <f>C7*C8*'Costos año Ciclo Completo'!F87</f>
        <v>0</v>
      </c>
      <c r="D9" s="102">
        <f>+D7*D8*'Costos año Ciclo Completo'!G87</f>
        <v>0</v>
      </c>
      <c r="E9" s="102">
        <f>+E7*E8*'Costos año Ciclo Completo'!H87</f>
        <v>0</v>
      </c>
      <c r="F9" s="102">
        <f>+F7*F8*'Costos año Ciclo Completo'!I87</f>
        <v>0</v>
      </c>
      <c r="G9" s="102">
        <f>+G7*G8*'Costos año Ciclo Completo'!J87</f>
        <v>0</v>
      </c>
      <c r="H9" s="102">
        <f>+H7*H8*'Costos año Ciclo Completo'!K87</f>
        <v>0</v>
      </c>
      <c r="I9" s="102">
        <f>+I7*I8*'Costos año Ciclo Completo'!L87</f>
        <v>0</v>
      </c>
      <c r="J9" s="102">
        <f>+J7*J8*'Costos año Ciclo Completo'!M87</f>
        <v>0</v>
      </c>
      <c r="K9" s="102">
        <f>+K7*K8*'Costos año Ciclo Completo'!N87</f>
        <v>0</v>
      </c>
      <c r="L9" s="103">
        <f>+L7*L8*'Costos año Ciclo Completo'!O87</f>
        <v>0</v>
      </c>
      <c r="N9" s="698"/>
      <c r="O9" s="699"/>
      <c r="P9" s="699"/>
      <c r="Q9" s="699"/>
      <c r="R9" s="699"/>
      <c r="S9" s="700"/>
      <c r="U9" s="503"/>
    </row>
    <row r="10" spans="1:21" ht="31.5" customHeight="1">
      <c r="B10" s="195" t="s">
        <v>304</v>
      </c>
      <c r="C10" s="104">
        <f>'Costos año Ciclo Completo'!F82+'Costos año Ciclo Completo'!F83</f>
        <v>0</v>
      </c>
      <c r="D10" s="104">
        <f>'Costos año Ciclo Completo'!G82+'Costos año Ciclo Completo'!G83</f>
        <v>0</v>
      </c>
      <c r="E10" s="104">
        <f>'Costos año Ciclo Completo'!H82+'Costos año Ciclo Completo'!H83</f>
        <v>0</v>
      </c>
      <c r="F10" s="104">
        <f>'Costos año Ciclo Completo'!I82+'Costos año Ciclo Completo'!I83</f>
        <v>0</v>
      </c>
      <c r="G10" s="104">
        <f>'Costos año Ciclo Completo'!J82+'Costos año Ciclo Completo'!J83</f>
        <v>0</v>
      </c>
      <c r="H10" s="104">
        <f>'Costos año Ciclo Completo'!K82+'Costos año Ciclo Completo'!K83</f>
        <v>0</v>
      </c>
      <c r="I10" s="104">
        <f>'Costos año Ciclo Completo'!L82+'Costos año Ciclo Completo'!L83</f>
        <v>0</v>
      </c>
      <c r="J10" s="104">
        <f>'Costos año Ciclo Completo'!M82+'Costos año Ciclo Completo'!M83</f>
        <v>0</v>
      </c>
      <c r="K10" s="104">
        <f>'Costos año Ciclo Completo'!N82+'Costos año Ciclo Completo'!N83</f>
        <v>0</v>
      </c>
      <c r="L10" s="105">
        <f>'Costos año Ciclo Completo'!O82+'Costos año Ciclo Completo'!O83</f>
        <v>0</v>
      </c>
      <c r="N10" s="698"/>
      <c r="O10" s="699"/>
      <c r="P10" s="699"/>
      <c r="Q10" s="699"/>
      <c r="R10" s="699"/>
      <c r="S10" s="700"/>
      <c r="U10" s="503"/>
    </row>
    <row r="11" spans="1:21" ht="46.5" customHeight="1">
      <c r="B11" s="232" t="s">
        <v>305</v>
      </c>
      <c r="C11" s="6">
        <f>'Inversiones Ciclo Completo'!N14</f>
        <v>0</v>
      </c>
      <c r="D11" s="6">
        <f>C11*(1+'Costos año Ciclo Completo'!F51)</f>
        <v>0</v>
      </c>
      <c r="E11" s="6">
        <f>D11*(1+'Costos año Ciclo Completo'!G51)</f>
        <v>0</v>
      </c>
      <c r="F11" s="6">
        <f>E11*(1+'Costos año Ciclo Completo'!H51)</f>
        <v>0</v>
      </c>
      <c r="G11" s="6">
        <f>F11*(1+'Costos año Ciclo Completo'!I51)</f>
        <v>0</v>
      </c>
      <c r="H11" s="6">
        <f>G11*(1+'Costos año Ciclo Completo'!J51)</f>
        <v>0</v>
      </c>
      <c r="I11" s="6">
        <f>H11*(1+'Costos año Ciclo Completo'!K51)</f>
        <v>0</v>
      </c>
      <c r="J11" s="6">
        <f>I11*(1+'Costos año Ciclo Completo'!L51)</f>
        <v>0</v>
      </c>
      <c r="K11" s="6">
        <f>J11*(1+'Costos año Ciclo Completo'!M51)</f>
        <v>0</v>
      </c>
      <c r="L11" s="101">
        <f>K11*(1+'Costos año Ciclo Completo'!N51)</f>
        <v>0</v>
      </c>
      <c r="N11" s="698"/>
      <c r="O11" s="699"/>
      <c r="P11" s="699"/>
      <c r="Q11" s="699"/>
      <c r="R11" s="699"/>
      <c r="S11" s="700"/>
      <c r="U11" s="503"/>
    </row>
    <row r="12" spans="1:21" ht="44.25" customHeight="1" thickBot="1">
      <c r="B12" s="194" t="s">
        <v>306</v>
      </c>
      <c r="C12" s="102">
        <f t="shared" ref="C12:L12" si="0">C10*C11*450</f>
        <v>0</v>
      </c>
      <c r="D12" s="102">
        <f t="shared" si="0"/>
        <v>0</v>
      </c>
      <c r="E12" s="102">
        <f t="shared" si="0"/>
        <v>0</v>
      </c>
      <c r="F12" s="102">
        <f t="shared" si="0"/>
        <v>0</v>
      </c>
      <c r="G12" s="102">
        <f t="shared" si="0"/>
        <v>0</v>
      </c>
      <c r="H12" s="102">
        <f t="shared" si="0"/>
        <v>0</v>
      </c>
      <c r="I12" s="102">
        <f t="shared" si="0"/>
        <v>0</v>
      </c>
      <c r="J12" s="102">
        <f t="shared" si="0"/>
        <v>0</v>
      </c>
      <c r="K12" s="102">
        <f t="shared" si="0"/>
        <v>0</v>
      </c>
      <c r="L12" s="103">
        <f t="shared" si="0"/>
        <v>0</v>
      </c>
      <c r="N12" s="701"/>
      <c r="O12" s="702"/>
      <c r="P12" s="702"/>
      <c r="Q12" s="702"/>
      <c r="R12" s="702"/>
      <c r="S12" s="703"/>
      <c r="U12" s="503"/>
    </row>
    <row r="13" spans="1:21" ht="15.75" thickBot="1">
      <c r="B13" s="278" t="s">
        <v>210</v>
      </c>
      <c r="C13" s="371">
        <f t="shared" ref="C13:L13" si="1">C9+C12</f>
        <v>0</v>
      </c>
      <c r="D13" s="371">
        <f t="shared" si="1"/>
        <v>0</v>
      </c>
      <c r="E13" s="371">
        <f t="shared" si="1"/>
        <v>0</v>
      </c>
      <c r="F13" s="371">
        <f t="shared" si="1"/>
        <v>0</v>
      </c>
      <c r="G13" s="371">
        <f t="shared" si="1"/>
        <v>0</v>
      </c>
      <c r="H13" s="371">
        <f t="shared" si="1"/>
        <v>0</v>
      </c>
      <c r="I13" s="371">
        <f t="shared" si="1"/>
        <v>0</v>
      </c>
      <c r="J13" s="371">
        <f t="shared" si="1"/>
        <v>0</v>
      </c>
      <c r="K13" s="371">
        <f t="shared" si="1"/>
        <v>0</v>
      </c>
      <c r="L13" s="372">
        <f t="shared" si="1"/>
        <v>0</v>
      </c>
      <c r="U13" s="503"/>
    </row>
    <row r="14" spans="1:21" ht="15.75" thickBot="1">
      <c r="C14" s="54">
        <v>1</v>
      </c>
      <c r="D14" s="54">
        <v>2</v>
      </c>
      <c r="E14" s="54">
        <v>3</v>
      </c>
      <c r="F14" s="54">
        <v>4</v>
      </c>
      <c r="G14" s="54">
        <v>5</v>
      </c>
      <c r="H14" s="54">
        <v>6</v>
      </c>
      <c r="I14" s="54">
        <v>7</v>
      </c>
      <c r="J14" s="54">
        <v>8</v>
      </c>
      <c r="K14" s="54">
        <v>9</v>
      </c>
      <c r="L14" s="54">
        <v>10</v>
      </c>
      <c r="U14" s="503"/>
    </row>
    <row r="15" spans="1:21" ht="15.75" thickBot="1">
      <c r="B15" s="198" t="s">
        <v>211</v>
      </c>
      <c r="C15" s="117">
        <f>'Costos año Ciclo Completo'!F63</f>
        <v>0</v>
      </c>
      <c r="D15" s="117">
        <f>'Costos año Ciclo Completo'!G63</f>
        <v>0</v>
      </c>
      <c r="E15" s="117">
        <f>'Costos año Ciclo Completo'!H63</f>
        <v>0</v>
      </c>
      <c r="F15" s="117">
        <f>'Costos año Ciclo Completo'!I63</f>
        <v>0</v>
      </c>
      <c r="G15" s="117">
        <f>'Costos año Ciclo Completo'!J63</f>
        <v>0</v>
      </c>
      <c r="H15" s="117">
        <f>'Costos año Ciclo Completo'!K63</f>
        <v>0</v>
      </c>
      <c r="I15" s="117">
        <f>'Costos año Ciclo Completo'!L63</f>
        <v>0</v>
      </c>
      <c r="J15" s="117">
        <f>'Costos año Ciclo Completo'!M63</f>
        <v>0</v>
      </c>
      <c r="K15" s="117">
        <f>'Costos año Ciclo Completo'!N63</f>
        <v>0</v>
      </c>
      <c r="L15" s="118">
        <f>'Costos año Ciclo Completo'!O63</f>
        <v>0</v>
      </c>
      <c r="U15" s="503"/>
    </row>
    <row r="16" spans="1:21">
      <c r="B16" s="343" t="s">
        <v>212</v>
      </c>
      <c r="C16" s="376">
        <f t="shared" ref="C16:L16" si="2">C13-C15</f>
        <v>0</v>
      </c>
      <c r="D16" s="376">
        <f t="shared" si="2"/>
        <v>0</v>
      </c>
      <c r="E16" s="376">
        <f t="shared" si="2"/>
        <v>0</v>
      </c>
      <c r="F16" s="376">
        <f t="shared" si="2"/>
        <v>0</v>
      </c>
      <c r="G16" s="376">
        <f t="shared" si="2"/>
        <v>0</v>
      </c>
      <c r="H16" s="376">
        <f t="shared" si="2"/>
        <v>0</v>
      </c>
      <c r="I16" s="376">
        <f t="shared" si="2"/>
        <v>0</v>
      </c>
      <c r="J16" s="376">
        <f t="shared" si="2"/>
        <v>0</v>
      </c>
      <c r="K16" s="376">
        <f t="shared" si="2"/>
        <v>0</v>
      </c>
      <c r="L16" s="377">
        <f t="shared" si="2"/>
        <v>0</v>
      </c>
      <c r="U16" s="503"/>
    </row>
    <row r="17" spans="1:21" ht="15.75" thickBot="1">
      <c r="B17" s="346" t="s">
        <v>213</v>
      </c>
      <c r="C17" s="378">
        <f t="shared" ref="C17:L17" si="3">C16/12</f>
        <v>0</v>
      </c>
      <c r="D17" s="378">
        <f t="shared" si="3"/>
        <v>0</v>
      </c>
      <c r="E17" s="378">
        <f t="shared" si="3"/>
        <v>0</v>
      </c>
      <c r="F17" s="378">
        <f t="shared" si="3"/>
        <v>0</v>
      </c>
      <c r="G17" s="378">
        <f t="shared" si="3"/>
        <v>0</v>
      </c>
      <c r="H17" s="378">
        <f t="shared" si="3"/>
        <v>0</v>
      </c>
      <c r="I17" s="379">
        <f t="shared" si="3"/>
        <v>0</v>
      </c>
      <c r="J17" s="379">
        <f t="shared" si="3"/>
        <v>0</v>
      </c>
      <c r="K17" s="379">
        <f t="shared" si="3"/>
        <v>0</v>
      </c>
      <c r="L17" s="380">
        <f t="shared" si="3"/>
        <v>0</v>
      </c>
      <c r="U17" s="503"/>
    </row>
    <row r="18" spans="1:21" ht="29.25">
      <c r="B18" s="200" t="s">
        <v>214</v>
      </c>
      <c r="C18" s="119">
        <f>+C16</f>
        <v>0</v>
      </c>
      <c r="D18" s="119">
        <f t="shared" ref="D18:L18" si="4">+D16+C16</f>
        <v>0</v>
      </c>
      <c r="E18" s="119">
        <f t="shared" si="4"/>
        <v>0</v>
      </c>
      <c r="F18" s="119">
        <f t="shared" si="4"/>
        <v>0</v>
      </c>
      <c r="G18" s="119">
        <f t="shared" si="4"/>
        <v>0</v>
      </c>
      <c r="H18" s="119">
        <f t="shared" si="4"/>
        <v>0</v>
      </c>
      <c r="I18" s="119">
        <f t="shared" si="4"/>
        <v>0</v>
      </c>
      <c r="J18" s="119">
        <f t="shared" si="4"/>
        <v>0</v>
      </c>
      <c r="K18" s="119">
        <f t="shared" si="4"/>
        <v>0</v>
      </c>
      <c r="L18" s="120">
        <f t="shared" si="4"/>
        <v>0</v>
      </c>
      <c r="U18" s="503"/>
    </row>
    <row r="19" spans="1:21">
      <c r="B19" s="193" t="s">
        <v>215</v>
      </c>
      <c r="C19" s="49" t="e">
        <f>+C18/'Inversiones Ciclo Completo'!$F$50</f>
        <v>#DIV/0!</v>
      </c>
      <c r="D19" s="49" t="e">
        <f>+D18/'Inversiones Ciclo Completo'!$F$50</f>
        <v>#DIV/0!</v>
      </c>
      <c r="E19" s="49" t="e">
        <f>+E18/'Inversiones Ciclo Completo'!$F$50</f>
        <v>#DIV/0!</v>
      </c>
      <c r="F19" s="49" t="e">
        <f>+F18/'Inversiones Ciclo Completo'!$F$50</f>
        <v>#DIV/0!</v>
      </c>
      <c r="G19" s="49" t="e">
        <f>+G18/'Inversiones Ciclo Completo'!$F$50</f>
        <v>#DIV/0!</v>
      </c>
      <c r="H19" s="49" t="e">
        <f>+H18/'Inversiones Ciclo Completo'!$F$50</f>
        <v>#DIV/0!</v>
      </c>
      <c r="I19" s="49" t="e">
        <f>+I18/'Inversiones Ciclo Completo'!$F$50</f>
        <v>#DIV/0!</v>
      </c>
      <c r="J19" s="49" t="e">
        <f>+J18/'Inversiones Ciclo Completo'!$F$50</f>
        <v>#DIV/0!</v>
      </c>
      <c r="K19" s="49" t="e">
        <f>+K18/'Inversiones Ciclo Completo'!$F$50</f>
        <v>#DIV/0!</v>
      </c>
      <c r="L19" s="113" t="e">
        <f>+L18/'Inversiones Ciclo Completo'!$F$50</f>
        <v>#DIV/0!</v>
      </c>
      <c r="U19" s="503"/>
    </row>
    <row r="20" spans="1:21" ht="15.75" thickBot="1">
      <c r="B20" s="199" t="s">
        <v>216</v>
      </c>
      <c r="C20" s="115" t="e">
        <f>(1+C19)/(1+' Costos año cría'!F51)-1</f>
        <v>#DIV/0!</v>
      </c>
      <c r="D20" s="115" t="e">
        <f>(1+D19)/(1+' Costos año cría'!G51)-1</f>
        <v>#DIV/0!</v>
      </c>
      <c r="E20" s="115" t="e">
        <f>(1+E19)/(1+' Costos año cría'!H51)-1</f>
        <v>#DIV/0!</v>
      </c>
      <c r="F20" s="115" t="e">
        <f>(1+F19)/(1+' Costos año cría'!I51)-1</f>
        <v>#DIV/0!</v>
      </c>
      <c r="G20" s="115" t="e">
        <f>(1+G19)/(1+' Costos año cría'!J51)-1</f>
        <v>#DIV/0!</v>
      </c>
      <c r="H20" s="115" t="e">
        <f>(1+H19)/(1+' Costos año cría'!K51)-1</f>
        <v>#DIV/0!</v>
      </c>
      <c r="I20" s="115" t="e">
        <f>(1+I19)/(1+' Costos año cría'!L51)-1</f>
        <v>#DIV/0!</v>
      </c>
      <c r="J20" s="115" t="e">
        <f>(1+J19)/(1+' Costos año cría'!M51)-1</f>
        <v>#DIV/0!</v>
      </c>
      <c r="K20" s="115" t="e">
        <f>(1+K19)/(1+' Costos año cría'!N51)-1</f>
        <v>#DIV/0!</v>
      </c>
      <c r="L20" s="116" t="e">
        <f>(1+L19)/(1+' Costos año cría'!O51)-1</f>
        <v>#DIV/0!</v>
      </c>
      <c r="U20" s="503"/>
    </row>
    <row r="21" spans="1:21">
      <c r="U21" s="503"/>
    </row>
    <row r="22" spans="1:21" ht="15.75" thickBot="1">
      <c r="U22" s="503"/>
    </row>
    <row r="23" spans="1:21" ht="15.75" thickBot="1">
      <c r="A23" s="499"/>
      <c r="B23" s="500"/>
      <c r="C23" s="500"/>
      <c r="D23" s="500"/>
      <c r="E23" s="500"/>
      <c r="F23" s="500"/>
      <c r="G23" s="500"/>
      <c r="H23" s="500"/>
      <c r="I23" s="500"/>
      <c r="J23" s="500"/>
      <c r="K23" s="500"/>
      <c r="L23" s="500"/>
      <c r="M23" s="500"/>
      <c r="N23" s="500"/>
      <c r="O23" s="500"/>
      <c r="P23" s="500"/>
      <c r="Q23" s="500"/>
      <c r="R23" s="500"/>
      <c r="S23" s="500"/>
      <c r="T23" s="501"/>
      <c r="U23" s="504"/>
    </row>
  </sheetData>
  <sheetProtection password="E869" sheet="1" objects="1" scenarios="1"/>
  <mergeCells count="5">
    <mergeCell ref="U1:U23"/>
    <mergeCell ref="A23:T23"/>
    <mergeCell ref="B2:L2"/>
    <mergeCell ref="N2:Q2"/>
    <mergeCell ref="N6:S1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2:K34"/>
  <sheetViews>
    <sheetView zoomScale="70" zoomScaleNormal="70" workbookViewId="0">
      <selection activeCell="H6" sqref="H6:K6"/>
    </sheetView>
  </sheetViews>
  <sheetFormatPr defaultColWidth="11.42578125" defaultRowHeight="15"/>
  <cols>
    <col min="1" max="1" width="19.140625" bestFit="1" customWidth="1"/>
    <col min="2" max="2" width="19.140625" customWidth="1"/>
    <col min="3" max="3" width="12" bestFit="1" customWidth="1"/>
    <col min="4" max="4" width="49.42578125" customWidth="1"/>
    <col min="5" max="5" width="25.5703125" customWidth="1"/>
    <col min="6" max="6" width="48.42578125" customWidth="1"/>
  </cols>
  <sheetData>
    <row r="2" spans="1:11" ht="20.25">
      <c r="A2" s="877" t="s">
        <v>307</v>
      </c>
      <c r="B2" s="877"/>
      <c r="C2" s="877"/>
      <c r="D2" s="877"/>
      <c r="E2" s="877"/>
      <c r="F2" s="877"/>
    </row>
    <row r="3" spans="1:11" ht="15.75" thickBot="1"/>
    <row r="4" spans="1:11" ht="18">
      <c r="A4" s="881" t="s">
        <v>308</v>
      </c>
      <c r="B4" s="882"/>
      <c r="C4" s="882"/>
      <c r="D4" s="882"/>
      <c r="E4" s="882"/>
      <c r="F4" s="883"/>
    </row>
    <row r="5" spans="1:11" ht="18.75" thickBot="1">
      <c r="A5" s="145" t="s">
        <v>185</v>
      </c>
      <c r="B5" s="146" t="s">
        <v>309</v>
      </c>
      <c r="C5" s="146" t="s">
        <v>310</v>
      </c>
      <c r="D5" s="146" t="s">
        <v>311</v>
      </c>
      <c r="E5" s="146" t="s">
        <v>312</v>
      </c>
      <c r="F5" s="147" t="s">
        <v>313</v>
      </c>
    </row>
    <row r="6" spans="1:11" ht="129.75" thickBot="1">
      <c r="A6" s="148" t="s">
        <v>314</v>
      </c>
      <c r="B6" s="149" t="s">
        <v>315</v>
      </c>
      <c r="C6" s="150">
        <f>AVERAGE(' Costos año cría'!F69:O69)</f>
        <v>0.73000000000000009</v>
      </c>
      <c r="D6" s="223" t="s">
        <v>316</v>
      </c>
      <c r="E6" s="151" t="s">
        <v>317</v>
      </c>
      <c r="F6" s="222" t="s">
        <v>318</v>
      </c>
      <c r="H6" s="878" t="s">
        <v>319</v>
      </c>
      <c r="I6" s="879"/>
      <c r="J6" s="879"/>
      <c r="K6" s="880"/>
    </row>
    <row r="7" spans="1:11" ht="157.5" thickBot="1">
      <c r="A7" s="148" t="s">
        <v>320</v>
      </c>
      <c r="B7" s="493">
        <v>1</v>
      </c>
      <c r="C7" s="152" t="e">
        <f>HLOOKUP(B7,' Costos año cría'!$B$85:$O$94,5)</f>
        <v>#DIV/0!</v>
      </c>
      <c r="D7" s="153" t="s">
        <v>321</v>
      </c>
      <c r="E7" s="153" t="s">
        <v>322</v>
      </c>
      <c r="F7" s="154" t="s">
        <v>323</v>
      </c>
      <c r="H7" s="224"/>
    </row>
    <row r="8" spans="1:11" ht="144" thickBot="1">
      <c r="A8" s="164" t="s">
        <v>324</v>
      </c>
      <c r="B8" s="493">
        <v>3</v>
      </c>
      <c r="C8" s="155" t="e">
        <f>HLOOKUP(B8,' Costos año cría'!$B$85:$O$94,6)</f>
        <v>#DIV/0!</v>
      </c>
      <c r="D8" s="153" t="s">
        <v>325</v>
      </c>
      <c r="E8" s="156" t="s">
        <v>326</v>
      </c>
      <c r="F8" s="157" t="s">
        <v>327</v>
      </c>
    </row>
    <row r="9" spans="1:11" ht="139.5" customHeight="1" thickBot="1">
      <c r="A9" s="164" t="s">
        <v>328</v>
      </c>
      <c r="B9" s="493">
        <v>3</v>
      </c>
      <c r="C9" s="155" t="e">
        <f>HLOOKUP(B9,' Costos año cría'!$B$85:$O$94,7)</f>
        <v>#DIV/0!</v>
      </c>
      <c r="D9" s="153" t="s">
        <v>329</v>
      </c>
      <c r="E9" s="153" t="s">
        <v>330</v>
      </c>
      <c r="F9" s="154" t="s">
        <v>331</v>
      </c>
    </row>
    <row r="10" spans="1:11" ht="155.25" customHeight="1" thickBot="1">
      <c r="A10" s="148" t="s">
        <v>215</v>
      </c>
      <c r="B10" s="493">
        <v>1</v>
      </c>
      <c r="C10" s="158" t="e">
        <f>HLOOKUP(B10,'Ingresos y resultados cría'!$B$14:$L$20,6,FALSE)</f>
        <v>#DIV/0!</v>
      </c>
      <c r="D10" s="153" t="s">
        <v>332</v>
      </c>
      <c r="E10" s="156" t="s">
        <v>333</v>
      </c>
      <c r="F10" s="154" t="s">
        <v>334</v>
      </c>
    </row>
    <row r="11" spans="1:11" ht="123" customHeight="1" thickBot="1">
      <c r="A11" s="164" t="s">
        <v>335</v>
      </c>
      <c r="B11" s="493">
        <v>4</v>
      </c>
      <c r="C11" s="159" t="e">
        <f>HLOOKUP(B11,'Ingresos y resultados cría'!$B$14:$L$20,7,FALSE)</f>
        <v>#DIV/0!</v>
      </c>
      <c r="D11" s="153" t="s">
        <v>336</v>
      </c>
      <c r="E11" s="160" t="s">
        <v>337</v>
      </c>
      <c r="F11" s="154" t="s">
        <v>338</v>
      </c>
    </row>
    <row r="12" spans="1:11" ht="15.75" thickBot="1"/>
    <row r="13" spans="1:11" ht="18">
      <c r="A13" s="884" t="s">
        <v>339</v>
      </c>
      <c r="B13" s="885"/>
      <c r="C13" s="885"/>
      <c r="D13" s="885"/>
      <c r="E13" s="885"/>
      <c r="F13" s="886"/>
    </row>
    <row r="14" spans="1:11" ht="18.75" thickBot="1">
      <c r="A14" s="161" t="s">
        <v>185</v>
      </c>
      <c r="B14" s="162" t="s">
        <v>309</v>
      </c>
      <c r="C14" s="162" t="s">
        <v>310</v>
      </c>
      <c r="D14" s="162" t="s">
        <v>311</v>
      </c>
      <c r="E14" s="162" t="s">
        <v>312</v>
      </c>
      <c r="F14" s="163" t="s">
        <v>313</v>
      </c>
    </row>
    <row r="15" spans="1:11" ht="171.75" thickBot="1">
      <c r="A15" s="148" t="s">
        <v>320</v>
      </c>
      <c r="B15" s="493">
        <v>3</v>
      </c>
      <c r="C15" s="152" t="e">
        <f>HLOOKUP(B15,'Ingresos y Resultados Levante'!$B$18:$L$28,6)</f>
        <v>#DIV/0!</v>
      </c>
      <c r="D15" s="153" t="s">
        <v>340</v>
      </c>
      <c r="E15" s="153" t="s">
        <v>341</v>
      </c>
      <c r="F15" s="154" t="s">
        <v>342</v>
      </c>
    </row>
    <row r="16" spans="1:11" ht="158.25" thickBot="1">
      <c r="A16" s="164" t="s">
        <v>324</v>
      </c>
      <c r="B16" s="493">
        <v>3</v>
      </c>
      <c r="C16" s="155" t="e">
        <f>HLOOKUP(B16,'Ingresos y Resultados Levante'!$B$18:$L$28,7)</f>
        <v>#DIV/0!</v>
      </c>
      <c r="D16" s="153" t="s">
        <v>325</v>
      </c>
      <c r="E16" s="156" t="s">
        <v>326</v>
      </c>
      <c r="F16" s="157" t="s">
        <v>343</v>
      </c>
    </row>
    <row r="17" spans="1:6" ht="154.5" customHeight="1" thickBot="1">
      <c r="A17" s="148" t="s">
        <v>215</v>
      </c>
      <c r="B17" s="493">
        <v>1</v>
      </c>
      <c r="C17" s="159" t="e">
        <f>HLOOKUP(B17,'Ingresos y Resultados Levante'!$B$18:$L$28,10)</f>
        <v>#DIV/0!</v>
      </c>
      <c r="D17" s="153" t="s">
        <v>344</v>
      </c>
      <c r="E17" s="156" t="s">
        <v>333</v>
      </c>
      <c r="F17" s="154" t="s">
        <v>345</v>
      </c>
    </row>
    <row r="18" spans="1:6" ht="85.5" customHeight="1" thickBot="1">
      <c r="A18" s="164" t="s">
        <v>335</v>
      </c>
      <c r="B18" s="493">
        <v>1</v>
      </c>
      <c r="C18" s="159" t="e">
        <f>HLOOKUP(B18,'Ingresos y Resultados Levante'!$B$18:$L$28,11)</f>
        <v>#DIV/0!</v>
      </c>
      <c r="D18" s="153" t="s">
        <v>336</v>
      </c>
      <c r="E18" s="160" t="s">
        <v>337</v>
      </c>
      <c r="F18" s="154" t="s">
        <v>346</v>
      </c>
    </row>
    <row r="19" spans="1:6" ht="15.75" thickBot="1"/>
    <row r="20" spans="1:6" ht="18">
      <c r="A20" s="887" t="s">
        <v>347</v>
      </c>
      <c r="B20" s="888"/>
      <c r="C20" s="888"/>
      <c r="D20" s="888"/>
      <c r="E20" s="888"/>
      <c r="F20" s="889"/>
    </row>
    <row r="21" spans="1:6" ht="18.75" thickBot="1">
      <c r="A21" s="165" t="s">
        <v>185</v>
      </c>
      <c r="B21" s="166" t="s">
        <v>309</v>
      </c>
      <c r="C21" s="166" t="s">
        <v>310</v>
      </c>
      <c r="D21" s="166" t="s">
        <v>311</v>
      </c>
      <c r="E21" s="166" t="s">
        <v>312</v>
      </c>
      <c r="F21" s="167" t="s">
        <v>313</v>
      </c>
    </row>
    <row r="22" spans="1:6" ht="171.75" thickBot="1">
      <c r="A22" s="148" t="s">
        <v>320</v>
      </c>
      <c r="B22" s="493">
        <v>5</v>
      </c>
      <c r="C22" s="152" t="e">
        <f>HLOOKUP(B22,'Ingresos y resultados Ceba'!$B$18:$L$28,6)</f>
        <v>#DIV/0!</v>
      </c>
      <c r="D22" s="153" t="s">
        <v>340</v>
      </c>
      <c r="E22" s="153" t="s">
        <v>341</v>
      </c>
      <c r="F22" s="154" t="s">
        <v>342</v>
      </c>
    </row>
    <row r="23" spans="1:6" ht="158.25" thickBot="1">
      <c r="A23" s="164" t="s">
        <v>324</v>
      </c>
      <c r="B23" s="493">
        <v>6</v>
      </c>
      <c r="C23" s="155" t="e">
        <f>HLOOKUP(B23,'Ingresos y resultados Ceba'!$B$18:$L$28,7)</f>
        <v>#DIV/0!</v>
      </c>
      <c r="D23" s="153" t="s">
        <v>325</v>
      </c>
      <c r="E23" s="156" t="s">
        <v>326</v>
      </c>
      <c r="F23" s="157" t="s">
        <v>348</v>
      </c>
    </row>
    <row r="24" spans="1:6" ht="150" customHeight="1" thickBot="1">
      <c r="A24" s="148" t="s">
        <v>215</v>
      </c>
      <c r="B24" s="493">
        <v>2</v>
      </c>
      <c r="C24" s="158" t="e">
        <f>HLOOKUP(B24,'Ingresos y resultados Ceba'!$B$18:$L$28,10)</f>
        <v>#DIV/0!</v>
      </c>
      <c r="D24" s="153" t="s">
        <v>344</v>
      </c>
      <c r="E24" s="156" t="s">
        <v>333</v>
      </c>
      <c r="F24" s="154" t="s">
        <v>345</v>
      </c>
    </row>
    <row r="25" spans="1:6" ht="95.25" customHeight="1" thickBot="1">
      <c r="A25" s="164" t="s">
        <v>335</v>
      </c>
      <c r="B25" s="493">
        <v>1</v>
      </c>
      <c r="C25" s="159" t="e">
        <f>HLOOKUP(B25,'Ingresos y resultados Ceba'!$B$18:$L$28,11)</f>
        <v>#DIV/0!</v>
      </c>
      <c r="D25" s="153" t="s">
        <v>336</v>
      </c>
      <c r="E25" s="160" t="s">
        <v>337</v>
      </c>
      <c r="F25" s="154" t="s">
        <v>346</v>
      </c>
    </row>
    <row r="26" spans="1:6" ht="15.75" thickBot="1"/>
    <row r="27" spans="1:6" ht="18">
      <c r="A27" s="874" t="s">
        <v>349</v>
      </c>
      <c r="B27" s="875"/>
      <c r="C27" s="875"/>
      <c r="D27" s="875"/>
      <c r="E27" s="875"/>
      <c r="F27" s="876"/>
    </row>
    <row r="28" spans="1:6" ht="18.75" thickBot="1">
      <c r="A28" s="168" t="s">
        <v>185</v>
      </c>
      <c r="B28" s="169" t="s">
        <v>309</v>
      </c>
      <c r="C28" s="169" t="s">
        <v>310</v>
      </c>
      <c r="D28" s="169" t="s">
        <v>311</v>
      </c>
      <c r="E28" s="169" t="s">
        <v>312</v>
      </c>
      <c r="F28" s="170" t="s">
        <v>313</v>
      </c>
    </row>
    <row r="29" spans="1:6" ht="129.75" thickBot="1">
      <c r="A29" s="171" t="s">
        <v>314</v>
      </c>
      <c r="B29" s="172" t="s">
        <v>350</v>
      </c>
      <c r="C29" s="173">
        <f>AVERAGE('Costos año Ciclo Completo'!F69:O69)</f>
        <v>0.6399999999999999</v>
      </c>
      <c r="D29" s="174" t="s">
        <v>316</v>
      </c>
      <c r="E29" s="175" t="s">
        <v>351</v>
      </c>
      <c r="F29" s="176" t="s">
        <v>352</v>
      </c>
    </row>
    <row r="30" spans="1:6" ht="157.5" thickBot="1">
      <c r="A30" s="171" t="s">
        <v>320</v>
      </c>
      <c r="B30" s="494">
        <v>3</v>
      </c>
      <c r="C30" s="177" t="e">
        <f>HLOOKUP(B30,'Costos año Ciclo Completo'!$B$86:$O$95,5)</f>
        <v>#DIV/0!</v>
      </c>
      <c r="D30" s="178" t="s">
        <v>340</v>
      </c>
      <c r="E30" s="178" t="s">
        <v>353</v>
      </c>
      <c r="F30" s="179" t="s">
        <v>354</v>
      </c>
    </row>
    <row r="31" spans="1:6" ht="144" thickBot="1">
      <c r="A31" s="183" t="s">
        <v>324</v>
      </c>
      <c r="B31" s="494">
        <v>3</v>
      </c>
      <c r="C31" s="180" t="e">
        <f>HLOOKUP(B31,'Costos año Ciclo Completo'!$B$86:$O$95,6)</f>
        <v>#DIV/0!</v>
      </c>
      <c r="D31" s="178" t="s">
        <v>325</v>
      </c>
      <c r="E31" s="181" t="s">
        <v>326</v>
      </c>
      <c r="F31" s="182" t="s">
        <v>355</v>
      </c>
    </row>
    <row r="32" spans="1:6" ht="159" customHeight="1" thickBot="1">
      <c r="A32" s="183" t="s">
        <v>356</v>
      </c>
      <c r="B32" s="494">
        <v>3</v>
      </c>
      <c r="C32" s="180" t="e">
        <f>HLOOKUP(B32,'Costos año Ciclo Completo'!$B$86:$O$95,7)</f>
        <v>#DIV/0!</v>
      </c>
      <c r="D32" s="178" t="s">
        <v>329</v>
      </c>
      <c r="E32" s="178" t="s">
        <v>330</v>
      </c>
      <c r="F32" s="179" t="s">
        <v>331</v>
      </c>
    </row>
    <row r="33" spans="1:6" ht="114.75" thickBot="1">
      <c r="A33" s="171" t="s">
        <v>215</v>
      </c>
      <c r="B33" s="494">
        <v>1</v>
      </c>
      <c r="C33" s="184" t="e">
        <f>HLOOKUP(B33,'Ingresos y resul Ciclo Completo'!$B$14:$L$20,6)</f>
        <v>#DIV/0!</v>
      </c>
      <c r="D33" s="178" t="s">
        <v>332</v>
      </c>
      <c r="E33" s="181" t="s">
        <v>357</v>
      </c>
      <c r="F33" s="179" t="s">
        <v>345</v>
      </c>
    </row>
    <row r="34" spans="1:6" ht="107.25" customHeight="1" thickBot="1">
      <c r="A34" s="183" t="s">
        <v>335</v>
      </c>
      <c r="B34" s="494">
        <v>1</v>
      </c>
      <c r="C34" s="184" t="e">
        <f>HLOOKUP(B34,'Ingresos y resul Ciclo Completo'!$B$14:$L$20,7)</f>
        <v>#DIV/0!</v>
      </c>
      <c r="D34" s="178" t="s">
        <v>336</v>
      </c>
      <c r="E34" s="185" t="s">
        <v>337</v>
      </c>
      <c r="F34" s="179" t="s">
        <v>346</v>
      </c>
    </row>
  </sheetData>
  <sheetProtection password="E869" sheet="1" objects="1" scenarios="1"/>
  <mergeCells count="6">
    <mergeCell ref="A27:F27"/>
    <mergeCell ref="A2:F2"/>
    <mergeCell ref="H6:K6"/>
    <mergeCell ref="A4:F4"/>
    <mergeCell ref="A13:F13"/>
    <mergeCell ref="A20:F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55"/>
  <sheetViews>
    <sheetView topLeftCell="A17" zoomScale="77" zoomScaleNormal="77" workbookViewId="0">
      <selection activeCell="D31" sqref="D31"/>
    </sheetView>
  </sheetViews>
  <sheetFormatPr defaultColWidth="11.42578125" defaultRowHeight="15"/>
  <cols>
    <col min="2" max="2" width="26.28515625" customWidth="1"/>
    <col min="3" max="3" width="36.140625" customWidth="1"/>
    <col min="4" max="4" width="14.42578125" customWidth="1"/>
    <col min="5" max="5" width="17" customWidth="1"/>
    <col min="6" max="6" width="15.42578125" customWidth="1"/>
    <col min="7" max="7" width="15" customWidth="1"/>
    <col min="13" max="13" width="13.85546875" customWidth="1"/>
    <col min="14" max="14" width="18.42578125" customWidth="1"/>
  </cols>
  <sheetData>
    <row r="1" spans="1:17" ht="15.75" thickBot="1">
      <c r="P1" s="502"/>
      <c r="Q1" s="90"/>
    </row>
    <row r="2" spans="1:17" ht="26.25" thickBot="1">
      <c r="A2" s="427"/>
      <c r="B2" s="555" t="s">
        <v>8</v>
      </c>
      <c r="C2" s="556"/>
      <c r="D2" s="556"/>
      <c r="E2" s="556"/>
      <c r="F2" s="556"/>
      <c r="G2" s="556"/>
      <c r="H2" s="556"/>
      <c r="I2" s="556"/>
      <c r="J2" s="557"/>
      <c r="K2" s="427"/>
      <c r="L2" s="427"/>
      <c r="M2" s="427"/>
      <c r="P2" s="503"/>
      <c r="Q2" s="90"/>
    </row>
    <row r="3" spans="1:17" ht="18.75">
      <c r="A3" s="29"/>
      <c r="B3" s="29"/>
      <c r="C3" s="29"/>
      <c r="D3" s="29"/>
      <c r="E3" s="29"/>
      <c r="F3" s="29"/>
      <c r="P3" s="503"/>
      <c r="Q3" s="90"/>
    </row>
    <row r="4" spans="1:17" ht="19.5" thickBot="1">
      <c r="A4" s="29"/>
      <c r="B4" s="29"/>
      <c r="C4" s="29"/>
      <c r="D4" s="29"/>
      <c r="E4" s="29"/>
      <c r="F4" s="29"/>
      <c r="P4" s="503"/>
      <c r="Q4" s="90"/>
    </row>
    <row r="5" spans="1:17" ht="21.75" customHeight="1" thickBot="1">
      <c r="A5" s="29"/>
      <c r="B5" s="523" t="s">
        <v>9</v>
      </c>
      <c r="C5" s="524"/>
      <c r="D5" s="186">
        <v>0</v>
      </c>
      <c r="E5" s="40" t="s">
        <v>10</v>
      </c>
      <c r="F5" s="514" t="s">
        <v>11</v>
      </c>
      <c r="G5" s="515"/>
      <c r="H5" s="515"/>
      <c r="I5" s="516"/>
      <c r="P5" s="503"/>
      <c r="Q5" s="90"/>
    </row>
    <row r="6" spans="1:17" ht="16.5" customHeight="1">
      <c r="A6" s="29"/>
      <c r="B6" s="523" t="s">
        <v>12</v>
      </c>
      <c r="C6" s="523"/>
      <c r="D6" s="79">
        <v>0</v>
      </c>
      <c r="E6" s="40" t="s">
        <v>10</v>
      </c>
      <c r="F6" s="517"/>
      <c r="G6" s="518"/>
      <c r="H6" s="518"/>
      <c r="I6" s="519"/>
      <c r="J6" s="40"/>
      <c r="K6" s="505" t="s">
        <v>13</v>
      </c>
      <c r="L6" s="506"/>
      <c r="M6" s="507"/>
      <c r="P6" s="503"/>
      <c r="Q6" s="90"/>
    </row>
    <row r="7" spans="1:17" ht="18.75" customHeight="1" thickBot="1">
      <c r="A7" s="29"/>
      <c r="B7" s="523" t="s">
        <v>14</v>
      </c>
      <c r="C7" s="523"/>
      <c r="D7" s="79">
        <v>0</v>
      </c>
      <c r="E7" s="40" t="s">
        <v>10</v>
      </c>
      <c r="F7" s="517"/>
      <c r="G7" s="518"/>
      <c r="H7" s="518"/>
      <c r="I7" s="519"/>
      <c r="J7" s="40"/>
      <c r="K7" s="508"/>
      <c r="L7" s="509"/>
      <c r="M7" s="510"/>
      <c r="P7" s="503"/>
      <c r="Q7" s="90"/>
    </row>
    <row r="8" spans="1:17" ht="18.75" customHeight="1" thickBot="1">
      <c r="A8" s="29"/>
      <c r="B8" s="523" t="s">
        <v>15</v>
      </c>
      <c r="C8" s="523"/>
      <c r="D8" s="79">
        <v>0</v>
      </c>
      <c r="E8" s="40" t="s">
        <v>10</v>
      </c>
      <c r="F8" s="517"/>
      <c r="G8" s="518"/>
      <c r="H8" s="518"/>
      <c r="I8" s="519"/>
      <c r="J8" s="40" t="s">
        <v>16</v>
      </c>
      <c r="K8" s="508"/>
      <c r="L8" s="509"/>
      <c r="M8" s="510"/>
      <c r="N8" s="435">
        <v>0</v>
      </c>
      <c r="P8" s="503"/>
      <c r="Q8" s="90"/>
    </row>
    <row r="9" spans="1:17" ht="18.75" customHeight="1">
      <c r="A9" s="29"/>
      <c r="B9" s="523" t="s">
        <v>17</v>
      </c>
      <c r="C9" s="523"/>
      <c r="D9" s="79">
        <v>0</v>
      </c>
      <c r="E9" s="40" t="s">
        <v>10</v>
      </c>
      <c r="F9" s="517"/>
      <c r="G9" s="518"/>
      <c r="H9" s="518"/>
      <c r="I9" s="519"/>
      <c r="J9" s="40"/>
      <c r="K9" s="508"/>
      <c r="L9" s="509"/>
      <c r="M9" s="510"/>
      <c r="P9" s="503"/>
      <c r="Q9" s="90"/>
    </row>
    <row r="10" spans="1:17" ht="18.75" customHeight="1" thickBot="1">
      <c r="A10" s="29"/>
      <c r="B10" s="523" t="s">
        <v>18</v>
      </c>
      <c r="C10" s="523"/>
      <c r="D10" s="79">
        <v>0</v>
      </c>
      <c r="E10" s="40" t="s">
        <v>10</v>
      </c>
      <c r="F10" s="517"/>
      <c r="G10" s="518"/>
      <c r="H10" s="518"/>
      <c r="I10" s="519"/>
      <c r="J10" s="40"/>
      <c r="K10" s="511"/>
      <c r="L10" s="512"/>
      <c r="M10" s="513"/>
      <c r="P10" s="503"/>
      <c r="Q10" s="90"/>
    </row>
    <row r="11" spans="1:17" ht="18.75" customHeight="1">
      <c r="A11" s="29"/>
      <c r="B11" s="523" t="s">
        <v>19</v>
      </c>
      <c r="C11" s="523"/>
      <c r="D11" s="79">
        <v>0</v>
      </c>
      <c r="E11" s="40" t="s">
        <v>10</v>
      </c>
      <c r="F11" s="517"/>
      <c r="G11" s="518"/>
      <c r="H11" s="518"/>
      <c r="I11" s="519"/>
      <c r="J11" s="40"/>
      <c r="K11" s="505" t="s">
        <v>20</v>
      </c>
      <c r="L11" s="506"/>
      <c r="M11" s="507"/>
      <c r="P11" s="503"/>
      <c r="Q11" s="90"/>
    </row>
    <row r="12" spans="1:17" ht="18.75" customHeight="1" thickBot="1">
      <c r="A12" s="29"/>
      <c r="B12" s="523" t="s">
        <v>21</v>
      </c>
      <c r="C12" s="523"/>
      <c r="D12" s="79">
        <v>0</v>
      </c>
      <c r="E12" s="40" t="s">
        <v>10</v>
      </c>
      <c r="F12" s="517"/>
      <c r="G12" s="518"/>
      <c r="H12" s="518"/>
      <c r="I12" s="519"/>
      <c r="J12" s="40" t="s">
        <v>16</v>
      </c>
      <c r="K12" s="508"/>
      <c r="L12" s="509"/>
      <c r="M12" s="510"/>
      <c r="P12" s="503"/>
      <c r="Q12" s="90"/>
    </row>
    <row r="13" spans="1:17" ht="18.75" customHeight="1" thickBot="1">
      <c r="A13" s="29"/>
      <c r="B13" s="523" t="s">
        <v>22</v>
      </c>
      <c r="C13" s="523"/>
      <c r="D13" s="80">
        <v>0</v>
      </c>
      <c r="E13" s="40" t="s">
        <v>10</v>
      </c>
      <c r="F13" s="517"/>
      <c r="G13" s="518"/>
      <c r="H13" s="518"/>
      <c r="I13" s="519"/>
      <c r="J13" s="40"/>
      <c r="K13" s="508"/>
      <c r="L13" s="509"/>
      <c r="M13" s="510"/>
      <c r="N13" s="435">
        <v>0</v>
      </c>
      <c r="P13" s="503"/>
      <c r="Q13" s="90"/>
    </row>
    <row r="14" spans="1:17" ht="27" customHeight="1" thickBot="1">
      <c r="A14" s="29"/>
      <c r="B14" s="527" t="s">
        <v>23</v>
      </c>
      <c r="C14" s="418" t="s">
        <v>24</v>
      </c>
      <c r="D14" s="186">
        <v>0</v>
      </c>
      <c r="E14" s="40" t="s">
        <v>10</v>
      </c>
      <c r="F14" s="517"/>
      <c r="G14" s="518"/>
      <c r="H14" s="518"/>
      <c r="I14" s="519"/>
      <c r="J14" s="40"/>
      <c r="K14" s="508"/>
      <c r="L14" s="509"/>
      <c r="M14" s="510"/>
      <c r="P14" s="503"/>
      <c r="Q14" s="90"/>
    </row>
    <row r="15" spans="1:17" ht="25.5" customHeight="1" thickBot="1">
      <c r="A15" s="29"/>
      <c r="B15" s="527"/>
      <c r="C15" s="418" t="s">
        <v>25</v>
      </c>
      <c r="D15" s="186">
        <v>0</v>
      </c>
      <c r="E15" s="40" t="s">
        <v>10</v>
      </c>
      <c r="F15" s="520"/>
      <c r="G15" s="521"/>
      <c r="H15" s="521"/>
      <c r="I15" s="522"/>
      <c r="J15" s="40"/>
      <c r="K15" s="511"/>
      <c r="L15" s="512"/>
      <c r="M15" s="513"/>
      <c r="P15" s="503"/>
      <c r="Q15" s="90"/>
    </row>
    <row r="16" spans="1:17" ht="23.25" thickBot="1">
      <c r="B16" s="523" t="s">
        <v>26</v>
      </c>
      <c r="C16" s="524"/>
      <c r="D16" s="428">
        <f>D6+D7+D8+D9+D10+D11+D12+D13</f>
        <v>0</v>
      </c>
      <c r="G16" s="40" t="s">
        <v>27</v>
      </c>
      <c r="H16" s="40" t="s">
        <v>27</v>
      </c>
      <c r="K16" s="40"/>
      <c r="P16" s="503"/>
      <c r="Q16" s="90"/>
    </row>
    <row r="17" spans="2:17" ht="22.5">
      <c r="B17" s="29"/>
      <c r="C17" s="29"/>
      <c r="G17" s="40" t="s">
        <v>27</v>
      </c>
      <c r="H17" s="40" t="s">
        <v>27</v>
      </c>
      <c r="K17" s="40"/>
      <c r="P17" s="503"/>
      <c r="Q17" s="90"/>
    </row>
    <row r="18" spans="2:17" ht="23.25" thickBot="1">
      <c r="B18" s="29"/>
      <c r="C18" s="29"/>
      <c r="G18" s="40" t="s">
        <v>27</v>
      </c>
      <c r="H18" s="40" t="s">
        <v>27</v>
      </c>
      <c r="K18" s="40"/>
      <c r="P18" s="503"/>
      <c r="Q18" s="90"/>
    </row>
    <row r="19" spans="2:17" ht="26.25" customHeight="1">
      <c r="B19" s="525" t="s">
        <v>28</v>
      </c>
      <c r="C19" s="526"/>
      <c r="D19" s="78">
        <v>0</v>
      </c>
      <c r="F19" s="558" t="s">
        <v>29</v>
      </c>
      <c r="G19" s="559"/>
      <c r="H19" s="559"/>
      <c r="I19" s="559"/>
      <c r="J19" s="560"/>
      <c r="K19" s="40"/>
      <c r="P19" s="503"/>
      <c r="Q19" s="90"/>
    </row>
    <row r="20" spans="2:17" ht="25.5" customHeight="1">
      <c r="B20" s="528" t="s">
        <v>30</v>
      </c>
      <c r="C20" s="529"/>
      <c r="D20" s="79">
        <v>0</v>
      </c>
      <c r="F20" s="561"/>
      <c r="G20" s="562"/>
      <c r="H20" s="562"/>
      <c r="I20" s="562"/>
      <c r="J20" s="563"/>
      <c r="K20" s="40"/>
      <c r="P20" s="503"/>
      <c r="Q20" s="90"/>
    </row>
    <row r="21" spans="2:17" ht="22.5">
      <c r="B21" s="528" t="s">
        <v>31</v>
      </c>
      <c r="C21" s="529"/>
      <c r="D21" s="79">
        <v>0</v>
      </c>
      <c r="E21" s="40" t="s">
        <v>10</v>
      </c>
      <c r="F21" s="561"/>
      <c r="G21" s="562"/>
      <c r="H21" s="562"/>
      <c r="I21" s="562"/>
      <c r="J21" s="563"/>
      <c r="K21" s="40" t="s">
        <v>16</v>
      </c>
      <c r="L21" s="40" t="s">
        <v>27</v>
      </c>
      <c r="P21" s="503"/>
      <c r="Q21" s="90"/>
    </row>
    <row r="22" spans="2:17" ht="22.5">
      <c r="B22" s="528" t="s">
        <v>32</v>
      </c>
      <c r="C22" s="529"/>
      <c r="D22" s="79">
        <v>0</v>
      </c>
      <c r="E22" s="40" t="s">
        <v>10</v>
      </c>
      <c r="F22" s="561"/>
      <c r="G22" s="562"/>
      <c r="H22" s="562"/>
      <c r="I22" s="562"/>
      <c r="J22" s="563"/>
      <c r="K22" s="40" t="s">
        <v>16</v>
      </c>
      <c r="L22" s="40" t="s">
        <v>27</v>
      </c>
      <c r="P22" s="503"/>
      <c r="Q22" s="90"/>
    </row>
    <row r="23" spans="2:17" ht="22.5">
      <c r="B23" s="528" t="s">
        <v>33</v>
      </c>
      <c r="C23" s="529"/>
      <c r="D23" s="79">
        <v>0</v>
      </c>
      <c r="F23" s="561"/>
      <c r="G23" s="562"/>
      <c r="H23" s="562"/>
      <c r="I23" s="562"/>
      <c r="J23" s="563"/>
      <c r="K23" s="40"/>
      <c r="L23" s="40" t="s">
        <v>27</v>
      </c>
      <c r="P23" s="503"/>
      <c r="Q23" s="90"/>
    </row>
    <row r="24" spans="2:17" ht="23.25" thickBot="1">
      <c r="B24" s="528" t="s">
        <v>34</v>
      </c>
      <c r="C24" s="529"/>
      <c r="D24" s="79">
        <v>0</v>
      </c>
      <c r="F24" s="564"/>
      <c r="G24" s="565"/>
      <c r="H24" s="565"/>
      <c r="I24" s="565"/>
      <c r="J24" s="566"/>
      <c r="K24" s="40"/>
      <c r="L24" s="40" t="s">
        <v>27</v>
      </c>
      <c r="P24" s="503"/>
      <c r="Q24" s="90"/>
    </row>
    <row r="25" spans="2:17" ht="23.25" thickBot="1">
      <c r="B25" s="528" t="s">
        <v>35</v>
      </c>
      <c r="C25" s="529"/>
      <c r="D25" s="79">
        <v>0</v>
      </c>
      <c r="K25" s="40"/>
      <c r="L25" s="40" t="s">
        <v>27</v>
      </c>
      <c r="P25" s="503"/>
      <c r="Q25" s="90"/>
    </row>
    <row r="26" spans="2:17" ht="28.5" customHeight="1" thickBot="1">
      <c r="B26" s="528" t="s">
        <v>36</v>
      </c>
      <c r="C26" s="529"/>
      <c r="D26" s="79">
        <v>0</v>
      </c>
      <c r="G26" s="429" t="s">
        <v>37</v>
      </c>
      <c r="H26" s="549" t="s">
        <v>38</v>
      </c>
      <c r="I26" s="550"/>
      <c r="J26" s="550"/>
      <c r="K26" s="551"/>
      <c r="L26" s="40" t="s">
        <v>27</v>
      </c>
      <c r="P26" s="503"/>
      <c r="Q26" s="90"/>
    </row>
    <row r="27" spans="2:17" ht="35.25" customHeight="1" thickBot="1">
      <c r="B27" s="530" t="s">
        <v>39</v>
      </c>
      <c r="C27" s="531"/>
      <c r="D27" s="430" t="e">
        <f>+(SUMPRODUCT(D6:D13,D19:D26)/D5/500)</f>
        <v>#DIV/0!</v>
      </c>
      <c r="E27" s="546" t="e">
        <f>IF(D27&lt;1, "Capacidad subdimensionada. Por favor ajuste",IF(D27&gt;2,"Capacidad sobredimensionada. Por favor ajuste","Capacidad dentro de rango típíco"))</f>
        <v>#DIV/0!</v>
      </c>
      <c r="F27" s="547"/>
      <c r="G27" s="548"/>
      <c r="H27" s="552"/>
      <c r="I27" s="553"/>
      <c r="J27" s="553"/>
      <c r="K27" s="554"/>
      <c r="L27" s="40" t="s">
        <v>27</v>
      </c>
      <c r="P27" s="503"/>
      <c r="Q27" s="90"/>
    </row>
    <row r="28" spans="2:17" ht="22.5">
      <c r="B28" s="29"/>
      <c r="C28" s="29"/>
      <c r="K28" s="40"/>
      <c r="L28" s="40" t="s">
        <v>27</v>
      </c>
      <c r="P28" s="503"/>
      <c r="Q28" s="90"/>
    </row>
    <row r="29" spans="2:17" ht="25.5" customHeight="1" thickBot="1">
      <c r="E29" s="66" t="s">
        <v>37</v>
      </c>
      <c r="F29" s="67" t="s">
        <v>40</v>
      </c>
      <c r="G29" s="67" t="s">
        <v>40</v>
      </c>
      <c r="H29" s="67" t="s">
        <v>40</v>
      </c>
      <c r="I29" s="67" t="s">
        <v>40</v>
      </c>
      <c r="J29" s="67" t="s">
        <v>41</v>
      </c>
      <c r="L29" s="40" t="s">
        <v>27</v>
      </c>
      <c r="P29" s="503"/>
      <c r="Q29" s="90"/>
    </row>
    <row r="30" spans="2:17" ht="27.75" customHeight="1" thickBot="1">
      <c r="C30" s="1"/>
      <c r="D30" s="1"/>
      <c r="E30" s="544" t="s">
        <v>42</v>
      </c>
      <c r="F30" s="545"/>
      <c r="G30" s="431"/>
      <c r="I30" s="535" t="s">
        <v>43</v>
      </c>
      <c r="J30" s="536"/>
      <c r="K30" s="536"/>
      <c r="L30" s="536"/>
      <c r="M30" s="537"/>
      <c r="P30" s="503"/>
      <c r="Q30" s="90"/>
    </row>
    <row r="31" spans="2:17" ht="19.5" customHeight="1" thickBot="1">
      <c r="B31" s="381" t="s">
        <v>44</v>
      </c>
      <c r="C31" s="382" t="s">
        <v>45</v>
      </c>
      <c r="D31" s="382" t="s">
        <v>46</v>
      </c>
      <c r="E31" s="382" t="s">
        <v>47</v>
      </c>
      <c r="F31" s="382" t="s">
        <v>48</v>
      </c>
      <c r="G31" s="384" t="s">
        <v>49</v>
      </c>
      <c r="I31" s="538"/>
      <c r="J31" s="539"/>
      <c r="K31" s="539"/>
      <c r="L31" s="539"/>
      <c r="M31" s="540"/>
      <c r="P31" s="503"/>
      <c r="Q31" s="90"/>
    </row>
    <row r="32" spans="2:17" ht="23.25" customHeight="1">
      <c r="B32" s="579" t="s">
        <v>50</v>
      </c>
      <c r="C32" s="385" t="s">
        <v>51</v>
      </c>
      <c r="D32" s="386">
        <f>D6</f>
        <v>0</v>
      </c>
      <c r="E32" s="387">
        <v>0</v>
      </c>
      <c r="F32" s="388">
        <f>D32*E32</f>
        <v>0</v>
      </c>
      <c r="G32" s="389" t="e">
        <f>F32*1/F49</f>
        <v>#DIV/0!</v>
      </c>
      <c r="I32" s="538"/>
      <c r="J32" s="539"/>
      <c r="K32" s="539"/>
      <c r="L32" s="539"/>
      <c r="M32" s="540"/>
      <c r="P32" s="503"/>
      <c r="Q32" s="90"/>
    </row>
    <row r="33" spans="2:17" ht="24.75" customHeight="1">
      <c r="B33" s="580"/>
      <c r="C33" s="191" t="s">
        <v>24</v>
      </c>
      <c r="D33" s="42">
        <f>D7</f>
        <v>0</v>
      </c>
      <c r="E33" s="226">
        <v>0</v>
      </c>
      <c r="F33" s="3">
        <f t="shared" ref="F33:F47" si="0">D33*E33</f>
        <v>0</v>
      </c>
      <c r="G33" s="396" t="e">
        <f>F33*1/F49</f>
        <v>#DIV/0!</v>
      </c>
      <c r="I33" s="538"/>
      <c r="J33" s="539"/>
      <c r="K33" s="539"/>
      <c r="L33" s="539"/>
      <c r="M33" s="540"/>
      <c r="P33" s="503"/>
      <c r="Q33" s="90"/>
    </row>
    <row r="34" spans="2:17" ht="16.5" customHeight="1" thickBot="1">
      <c r="B34" s="581"/>
      <c r="C34" s="390" t="s">
        <v>52</v>
      </c>
      <c r="D34" s="409">
        <v>1</v>
      </c>
      <c r="E34" s="391">
        <v>0</v>
      </c>
      <c r="F34" s="392">
        <f t="shared" ref="F34:F40" si="1">D34*E34</f>
        <v>0</v>
      </c>
      <c r="G34" s="393" t="e">
        <f>F34*1/F49</f>
        <v>#DIV/0!</v>
      </c>
      <c r="I34" s="538"/>
      <c r="J34" s="539"/>
      <c r="K34" s="539"/>
      <c r="L34" s="539"/>
      <c r="M34" s="540"/>
      <c r="P34" s="503"/>
      <c r="Q34" s="90"/>
    </row>
    <row r="35" spans="2:17" ht="16.5" customHeight="1">
      <c r="B35" s="532" t="s">
        <v>53</v>
      </c>
      <c r="C35" s="385" t="s">
        <v>54</v>
      </c>
      <c r="D35" s="432">
        <f t="shared" ref="D35:D40" si="2">D8</f>
        <v>0</v>
      </c>
      <c r="E35" s="387">
        <v>0</v>
      </c>
      <c r="F35" s="388">
        <f t="shared" si="1"/>
        <v>0</v>
      </c>
      <c r="G35" s="395" t="e">
        <f>F35*1/F49</f>
        <v>#DIV/0!</v>
      </c>
      <c r="I35" s="538"/>
      <c r="J35" s="539"/>
      <c r="K35" s="539"/>
      <c r="L35" s="539"/>
      <c r="M35" s="540"/>
      <c r="P35" s="503"/>
      <c r="Q35" s="90"/>
    </row>
    <row r="36" spans="2:17" ht="16.5" customHeight="1">
      <c r="B36" s="533"/>
      <c r="C36" s="191" t="s">
        <v>17</v>
      </c>
      <c r="D36" s="42">
        <f t="shared" si="2"/>
        <v>0</v>
      </c>
      <c r="E36" s="226">
        <v>0</v>
      </c>
      <c r="F36" s="3">
        <f t="shared" si="1"/>
        <v>0</v>
      </c>
      <c r="G36" s="396" t="e">
        <f>F36*1/F49</f>
        <v>#DIV/0!</v>
      </c>
      <c r="I36" s="538"/>
      <c r="J36" s="539"/>
      <c r="K36" s="539"/>
      <c r="L36" s="539"/>
      <c r="M36" s="540"/>
      <c r="P36" s="503"/>
      <c r="Q36" s="90"/>
    </row>
    <row r="37" spans="2:17" ht="20.25" customHeight="1" thickBot="1">
      <c r="B37" s="533"/>
      <c r="C37" s="191" t="s">
        <v>18</v>
      </c>
      <c r="D37" s="42">
        <f t="shared" si="2"/>
        <v>0</v>
      </c>
      <c r="E37" s="226">
        <v>0</v>
      </c>
      <c r="F37" s="3">
        <f t="shared" si="1"/>
        <v>0</v>
      </c>
      <c r="G37" s="396" t="e">
        <f>F37*1/F49</f>
        <v>#DIV/0!</v>
      </c>
      <c r="I37" s="541"/>
      <c r="J37" s="542"/>
      <c r="K37" s="542"/>
      <c r="L37" s="542"/>
      <c r="M37" s="543"/>
      <c r="P37" s="503"/>
      <c r="Q37" s="90"/>
    </row>
    <row r="38" spans="2:17" ht="22.5">
      <c r="B38" s="533"/>
      <c r="C38" s="191" t="s">
        <v>55</v>
      </c>
      <c r="D38" s="42">
        <f t="shared" si="2"/>
        <v>0</v>
      </c>
      <c r="E38" s="226">
        <v>0</v>
      </c>
      <c r="F38" s="3">
        <f t="shared" si="1"/>
        <v>0</v>
      </c>
      <c r="G38" s="396" t="e">
        <f>F38*1/F49</f>
        <v>#DIV/0!</v>
      </c>
      <c r="K38" s="40" t="s">
        <v>27</v>
      </c>
      <c r="L38" s="40"/>
      <c r="P38" s="503"/>
      <c r="Q38" s="90"/>
    </row>
    <row r="39" spans="2:17" ht="22.5">
      <c r="B39" s="533"/>
      <c r="C39" s="191" t="s">
        <v>56</v>
      </c>
      <c r="D39" s="42">
        <f t="shared" si="2"/>
        <v>0</v>
      </c>
      <c r="E39" s="226">
        <v>0</v>
      </c>
      <c r="F39" s="3">
        <f t="shared" si="1"/>
        <v>0</v>
      </c>
      <c r="G39" s="396" t="e">
        <f>F39*1/F49</f>
        <v>#DIV/0!</v>
      </c>
      <c r="K39" s="40" t="s">
        <v>27</v>
      </c>
      <c r="L39" s="40"/>
      <c r="P39" s="503"/>
      <c r="Q39" s="90"/>
    </row>
    <row r="40" spans="2:17" ht="23.25" thickBot="1">
      <c r="B40" s="534"/>
      <c r="C40" s="390" t="s">
        <v>22</v>
      </c>
      <c r="D40" s="433">
        <f t="shared" si="2"/>
        <v>0</v>
      </c>
      <c r="E40" s="391">
        <v>0</v>
      </c>
      <c r="F40" s="392">
        <f t="shared" si="1"/>
        <v>0</v>
      </c>
      <c r="G40" s="393" t="e">
        <f>F40*1/F49</f>
        <v>#DIV/0!</v>
      </c>
      <c r="K40" s="40" t="s">
        <v>27</v>
      </c>
      <c r="L40" s="40"/>
      <c r="P40" s="503"/>
      <c r="Q40" s="90"/>
    </row>
    <row r="41" spans="2:17" ht="16.5" customHeight="1">
      <c r="B41" s="567" t="s">
        <v>57</v>
      </c>
      <c r="C41" s="385" t="s">
        <v>58</v>
      </c>
      <c r="D41" s="410">
        <v>1</v>
      </c>
      <c r="E41" s="387">
        <v>0</v>
      </c>
      <c r="F41" s="388">
        <f t="shared" si="0"/>
        <v>0</v>
      </c>
      <c r="G41" s="395" t="e">
        <f>F41*1/F49</f>
        <v>#DIV/0!</v>
      </c>
      <c r="I41" s="570" t="s">
        <v>59</v>
      </c>
      <c r="J41" s="571"/>
      <c r="K41" s="571"/>
      <c r="L41" s="571"/>
      <c r="M41" s="572"/>
      <c r="P41" s="503"/>
      <c r="Q41" s="90"/>
    </row>
    <row r="42" spans="2:17" ht="16.5" customHeight="1">
      <c r="B42" s="568"/>
      <c r="C42" s="191" t="s">
        <v>60</v>
      </c>
      <c r="D42" s="436">
        <v>0</v>
      </c>
      <c r="E42" s="226">
        <v>0</v>
      </c>
      <c r="F42" s="3">
        <f t="shared" si="0"/>
        <v>0</v>
      </c>
      <c r="G42" s="396" t="e">
        <f>F42*1/F49</f>
        <v>#DIV/0!</v>
      </c>
      <c r="I42" s="573"/>
      <c r="J42" s="574"/>
      <c r="K42" s="574"/>
      <c r="L42" s="574"/>
      <c r="M42" s="575"/>
      <c r="P42" s="503"/>
      <c r="Q42" s="90"/>
    </row>
    <row r="43" spans="2:17" ht="16.5" customHeight="1" thickBot="1">
      <c r="B43" s="569"/>
      <c r="C43" s="390" t="s">
        <v>61</v>
      </c>
      <c r="D43" s="409">
        <v>0</v>
      </c>
      <c r="E43" s="391">
        <v>0</v>
      </c>
      <c r="F43" s="392">
        <f t="shared" si="0"/>
        <v>0</v>
      </c>
      <c r="G43" s="393" t="e">
        <f>F43*1/F49</f>
        <v>#DIV/0!</v>
      </c>
      <c r="I43" s="573"/>
      <c r="J43" s="574"/>
      <c r="K43" s="574"/>
      <c r="L43" s="574"/>
      <c r="M43" s="575"/>
      <c r="P43" s="503"/>
      <c r="Q43" s="90"/>
    </row>
    <row r="44" spans="2:17" ht="35.25" customHeight="1" thickBot="1">
      <c r="B44" s="397" t="s">
        <v>62</v>
      </c>
      <c r="C44" s="398" t="s">
        <v>63</v>
      </c>
      <c r="D44" s="399">
        <v>1</v>
      </c>
      <c r="E44" s="400">
        <v>0</v>
      </c>
      <c r="F44" s="401">
        <f t="shared" si="0"/>
        <v>0</v>
      </c>
      <c r="G44" s="402" t="e">
        <f>F44*1/F49</f>
        <v>#DIV/0!</v>
      </c>
      <c r="I44" s="576"/>
      <c r="J44" s="577"/>
      <c r="K44" s="577"/>
      <c r="L44" s="577"/>
      <c r="M44" s="578"/>
      <c r="P44" s="503"/>
      <c r="Q44" s="90"/>
    </row>
    <row r="45" spans="2:17" ht="17.25" thickBot="1">
      <c r="B45" s="397" t="s">
        <v>64</v>
      </c>
      <c r="C45" s="404"/>
      <c r="D45" s="399">
        <v>1</v>
      </c>
      <c r="E45" s="400">
        <v>0</v>
      </c>
      <c r="F45" s="401">
        <f t="shared" si="0"/>
        <v>0</v>
      </c>
      <c r="G45" s="402" t="e">
        <f>F45*1/F49</f>
        <v>#DIV/0!</v>
      </c>
      <c r="P45" s="503"/>
      <c r="Q45" s="90"/>
    </row>
    <row r="46" spans="2:17" ht="17.25" thickBot="1">
      <c r="B46" s="397" t="s">
        <v>65</v>
      </c>
      <c r="C46" s="404"/>
      <c r="D46" s="399">
        <v>1</v>
      </c>
      <c r="E46" s="400">
        <v>0</v>
      </c>
      <c r="F46" s="401">
        <f t="shared" si="0"/>
        <v>0</v>
      </c>
      <c r="G46" s="402" t="e">
        <f>F46*1/F49</f>
        <v>#DIV/0!</v>
      </c>
      <c r="P46" s="503"/>
      <c r="Q46" s="90"/>
    </row>
    <row r="47" spans="2:17" ht="17.25" thickBot="1">
      <c r="B47" s="397" t="s">
        <v>66</v>
      </c>
      <c r="C47" s="404"/>
      <c r="D47" s="399"/>
      <c r="E47" s="400">
        <v>0</v>
      </c>
      <c r="F47" s="401">
        <f t="shared" si="0"/>
        <v>0</v>
      </c>
      <c r="G47" s="402" t="e">
        <f>F47*1/F49</f>
        <v>#DIV/0!</v>
      </c>
      <c r="P47" s="503"/>
      <c r="Q47" s="90"/>
    </row>
    <row r="48" spans="2:17" ht="17.25" thickBot="1">
      <c r="B48" s="434" t="s">
        <v>67</v>
      </c>
      <c r="C48" s="404"/>
      <c r="D48" s="399">
        <v>1</v>
      </c>
      <c r="E48" s="400">
        <v>0</v>
      </c>
      <c r="F48" s="401">
        <f>D48*E48</f>
        <v>0</v>
      </c>
      <c r="G48" s="402" t="e">
        <f>F48*1/F49</f>
        <v>#DIV/0!</v>
      </c>
      <c r="P48" s="503"/>
      <c r="Q48" s="90"/>
    </row>
    <row r="49" spans="1:17" ht="15.75" thickBot="1">
      <c r="B49" s="278"/>
      <c r="C49" s="405" t="s">
        <v>68</v>
      </c>
      <c r="D49" s="406">
        <f>SUM(D32:D48)</f>
        <v>6</v>
      </c>
      <c r="E49" s="407">
        <f>SUM(E32:E48)</f>
        <v>0</v>
      </c>
      <c r="F49" s="407">
        <f>SUM(F32:F48)</f>
        <v>0</v>
      </c>
      <c r="G49" s="408" t="e">
        <f>SUM(G32:G48)</f>
        <v>#DIV/0!</v>
      </c>
      <c r="P49" s="503"/>
      <c r="Q49" s="90"/>
    </row>
    <row r="50" spans="1:17">
      <c r="P50" s="503"/>
      <c r="Q50" s="90"/>
    </row>
    <row r="51" spans="1:17" ht="24.75" customHeight="1">
      <c r="P51" s="503"/>
      <c r="Q51" s="90"/>
    </row>
    <row r="52" spans="1:17">
      <c r="P52" s="503"/>
      <c r="Q52" s="90"/>
    </row>
    <row r="53" spans="1:17">
      <c r="P53" s="503"/>
      <c r="Q53" s="90"/>
    </row>
    <row r="54" spans="1:17" ht="15.75" thickBot="1">
      <c r="P54" s="504"/>
      <c r="Q54" s="90"/>
    </row>
    <row r="55" spans="1:17" ht="15.75" thickBot="1">
      <c r="A55" s="138"/>
      <c r="B55" s="499"/>
      <c r="C55" s="500"/>
      <c r="D55" s="500"/>
      <c r="E55" s="500"/>
      <c r="F55" s="500"/>
      <c r="G55" s="500"/>
      <c r="H55" s="500"/>
      <c r="I55" s="500"/>
      <c r="J55" s="500"/>
      <c r="K55" s="500"/>
      <c r="L55" s="500"/>
      <c r="M55" s="500"/>
      <c r="N55" s="500"/>
      <c r="O55" s="500"/>
      <c r="P55" s="501"/>
      <c r="Q55" s="90"/>
    </row>
  </sheetData>
  <sheetProtection password="E869" sheet="1" objects="1" scenarios="1"/>
  <mergeCells count="35">
    <mergeCell ref="B55:P55"/>
    <mergeCell ref="B2:J2"/>
    <mergeCell ref="F19:J24"/>
    <mergeCell ref="P1:P54"/>
    <mergeCell ref="B21:C21"/>
    <mergeCell ref="B22:C22"/>
    <mergeCell ref="B23:C23"/>
    <mergeCell ref="B24:C24"/>
    <mergeCell ref="B25:C25"/>
    <mergeCell ref="B26:C26"/>
    <mergeCell ref="B13:C13"/>
    <mergeCell ref="B8:C8"/>
    <mergeCell ref="B9:C9"/>
    <mergeCell ref="B41:B43"/>
    <mergeCell ref="I41:M44"/>
    <mergeCell ref="B32:B34"/>
    <mergeCell ref="B20:C20"/>
    <mergeCell ref="B27:C27"/>
    <mergeCell ref="B35:B40"/>
    <mergeCell ref="I30:M37"/>
    <mergeCell ref="E30:F30"/>
    <mergeCell ref="E27:G27"/>
    <mergeCell ref="H26:K27"/>
    <mergeCell ref="B16:C16"/>
    <mergeCell ref="B19:C19"/>
    <mergeCell ref="B10:C10"/>
    <mergeCell ref="B11:C11"/>
    <mergeCell ref="B12:C12"/>
    <mergeCell ref="B14:B15"/>
    <mergeCell ref="K11:M15"/>
    <mergeCell ref="K6:M10"/>
    <mergeCell ref="F5:I15"/>
    <mergeCell ref="B5:C5"/>
    <mergeCell ref="B6:C6"/>
    <mergeCell ref="B7:C7"/>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V100"/>
  <sheetViews>
    <sheetView topLeftCell="C41" zoomScale="85" zoomScaleNormal="85" workbookViewId="0">
      <selection activeCell="F95" sqref="F95"/>
    </sheetView>
  </sheetViews>
  <sheetFormatPr defaultColWidth="11.42578125" defaultRowHeight="15"/>
  <cols>
    <col min="2" max="2" width="22.85546875" customWidth="1"/>
    <col min="3" max="3" width="16.28515625" customWidth="1"/>
    <col min="4" max="5" width="16.140625" customWidth="1"/>
    <col min="6" max="6" width="18.140625" customWidth="1"/>
    <col min="7" max="7" width="16.140625" customWidth="1"/>
    <col min="8" max="8" width="19" customWidth="1"/>
    <col min="9" max="9" width="17.42578125" customWidth="1"/>
    <col min="10" max="10" width="16.5703125" customWidth="1"/>
    <col min="11" max="12" width="18.28515625" customWidth="1"/>
    <col min="13" max="14" width="16.7109375" customWidth="1"/>
    <col min="15" max="15" width="17.42578125" customWidth="1"/>
    <col min="20" max="20" width="12.7109375" customWidth="1"/>
  </cols>
  <sheetData>
    <row r="1" spans="1:22" ht="15.75" thickBot="1">
      <c r="V1" s="502"/>
    </row>
    <row r="2" spans="1:22" ht="26.25" thickBot="1">
      <c r="A2" s="31"/>
      <c r="B2" s="555" t="s">
        <v>69</v>
      </c>
      <c r="C2" s="556"/>
      <c r="D2" s="556"/>
      <c r="E2" s="556"/>
      <c r="F2" s="556"/>
      <c r="G2" s="556"/>
      <c r="H2" s="556"/>
      <c r="I2" s="556"/>
      <c r="J2" s="556"/>
      <c r="K2" s="556"/>
      <c r="L2" s="557"/>
      <c r="V2" s="503"/>
    </row>
    <row r="3" spans="1:22">
      <c r="V3" s="503"/>
    </row>
    <row r="4" spans="1:22" ht="15.75" thickBot="1">
      <c r="V4" s="503"/>
    </row>
    <row r="5" spans="1:22" ht="30.75" thickBot="1">
      <c r="E5" s="250" t="s">
        <v>70</v>
      </c>
      <c r="G5" s="250" t="s">
        <v>70</v>
      </c>
      <c r="I5" s="250" t="s">
        <v>70</v>
      </c>
      <c r="V5" s="503"/>
    </row>
    <row r="6" spans="1:22" ht="15.75">
      <c r="B6" s="599" t="s">
        <v>71</v>
      </c>
      <c r="C6" s="600"/>
      <c r="D6" s="600"/>
      <c r="E6" s="600"/>
      <c r="F6" s="600"/>
      <c r="G6" s="600"/>
      <c r="H6" s="600"/>
      <c r="I6" s="600"/>
      <c r="J6" s="600"/>
      <c r="K6" s="600"/>
      <c r="L6" s="601"/>
      <c r="N6" s="587" t="s">
        <v>72</v>
      </c>
      <c r="O6" s="587"/>
      <c r="P6" s="587"/>
      <c r="V6" s="503"/>
    </row>
    <row r="7" spans="1:22" ht="68.25" customHeight="1" thickBot="1">
      <c r="B7" s="285" t="s">
        <v>44</v>
      </c>
      <c r="C7" s="286" t="s">
        <v>73</v>
      </c>
      <c r="D7" s="287" t="s">
        <v>74</v>
      </c>
      <c r="E7" s="287" t="s">
        <v>75</v>
      </c>
      <c r="F7" s="287" t="s">
        <v>76</v>
      </c>
      <c r="G7" s="287" t="s">
        <v>77</v>
      </c>
      <c r="H7" s="287" t="s">
        <v>78</v>
      </c>
      <c r="I7" s="287" t="s">
        <v>79</v>
      </c>
      <c r="J7" s="287" t="s">
        <v>80</v>
      </c>
      <c r="K7" s="287" t="s">
        <v>81</v>
      </c>
      <c r="L7" s="288" t="s">
        <v>82</v>
      </c>
      <c r="N7" s="41" t="s">
        <v>27</v>
      </c>
      <c r="Q7" s="213"/>
      <c r="R7" s="213"/>
      <c r="S7" s="213"/>
      <c r="T7" s="213"/>
      <c r="V7" s="503"/>
    </row>
    <row r="8" spans="1:22" ht="24" customHeight="1">
      <c r="B8" s="192" t="s">
        <v>83</v>
      </c>
      <c r="C8" s="253">
        <f>'inversiones cría'!D16</f>
        <v>0</v>
      </c>
      <c r="D8" s="254">
        <f>I8/40/1000</f>
        <v>0</v>
      </c>
      <c r="E8" s="255">
        <v>0</v>
      </c>
      <c r="F8" s="104">
        <f>C8*D8*E8</f>
        <v>0</v>
      </c>
      <c r="G8" s="255">
        <v>0</v>
      </c>
      <c r="H8" s="104">
        <f>F8*G8</f>
        <v>0</v>
      </c>
      <c r="I8" s="256">
        <v>0</v>
      </c>
      <c r="J8" s="104">
        <f>C8*E8*G8/1000</f>
        <v>0</v>
      </c>
      <c r="K8" s="99">
        <f>J8/40</f>
        <v>0</v>
      </c>
      <c r="L8" s="105">
        <f>I8*K8</f>
        <v>0</v>
      </c>
      <c r="N8" s="588" t="s">
        <v>84</v>
      </c>
      <c r="O8" s="589"/>
      <c r="P8" s="589"/>
      <c r="Q8" s="589"/>
      <c r="R8" s="589"/>
      <c r="S8" s="589"/>
      <c r="T8" s="590"/>
      <c r="V8" s="503"/>
    </row>
    <row r="9" spans="1:22" ht="22.5" customHeight="1">
      <c r="B9" s="276" t="s">
        <v>85</v>
      </c>
      <c r="C9" s="4">
        <f>'inversiones cría'!D16</f>
        <v>0</v>
      </c>
      <c r="D9" s="126">
        <f>I9/40/1000</f>
        <v>0</v>
      </c>
      <c r="E9" s="227">
        <v>0</v>
      </c>
      <c r="F9" s="6">
        <f>C9*D9*E9</f>
        <v>0</v>
      </c>
      <c r="G9" s="227">
        <v>0</v>
      </c>
      <c r="H9" s="6">
        <f>F9*G9</f>
        <v>0</v>
      </c>
      <c r="I9" s="229">
        <v>0</v>
      </c>
      <c r="J9" s="6">
        <f>C9*E9*G9/1000</f>
        <v>0</v>
      </c>
      <c r="K9" s="33">
        <f>J9/40</f>
        <v>0</v>
      </c>
      <c r="L9" s="101">
        <f>I9*K9</f>
        <v>0</v>
      </c>
      <c r="N9" s="591"/>
      <c r="O9" s="592"/>
      <c r="P9" s="592"/>
      <c r="Q9" s="592"/>
      <c r="R9" s="592"/>
      <c r="S9" s="592"/>
      <c r="T9" s="593"/>
      <c r="V9" s="503"/>
    </row>
    <row r="10" spans="1:22" ht="18.75" customHeight="1">
      <c r="B10" s="276" t="s">
        <v>86</v>
      </c>
      <c r="C10" s="4">
        <f>'inversiones cría'!D16</f>
        <v>0</v>
      </c>
      <c r="D10" s="58">
        <v>0</v>
      </c>
      <c r="E10" s="227">
        <v>0</v>
      </c>
      <c r="F10" s="6">
        <f>C10*D10*E10</f>
        <v>0</v>
      </c>
      <c r="G10" s="227">
        <v>0</v>
      </c>
      <c r="H10" s="4">
        <f>F10*G10</f>
        <v>0</v>
      </c>
      <c r="I10" s="229">
        <v>0</v>
      </c>
      <c r="J10" s="4">
        <f>C10*E10*G10/1000</f>
        <v>0</v>
      </c>
      <c r="K10" s="4">
        <f>J10/50</f>
        <v>0</v>
      </c>
      <c r="L10" s="230"/>
      <c r="N10" s="591"/>
      <c r="O10" s="592"/>
      <c r="P10" s="592"/>
      <c r="Q10" s="592"/>
      <c r="R10" s="592"/>
      <c r="S10" s="592"/>
      <c r="T10" s="593"/>
      <c r="V10" s="503"/>
    </row>
    <row r="11" spans="1:22" ht="17.25" customHeight="1">
      <c r="B11" s="276" t="s">
        <v>87</v>
      </c>
      <c r="C11" s="4">
        <f>'inversiones cría'!D16</f>
        <v>0</v>
      </c>
      <c r="D11" s="125">
        <f>I11/30/1000</f>
        <v>0</v>
      </c>
      <c r="E11" s="227">
        <v>0</v>
      </c>
      <c r="F11" s="6">
        <f>C11*D11*E11</f>
        <v>0</v>
      </c>
      <c r="G11" s="227">
        <v>0</v>
      </c>
      <c r="H11" s="6">
        <f>F11*G11</f>
        <v>0</v>
      </c>
      <c r="I11" s="229">
        <v>0</v>
      </c>
      <c r="J11" s="4">
        <f>C11*E11*G11/1000</f>
        <v>0</v>
      </c>
      <c r="K11" s="33">
        <f>J11/30</f>
        <v>0</v>
      </c>
      <c r="L11" s="101">
        <f>I11*K11</f>
        <v>0</v>
      </c>
      <c r="N11" s="591"/>
      <c r="O11" s="592"/>
      <c r="P11" s="592"/>
      <c r="Q11" s="592"/>
      <c r="R11" s="592"/>
      <c r="S11" s="592"/>
      <c r="T11" s="593"/>
      <c r="V11" s="503"/>
    </row>
    <row r="12" spans="1:22" ht="18.75" customHeight="1" thickBot="1">
      <c r="B12" s="277" t="s">
        <v>67</v>
      </c>
      <c r="C12" s="26">
        <f>'inversiones cría'!D16</f>
        <v>0</v>
      </c>
      <c r="D12" s="257">
        <v>0</v>
      </c>
      <c r="E12" s="258">
        <v>0</v>
      </c>
      <c r="F12" s="26">
        <f>C12*D12*E12</f>
        <v>0</v>
      </c>
      <c r="G12" s="258">
        <v>0</v>
      </c>
      <c r="H12" s="26">
        <f>F12*G12</f>
        <v>0</v>
      </c>
      <c r="I12" s="238">
        <v>0</v>
      </c>
      <c r="J12" s="26">
        <f>C12*E12*G12/1000</f>
        <v>0</v>
      </c>
      <c r="K12" s="26"/>
      <c r="L12" s="130"/>
      <c r="N12" s="591"/>
      <c r="O12" s="592"/>
      <c r="P12" s="592"/>
      <c r="Q12" s="592"/>
      <c r="R12" s="592"/>
      <c r="S12" s="592"/>
      <c r="T12" s="593"/>
      <c r="V12" s="503"/>
    </row>
    <row r="13" spans="1:22" ht="21.75" customHeight="1" thickBot="1">
      <c r="B13" s="278" t="s">
        <v>88</v>
      </c>
      <c r="C13" s="217">
        <f>'inversiones cría'!D16</f>
        <v>0</v>
      </c>
      <c r="D13" s="218">
        <f t="shared" ref="D13:L13" si="0">SUM(D8:D12)</f>
        <v>0</v>
      </c>
      <c r="E13" s="217">
        <f t="shared" si="0"/>
        <v>0</v>
      </c>
      <c r="F13" s="219">
        <f t="shared" si="0"/>
        <v>0</v>
      </c>
      <c r="G13" s="217">
        <f t="shared" si="0"/>
        <v>0</v>
      </c>
      <c r="H13" s="219">
        <f t="shared" si="0"/>
        <v>0</v>
      </c>
      <c r="I13" s="219">
        <f t="shared" si="0"/>
        <v>0</v>
      </c>
      <c r="J13" s="219">
        <f t="shared" si="0"/>
        <v>0</v>
      </c>
      <c r="K13" s="220">
        <f t="shared" si="0"/>
        <v>0</v>
      </c>
      <c r="L13" s="221">
        <f t="shared" si="0"/>
        <v>0</v>
      </c>
      <c r="N13" s="594"/>
      <c r="O13" s="595"/>
      <c r="P13" s="595"/>
      <c r="Q13" s="595"/>
      <c r="R13" s="595"/>
      <c r="S13" s="595"/>
      <c r="T13" s="596"/>
      <c r="V13" s="503"/>
    </row>
    <row r="14" spans="1:22" ht="27.75" thickBot="1">
      <c r="N14" s="41" t="s">
        <v>27</v>
      </c>
      <c r="U14" s="187"/>
      <c r="V14" s="503"/>
    </row>
    <row r="15" spans="1:22" ht="22.5" customHeight="1" thickBot="1">
      <c r="N15" s="588" t="s">
        <v>89</v>
      </c>
      <c r="O15" s="589"/>
      <c r="P15" s="589"/>
      <c r="Q15" s="589"/>
      <c r="R15" s="589"/>
      <c r="S15" s="589"/>
      <c r="T15" s="590"/>
      <c r="V15" s="503"/>
    </row>
    <row r="16" spans="1:22" ht="34.5" customHeight="1" thickBot="1">
      <c r="D16" s="597" t="s">
        <v>70</v>
      </c>
      <c r="E16" s="598"/>
      <c r="J16" s="597" t="s">
        <v>70</v>
      </c>
      <c r="K16" s="598"/>
      <c r="N16" s="591"/>
      <c r="O16" s="592"/>
      <c r="P16" s="592"/>
      <c r="Q16" s="592"/>
      <c r="R16" s="592"/>
      <c r="S16" s="592"/>
      <c r="T16" s="593"/>
      <c r="V16" s="503"/>
    </row>
    <row r="17" spans="2:22" ht="27.75" customHeight="1" thickBot="1">
      <c r="B17" s="602" t="s">
        <v>90</v>
      </c>
      <c r="C17" s="603"/>
      <c r="D17" s="603"/>
      <c r="E17" s="603"/>
      <c r="F17" s="604"/>
      <c r="I17" s="613" t="s">
        <v>91</v>
      </c>
      <c r="J17" s="614"/>
      <c r="K17" s="614"/>
      <c r="L17" s="615"/>
      <c r="N17" s="591"/>
      <c r="O17" s="592"/>
      <c r="P17" s="592"/>
      <c r="Q17" s="592"/>
      <c r="R17" s="592"/>
      <c r="S17" s="592"/>
      <c r="T17" s="593"/>
      <c r="V17" s="503"/>
    </row>
    <row r="18" spans="2:22" ht="42.75" customHeight="1" thickBot="1">
      <c r="B18" s="280" t="s">
        <v>44</v>
      </c>
      <c r="C18" s="281" t="s">
        <v>73</v>
      </c>
      <c r="D18" s="281" t="s">
        <v>92</v>
      </c>
      <c r="E18" s="282" t="s">
        <v>93</v>
      </c>
      <c r="F18" s="283" t="s">
        <v>94</v>
      </c>
      <c r="I18" s="280" t="s">
        <v>44</v>
      </c>
      <c r="J18" s="281" t="s">
        <v>95</v>
      </c>
      <c r="K18" s="282" t="s">
        <v>96</v>
      </c>
      <c r="L18" s="284" t="s">
        <v>94</v>
      </c>
      <c r="N18" s="594"/>
      <c r="O18" s="595"/>
      <c r="P18" s="595"/>
      <c r="Q18" s="595"/>
      <c r="R18" s="595"/>
      <c r="S18" s="595"/>
      <c r="T18" s="596"/>
      <c r="V18" s="503"/>
    </row>
    <row r="19" spans="2:22" ht="27">
      <c r="B19" s="245" t="s">
        <v>97</v>
      </c>
      <c r="C19" s="246">
        <f>'inversiones cría'!D32+'inversiones cría'!D33+'inversiones cría'!D35+'inversiones cría'!D36+'inversiones cría'!D37+'inversiones cría'!D38+'inversiones cría'!D39+'inversiones cría'!D40</f>
        <v>0</v>
      </c>
      <c r="D19" s="241">
        <v>0</v>
      </c>
      <c r="E19" s="240">
        <v>0</v>
      </c>
      <c r="F19" s="247">
        <f t="shared" ref="F19:F26" si="1">C19*D19*E19</f>
        <v>0</v>
      </c>
      <c r="I19" s="248" t="s">
        <v>98</v>
      </c>
      <c r="J19" s="241">
        <v>0</v>
      </c>
      <c r="K19" s="240">
        <v>0</v>
      </c>
      <c r="L19" s="249">
        <f>J19*K19</f>
        <v>0</v>
      </c>
      <c r="N19" s="41" t="s">
        <v>27</v>
      </c>
      <c r="V19" s="503"/>
    </row>
    <row r="20" spans="2:22" ht="27.75" thickBot="1">
      <c r="B20" s="193" t="s">
        <v>99</v>
      </c>
      <c r="C20" s="4">
        <f>'inversiones cría'!D16</f>
        <v>0</v>
      </c>
      <c r="D20" s="229">
        <v>0</v>
      </c>
      <c r="E20" s="227">
        <v>0</v>
      </c>
      <c r="F20" s="101">
        <f t="shared" si="1"/>
        <v>0</v>
      </c>
      <c r="I20" s="231" t="s">
        <v>100</v>
      </c>
      <c r="J20" s="229">
        <v>0</v>
      </c>
      <c r="K20" s="227">
        <v>0</v>
      </c>
      <c r="L20" s="237">
        <f>J20*K20</f>
        <v>0</v>
      </c>
      <c r="N20" s="41" t="s">
        <v>27</v>
      </c>
      <c r="Q20" s="31"/>
      <c r="V20" s="503"/>
    </row>
    <row r="21" spans="2:22" ht="19.5" customHeight="1">
      <c r="B21" s="193" t="s">
        <v>101</v>
      </c>
      <c r="C21" s="4">
        <f>'inversiones cría'!D16</f>
        <v>0</v>
      </c>
      <c r="D21" s="229">
        <v>0</v>
      </c>
      <c r="E21" s="227">
        <v>0</v>
      </c>
      <c r="F21" s="101">
        <f t="shared" si="1"/>
        <v>0</v>
      </c>
      <c r="I21" s="231" t="s">
        <v>102</v>
      </c>
      <c r="J21" s="229">
        <v>0</v>
      </c>
      <c r="K21" s="227">
        <v>0</v>
      </c>
      <c r="L21" s="237">
        <f>J21*K21</f>
        <v>0</v>
      </c>
      <c r="N21" s="661" t="s">
        <v>103</v>
      </c>
      <c r="O21" s="662"/>
      <c r="P21" s="662"/>
      <c r="Q21" s="662"/>
      <c r="R21" s="662"/>
      <c r="S21" s="662"/>
      <c r="T21" s="663"/>
      <c r="V21" s="503"/>
    </row>
    <row r="22" spans="2:22" ht="18.75" customHeight="1">
      <c r="B22" s="193" t="s">
        <v>104</v>
      </c>
      <c r="C22" s="33">
        <f>'inversiones cría'!D38</f>
        <v>0</v>
      </c>
      <c r="D22" s="229">
        <v>0</v>
      </c>
      <c r="E22" s="227">
        <v>0</v>
      </c>
      <c r="F22" s="101">
        <f t="shared" si="1"/>
        <v>0</v>
      </c>
      <c r="I22" s="112" t="s">
        <v>105</v>
      </c>
      <c r="J22" s="229">
        <v>0</v>
      </c>
      <c r="K22" s="227">
        <v>0</v>
      </c>
      <c r="L22" s="237">
        <f>J22*K22</f>
        <v>0</v>
      </c>
      <c r="N22" s="664"/>
      <c r="O22" s="665"/>
      <c r="P22" s="665"/>
      <c r="Q22" s="665"/>
      <c r="R22" s="665"/>
      <c r="S22" s="665"/>
      <c r="T22" s="666"/>
      <c r="V22" s="503"/>
    </row>
    <row r="23" spans="2:22" ht="20.25" customHeight="1" thickBot="1">
      <c r="B23" s="193" t="s">
        <v>106</v>
      </c>
      <c r="C23" s="33">
        <f>'inversiones cría'!D38</f>
        <v>0</v>
      </c>
      <c r="D23" s="229">
        <v>0</v>
      </c>
      <c r="E23" s="227">
        <v>0</v>
      </c>
      <c r="F23" s="101">
        <f t="shared" si="1"/>
        <v>0</v>
      </c>
      <c r="I23" s="114" t="s">
        <v>67</v>
      </c>
      <c r="J23" s="238">
        <v>0</v>
      </c>
      <c r="K23" s="258">
        <v>0</v>
      </c>
      <c r="L23" s="239">
        <f>J23*K23</f>
        <v>0</v>
      </c>
      <c r="N23" s="664"/>
      <c r="O23" s="665"/>
      <c r="P23" s="665"/>
      <c r="Q23" s="665"/>
      <c r="R23" s="665"/>
      <c r="S23" s="665"/>
      <c r="T23" s="666"/>
      <c r="V23" s="503"/>
    </row>
    <row r="24" spans="2:22" ht="24" customHeight="1" thickBot="1">
      <c r="B24" s="193" t="s">
        <v>107</v>
      </c>
      <c r="C24" s="33">
        <f>'inversiones cría'!D16</f>
        <v>0</v>
      </c>
      <c r="D24" s="229">
        <v>0</v>
      </c>
      <c r="E24" s="227">
        <v>0</v>
      </c>
      <c r="F24" s="101">
        <f t="shared" si="1"/>
        <v>0</v>
      </c>
      <c r="I24" s="304" t="s">
        <v>88</v>
      </c>
      <c r="J24" s="293">
        <f>SUM(J19:J23)</f>
        <v>0</v>
      </c>
      <c r="K24" s="294"/>
      <c r="L24" s="293">
        <f>SUM(L19:L23)</f>
        <v>0</v>
      </c>
      <c r="N24" s="664"/>
      <c r="O24" s="665"/>
      <c r="P24" s="665"/>
      <c r="Q24" s="665"/>
      <c r="R24" s="665"/>
      <c r="S24" s="665"/>
      <c r="T24" s="666"/>
      <c r="V24" s="503"/>
    </row>
    <row r="25" spans="2:22" ht="30.75" customHeight="1" thickBot="1">
      <c r="B25" s="232" t="s">
        <v>108</v>
      </c>
      <c r="C25" s="55">
        <f>'inversiones cría'!D16/2</f>
        <v>0</v>
      </c>
      <c r="D25" s="229">
        <v>0</v>
      </c>
      <c r="E25" s="227">
        <v>0</v>
      </c>
      <c r="F25" s="101">
        <f t="shared" si="1"/>
        <v>0</v>
      </c>
      <c r="N25" s="667"/>
      <c r="O25" s="668"/>
      <c r="P25" s="668"/>
      <c r="Q25" s="668"/>
      <c r="R25" s="668"/>
      <c r="S25" s="668"/>
      <c r="T25" s="669"/>
      <c r="V25" s="503"/>
    </row>
    <row r="26" spans="2:22" ht="47.25" customHeight="1" thickBot="1">
      <c r="B26" s="234" t="s">
        <v>109</v>
      </c>
      <c r="C26" s="216">
        <f>'inversiones cría'!D16</f>
        <v>0</v>
      </c>
      <c r="D26" s="229">
        <v>0</v>
      </c>
      <c r="E26" s="228">
        <v>0</v>
      </c>
      <c r="F26" s="235">
        <f t="shared" si="1"/>
        <v>0</v>
      </c>
      <c r="N26" s="41" t="s">
        <v>27</v>
      </c>
      <c r="V26" s="503"/>
    </row>
    <row r="27" spans="2:22" ht="24.75" customHeight="1" thickBot="1">
      <c r="B27" s="278" t="s">
        <v>88</v>
      </c>
      <c r="C27" s="217"/>
      <c r="D27" s="219">
        <f>SUM(D19:D26)</f>
        <v>0</v>
      </c>
      <c r="E27" s="217"/>
      <c r="F27" s="221">
        <f>SUM(F19:F26)</f>
        <v>0</v>
      </c>
      <c r="N27" s="41" t="s">
        <v>27</v>
      </c>
      <c r="V27" s="503"/>
    </row>
    <row r="28" spans="2:22" ht="27.75" thickBot="1">
      <c r="N28" s="41" t="s">
        <v>27</v>
      </c>
      <c r="V28" s="503"/>
    </row>
    <row r="29" spans="2:22" ht="30" customHeight="1" thickBot="1">
      <c r="C29" s="597" t="s">
        <v>70</v>
      </c>
      <c r="D29" s="598"/>
      <c r="E29" s="90"/>
      <c r="I29" s="597" t="s">
        <v>70</v>
      </c>
      <c r="J29" s="598"/>
      <c r="K29" s="90"/>
      <c r="N29" s="41" t="s">
        <v>27</v>
      </c>
      <c r="V29" s="503"/>
    </row>
    <row r="30" spans="2:22" ht="15" customHeight="1">
      <c r="B30" s="605" t="s">
        <v>110</v>
      </c>
      <c r="C30" s="606"/>
      <c r="D30" s="606"/>
      <c r="E30" s="607"/>
      <c r="H30" s="605" t="s">
        <v>111</v>
      </c>
      <c r="I30" s="606"/>
      <c r="J30" s="606"/>
      <c r="K30" s="607"/>
      <c r="N30" s="670" t="s">
        <v>112</v>
      </c>
      <c r="O30" s="671"/>
      <c r="P30" s="671"/>
      <c r="Q30" s="671"/>
      <c r="R30" s="671"/>
      <c r="S30" s="671"/>
      <c r="T30" s="672"/>
      <c r="V30" s="503"/>
    </row>
    <row r="31" spans="2:22" ht="15.75" customHeight="1" thickBot="1">
      <c r="B31" s="242" t="s">
        <v>44</v>
      </c>
      <c r="C31" s="286" t="s">
        <v>113</v>
      </c>
      <c r="D31" s="243" t="s">
        <v>114</v>
      </c>
      <c r="E31" s="244" t="s">
        <v>115</v>
      </c>
      <c r="H31" s="285" t="s">
        <v>44</v>
      </c>
      <c r="I31" s="286" t="s">
        <v>113</v>
      </c>
      <c r="J31" s="286" t="s">
        <v>114</v>
      </c>
      <c r="K31" s="290" t="s">
        <v>115</v>
      </c>
      <c r="N31" s="673"/>
      <c r="O31" s="674"/>
      <c r="P31" s="674"/>
      <c r="Q31" s="674"/>
      <c r="R31" s="674"/>
      <c r="S31" s="674"/>
      <c r="T31" s="675"/>
      <c r="V31" s="503"/>
    </row>
    <row r="32" spans="2:22" ht="42" customHeight="1">
      <c r="B32" s="192" t="s">
        <v>116</v>
      </c>
      <c r="C32" s="255">
        <v>12</v>
      </c>
      <c r="D32" s="256">
        <v>0</v>
      </c>
      <c r="E32" s="105">
        <f>C32*D32</f>
        <v>0</v>
      </c>
      <c r="H32" s="259" t="s">
        <v>117</v>
      </c>
      <c r="I32" s="255">
        <v>12</v>
      </c>
      <c r="J32" s="256">
        <v>0</v>
      </c>
      <c r="K32" s="105">
        <f>I32*J32</f>
        <v>0</v>
      </c>
      <c r="N32" s="673"/>
      <c r="O32" s="674"/>
      <c r="P32" s="674"/>
      <c r="Q32" s="674"/>
      <c r="R32" s="674"/>
      <c r="S32" s="674"/>
      <c r="T32" s="675"/>
      <c r="V32" s="503"/>
    </row>
    <row r="33" spans="2:22" ht="32.25" customHeight="1">
      <c r="B33" s="193" t="s">
        <v>118</v>
      </c>
      <c r="C33" s="227">
        <v>12</v>
      </c>
      <c r="D33" s="229">
        <v>0</v>
      </c>
      <c r="E33" s="101">
        <f>C33*D33</f>
        <v>0</v>
      </c>
      <c r="H33" s="260" t="s">
        <v>119</v>
      </c>
      <c r="I33" s="227">
        <v>12</v>
      </c>
      <c r="J33" s="229">
        <v>0</v>
      </c>
      <c r="K33" s="101">
        <f>I33*J33</f>
        <v>0</v>
      </c>
      <c r="N33" s="673"/>
      <c r="O33" s="674"/>
      <c r="P33" s="674"/>
      <c r="Q33" s="674"/>
      <c r="R33" s="674"/>
      <c r="S33" s="674"/>
      <c r="T33" s="675"/>
      <c r="V33" s="503"/>
    </row>
    <row r="34" spans="2:22" ht="37.5" customHeight="1">
      <c r="B34" s="193" t="s">
        <v>120</v>
      </c>
      <c r="C34" s="227">
        <v>12</v>
      </c>
      <c r="D34" s="229">
        <v>0</v>
      </c>
      <c r="E34" s="101">
        <f>C34*D34</f>
        <v>0</v>
      </c>
      <c r="H34" s="260" t="s">
        <v>121</v>
      </c>
      <c r="I34" s="227">
        <v>12</v>
      </c>
      <c r="J34" s="229">
        <v>0</v>
      </c>
      <c r="K34" s="101">
        <f>I34*J34</f>
        <v>0</v>
      </c>
      <c r="N34" s="673"/>
      <c r="O34" s="674"/>
      <c r="P34" s="674"/>
      <c r="Q34" s="674"/>
      <c r="R34" s="674"/>
      <c r="S34" s="674"/>
      <c r="T34" s="675"/>
      <c r="V34" s="503"/>
    </row>
    <row r="35" spans="2:22" ht="42" customHeight="1">
      <c r="B35" s="232" t="s">
        <v>122</v>
      </c>
      <c r="C35" s="227">
        <v>12</v>
      </c>
      <c r="D35" s="229">
        <v>0</v>
      </c>
      <c r="E35" s="101">
        <f>C35*D35</f>
        <v>0</v>
      </c>
      <c r="H35" s="261" t="s">
        <v>123</v>
      </c>
      <c r="I35" s="227">
        <v>12</v>
      </c>
      <c r="J35" s="229">
        <v>0</v>
      </c>
      <c r="K35" s="101">
        <f>I35*J35</f>
        <v>0</v>
      </c>
      <c r="N35" s="673"/>
      <c r="O35" s="674"/>
      <c r="P35" s="674"/>
      <c r="Q35" s="674"/>
      <c r="R35" s="674"/>
      <c r="S35" s="674"/>
      <c r="T35" s="675"/>
      <c r="V35" s="503"/>
    </row>
    <row r="36" spans="2:22" ht="33.75" customHeight="1" thickBot="1">
      <c r="B36" s="199" t="s">
        <v>124</v>
      </c>
      <c r="C36" s="258">
        <v>4</v>
      </c>
      <c r="D36" s="238">
        <v>0</v>
      </c>
      <c r="E36" s="103">
        <f>C36*D36</f>
        <v>0</v>
      </c>
      <c r="H36" s="262"/>
      <c r="I36" s="258">
        <v>0</v>
      </c>
      <c r="J36" s="258">
        <v>0</v>
      </c>
      <c r="K36" s="130">
        <f>I36*J36</f>
        <v>0</v>
      </c>
      <c r="N36" s="676"/>
      <c r="O36" s="677"/>
      <c r="P36" s="677"/>
      <c r="Q36" s="677"/>
      <c r="R36" s="677"/>
      <c r="S36" s="677"/>
      <c r="T36" s="678"/>
      <c r="V36" s="503"/>
    </row>
    <row r="37" spans="2:22" ht="22.5" customHeight="1" thickBot="1">
      <c r="B37" s="278" t="s">
        <v>88</v>
      </c>
      <c r="C37" s="303"/>
      <c r="D37" s="219">
        <f>SUM(D32:D36)</f>
        <v>0</v>
      </c>
      <c r="E37" s="221">
        <f>SUM(E32:E36)</f>
        <v>0</v>
      </c>
      <c r="H37" s="278" t="s">
        <v>88</v>
      </c>
      <c r="I37" s="217"/>
      <c r="J37" s="219">
        <f>SUM(J32:J36)</f>
        <v>0</v>
      </c>
      <c r="K37" s="221">
        <f>SUM(K32:K36)</f>
        <v>0</v>
      </c>
      <c r="V37" s="503"/>
    </row>
    <row r="38" spans="2:22">
      <c r="J38" s="18"/>
      <c r="K38" s="18"/>
      <c r="V38" s="503"/>
    </row>
    <row r="39" spans="2:22">
      <c r="V39" s="503"/>
    </row>
    <row r="40" spans="2:22" ht="15.75" thickBot="1">
      <c r="V40" s="503"/>
    </row>
    <row r="41" spans="2:22">
      <c r="B41" s="608" t="s">
        <v>125</v>
      </c>
      <c r="C41" s="609"/>
      <c r="D41" s="609"/>
      <c r="E41" s="610"/>
      <c r="G41" s="688" t="s">
        <v>126</v>
      </c>
      <c r="H41" s="689"/>
      <c r="I41" s="689"/>
      <c r="J41" s="689"/>
      <c r="K41" s="689"/>
      <c r="L41" s="689"/>
      <c r="M41" s="689"/>
      <c r="N41" s="689"/>
      <c r="O41" s="689"/>
      <c r="P41" s="689"/>
      <c r="Q41" s="689"/>
      <c r="R41" s="689"/>
      <c r="S41" s="689"/>
      <c r="T41" s="690"/>
      <c r="U41" s="44"/>
      <c r="V41" s="503"/>
    </row>
    <row r="42" spans="2:22" ht="15.75" thickBot="1">
      <c r="B42" s="242" t="s">
        <v>44</v>
      </c>
      <c r="C42" s="243" t="s">
        <v>113</v>
      </c>
      <c r="D42" s="243" t="s">
        <v>114</v>
      </c>
      <c r="E42" s="244" t="s">
        <v>115</v>
      </c>
      <c r="G42" s="266" t="s">
        <v>44</v>
      </c>
      <c r="H42" s="267" t="s">
        <v>127</v>
      </c>
      <c r="I42" s="267" t="s">
        <v>128</v>
      </c>
      <c r="J42" s="267" t="s">
        <v>129</v>
      </c>
      <c r="K42" s="267" t="s">
        <v>130</v>
      </c>
      <c r="L42" s="267" t="s">
        <v>131</v>
      </c>
      <c r="M42" s="267" t="s">
        <v>132</v>
      </c>
      <c r="N42" s="267" t="s">
        <v>133</v>
      </c>
      <c r="O42" s="267" t="s">
        <v>134</v>
      </c>
      <c r="P42" s="267" t="s">
        <v>135</v>
      </c>
      <c r="Q42" s="267" t="s">
        <v>136</v>
      </c>
      <c r="R42" s="267" t="s">
        <v>137</v>
      </c>
      <c r="S42" s="267" t="s">
        <v>138</v>
      </c>
      <c r="T42" s="268" t="s">
        <v>88</v>
      </c>
      <c r="V42" s="503"/>
    </row>
    <row r="43" spans="2:22">
      <c r="B43" s="192" t="s">
        <v>139</v>
      </c>
      <c r="C43" s="263">
        <v>12</v>
      </c>
      <c r="D43" s="104">
        <f t="shared" ref="D43:D48" si="2">E43/C43</f>
        <v>0</v>
      </c>
      <c r="E43" s="105">
        <f>L13</f>
        <v>0</v>
      </c>
      <c r="G43" s="269" t="s">
        <v>139</v>
      </c>
      <c r="H43" s="270">
        <f>E43/12</f>
        <v>0</v>
      </c>
      <c r="I43" s="270">
        <f>E43/12</f>
        <v>0</v>
      </c>
      <c r="J43" s="270">
        <f>E43/12</f>
        <v>0</v>
      </c>
      <c r="K43" s="270">
        <f>E43/12</f>
        <v>0</v>
      </c>
      <c r="L43" s="270">
        <f>E43/12</f>
        <v>0</v>
      </c>
      <c r="M43" s="270">
        <f>E43/12</f>
        <v>0</v>
      </c>
      <c r="N43" s="270">
        <f>E43/12</f>
        <v>0</v>
      </c>
      <c r="O43" s="270">
        <f>E43/12</f>
        <v>0</v>
      </c>
      <c r="P43" s="270">
        <f>E43/12</f>
        <v>0</v>
      </c>
      <c r="Q43" s="270">
        <f>E43/12</f>
        <v>0</v>
      </c>
      <c r="R43" s="270">
        <f>E43/12</f>
        <v>0</v>
      </c>
      <c r="S43" s="270">
        <f>E43/12</f>
        <v>0</v>
      </c>
      <c r="T43" s="271">
        <f>SUM(H43:S43)</f>
        <v>0</v>
      </c>
      <c r="V43" s="503"/>
    </row>
    <row r="44" spans="2:22">
      <c r="B44" s="193" t="s">
        <v>140</v>
      </c>
      <c r="C44" s="55">
        <v>12</v>
      </c>
      <c r="D44" s="6">
        <f t="shared" si="2"/>
        <v>0</v>
      </c>
      <c r="E44" s="101">
        <f>F27</f>
        <v>0</v>
      </c>
      <c r="G44" s="272" t="s">
        <v>140</v>
      </c>
      <c r="H44" s="43">
        <f>F19/2+F24/2+F26/2</f>
        <v>0</v>
      </c>
      <c r="I44" s="43">
        <f>F23/10+F25/10</f>
        <v>0</v>
      </c>
      <c r="J44" s="43">
        <f>I44</f>
        <v>0</v>
      </c>
      <c r="K44" s="43">
        <f>J44</f>
        <v>0</v>
      </c>
      <c r="L44" s="43">
        <f>K44</f>
        <v>0</v>
      </c>
      <c r="M44" s="43">
        <f>L44</f>
        <v>0</v>
      </c>
      <c r="N44" s="43">
        <f>H44</f>
        <v>0</v>
      </c>
      <c r="O44" s="43">
        <f>M44</f>
        <v>0</v>
      </c>
      <c r="P44" s="43">
        <f>O44</f>
        <v>0</v>
      </c>
      <c r="Q44" s="43">
        <f>P44</f>
        <v>0</v>
      </c>
      <c r="R44" s="43">
        <f>Q44</f>
        <v>0</v>
      </c>
      <c r="S44" s="43">
        <f>R44</f>
        <v>0</v>
      </c>
      <c r="T44" s="233">
        <f>SUM(H44:S44)</f>
        <v>0</v>
      </c>
      <c r="V44" s="503"/>
    </row>
    <row r="45" spans="2:22">
      <c r="B45" s="193" t="s">
        <v>141</v>
      </c>
      <c r="C45" s="55">
        <v>12</v>
      </c>
      <c r="D45" s="6">
        <f t="shared" si="2"/>
        <v>0</v>
      </c>
      <c r="E45" s="101">
        <f>E37</f>
        <v>0</v>
      </c>
      <c r="G45" s="272" t="s">
        <v>142</v>
      </c>
      <c r="H45" s="43">
        <f>E45/12</f>
        <v>0</v>
      </c>
      <c r="I45" s="43">
        <f>E45/12</f>
        <v>0</v>
      </c>
      <c r="J45" s="43">
        <f>E45/12</f>
        <v>0</v>
      </c>
      <c r="K45" s="43">
        <f>E45/12</f>
        <v>0</v>
      </c>
      <c r="L45" s="43">
        <f>E45/12</f>
        <v>0</v>
      </c>
      <c r="M45" s="43">
        <f>E45/12</f>
        <v>0</v>
      </c>
      <c r="N45" s="43">
        <f>E45/12</f>
        <v>0</v>
      </c>
      <c r="O45" s="43">
        <f>E45/12</f>
        <v>0</v>
      </c>
      <c r="P45" s="43">
        <f>E45/12</f>
        <v>0</v>
      </c>
      <c r="Q45" s="43">
        <f>E45/12</f>
        <v>0</v>
      </c>
      <c r="R45" s="43">
        <f>E45/12</f>
        <v>0</v>
      </c>
      <c r="S45" s="43">
        <f>E45/12</f>
        <v>0</v>
      </c>
      <c r="T45" s="233">
        <f>SUM(H45:S45)</f>
        <v>0</v>
      </c>
      <c r="V45" s="503"/>
    </row>
    <row r="46" spans="2:22">
      <c r="B46" s="193" t="s">
        <v>143</v>
      </c>
      <c r="C46" s="55">
        <v>12</v>
      </c>
      <c r="D46" s="6">
        <f t="shared" si="2"/>
        <v>0</v>
      </c>
      <c r="E46" s="101">
        <f>K37</f>
        <v>0</v>
      </c>
      <c r="G46" s="272" t="s">
        <v>144</v>
      </c>
      <c r="H46" s="43">
        <f>E46/12</f>
        <v>0</v>
      </c>
      <c r="I46" s="43">
        <f>E46/12</f>
        <v>0</v>
      </c>
      <c r="J46" s="43">
        <f>E46/12</f>
        <v>0</v>
      </c>
      <c r="K46" s="43">
        <f>E46/12</f>
        <v>0</v>
      </c>
      <c r="L46" s="43">
        <f>E46/12</f>
        <v>0</v>
      </c>
      <c r="M46" s="43">
        <f>E46/12</f>
        <v>0</v>
      </c>
      <c r="N46" s="43">
        <f>E46/12</f>
        <v>0</v>
      </c>
      <c r="O46" s="43">
        <f>E46/12</f>
        <v>0</v>
      </c>
      <c r="P46" s="43">
        <f>E46/12</f>
        <v>0</v>
      </c>
      <c r="Q46" s="43">
        <f>E46/12</f>
        <v>0</v>
      </c>
      <c r="R46" s="43">
        <f>E46/12</f>
        <v>0</v>
      </c>
      <c r="S46" s="43">
        <f>E46/12</f>
        <v>0</v>
      </c>
      <c r="T46" s="233">
        <f>SUM(H46:S46)</f>
        <v>0</v>
      </c>
      <c r="V46" s="503"/>
    </row>
    <row r="47" spans="2:22" ht="44.25" customHeight="1" thickBot="1">
      <c r="B47" s="264" t="s">
        <v>145</v>
      </c>
      <c r="C47" s="265">
        <v>12</v>
      </c>
      <c r="D47" s="102">
        <f t="shared" si="2"/>
        <v>0</v>
      </c>
      <c r="E47" s="103">
        <f>L24</f>
        <v>0</v>
      </c>
      <c r="G47" s="264" t="s">
        <v>145</v>
      </c>
      <c r="H47" s="212">
        <f>E47/12</f>
        <v>0</v>
      </c>
      <c r="I47" s="212">
        <f>E47/12</f>
        <v>0</v>
      </c>
      <c r="J47" s="212">
        <f>E47/12</f>
        <v>0</v>
      </c>
      <c r="K47" s="212">
        <f>E47/12</f>
        <v>0</v>
      </c>
      <c r="L47" s="212">
        <f>E47/12</f>
        <v>0</v>
      </c>
      <c r="M47" s="212">
        <f>E47/12</f>
        <v>0</v>
      </c>
      <c r="N47" s="212">
        <f>E47/12</f>
        <v>0</v>
      </c>
      <c r="O47" s="212">
        <f>E47/12</f>
        <v>0</v>
      </c>
      <c r="P47" s="212">
        <f>E47/12</f>
        <v>0</v>
      </c>
      <c r="Q47" s="212">
        <f>E47/12</f>
        <v>0</v>
      </c>
      <c r="R47" s="212">
        <f>E47/12</f>
        <v>0</v>
      </c>
      <c r="S47" s="212">
        <f>E47/12</f>
        <v>0</v>
      </c>
      <c r="T47" s="273">
        <f>SUM(H47:S47)</f>
        <v>0</v>
      </c>
      <c r="V47" s="503"/>
    </row>
    <row r="48" spans="2:22" ht="15.75" thickBot="1">
      <c r="B48" s="278" t="s">
        <v>146</v>
      </c>
      <c r="C48" s="302">
        <v>12</v>
      </c>
      <c r="D48" s="219">
        <f t="shared" si="2"/>
        <v>0</v>
      </c>
      <c r="E48" s="236">
        <f>SUM(E43:E47)</f>
        <v>0</v>
      </c>
      <c r="G48" s="296" t="s">
        <v>146</v>
      </c>
      <c r="H48" s="297">
        <f t="shared" ref="H48:S48" si="3">SUM(H43:H47)</f>
        <v>0</v>
      </c>
      <c r="I48" s="297">
        <f t="shared" si="3"/>
        <v>0</v>
      </c>
      <c r="J48" s="297">
        <f t="shared" si="3"/>
        <v>0</v>
      </c>
      <c r="K48" s="297">
        <f t="shared" si="3"/>
        <v>0</v>
      </c>
      <c r="L48" s="297">
        <f t="shared" si="3"/>
        <v>0</v>
      </c>
      <c r="M48" s="297">
        <f t="shared" si="3"/>
        <v>0</v>
      </c>
      <c r="N48" s="297">
        <f t="shared" si="3"/>
        <v>0</v>
      </c>
      <c r="O48" s="297">
        <f t="shared" si="3"/>
        <v>0</v>
      </c>
      <c r="P48" s="297">
        <f t="shared" si="3"/>
        <v>0</v>
      </c>
      <c r="Q48" s="297">
        <f t="shared" si="3"/>
        <v>0</v>
      </c>
      <c r="R48" s="297">
        <f t="shared" si="3"/>
        <v>0</v>
      </c>
      <c r="S48" s="297">
        <f t="shared" si="3"/>
        <v>0</v>
      </c>
      <c r="T48" s="298">
        <f>SUM(T43:T47)</f>
        <v>0</v>
      </c>
      <c r="V48" s="503"/>
    </row>
    <row r="49" spans="2:22" ht="15.75" thickBot="1">
      <c r="G49" s="299" t="s">
        <v>147</v>
      </c>
      <c r="H49" s="300" t="e">
        <f>H48*100/T48</f>
        <v>#DIV/0!</v>
      </c>
      <c r="I49" s="300" t="e">
        <f>I48*100/T48</f>
        <v>#DIV/0!</v>
      </c>
      <c r="J49" s="300" t="e">
        <f>J48*100/T48</f>
        <v>#DIV/0!</v>
      </c>
      <c r="K49" s="300" t="e">
        <f>K48*100/T48</f>
        <v>#DIV/0!</v>
      </c>
      <c r="L49" s="300" t="e">
        <f>L48*100/T48</f>
        <v>#DIV/0!</v>
      </c>
      <c r="M49" s="300" t="e">
        <f>M48*100/T48</f>
        <v>#DIV/0!</v>
      </c>
      <c r="N49" s="300" t="e">
        <f>N48*100/T48</f>
        <v>#DIV/0!</v>
      </c>
      <c r="O49" s="300" t="e">
        <f>O48*100/T48</f>
        <v>#DIV/0!</v>
      </c>
      <c r="P49" s="300" t="e">
        <f>P48*100/T48</f>
        <v>#DIV/0!</v>
      </c>
      <c r="Q49" s="300" t="e">
        <f>Q48*100/T48</f>
        <v>#DIV/0!</v>
      </c>
      <c r="R49" s="300" t="e">
        <f>R48*100/T48</f>
        <v>#DIV/0!</v>
      </c>
      <c r="S49" s="300" t="e">
        <f>S48*100/T48</f>
        <v>#DIV/0!</v>
      </c>
      <c r="T49" s="301" t="e">
        <f>T48*100/T48</f>
        <v>#DIV/0!</v>
      </c>
      <c r="V49" s="503"/>
    </row>
    <row r="50" spans="2:22" ht="15.75" thickBot="1">
      <c r="V50" s="503"/>
    </row>
    <row r="51" spans="2:22" ht="30.75" thickBot="1">
      <c r="E51" s="334" t="s">
        <v>148</v>
      </c>
      <c r="F51" s="314">
        <v>0.1</v>
      </c>
      <c r="G51" s="315">
        <v>0.1</v>
      </c>
      <c r="H51" s="315">
        <v>0.1</v>
      </c>
      <c r="I51" s="315">
        <v>0.1</v>
      </c>
      <c r="J51" s="315">
        <v>0.1</v>
      </c>
      <c r="K51" s="315">
        <v>0.1</v>
      </c>
      <c r="L51" s="315">
        <v>0.1</v>
      </c>
      <c r="M51" s="315">
        <v>0.1</v>
      </c>
      <c r="N51" s="315">
        <v>0.1</v>
      </c>
      <c r="O51" s="316">
        <v>0.1</v>
      </c>
      <c r="P51" s="40" t="s">
        <v>10</v>
      </c>
      <c r="Q51" s="661" t="s">
        <v>149</v>
      </c>
      <c r="R51" s="662"/>
      <c r="S51" s="662"/>
      <c r="T51" s="663"/>
      <c r="V51" s="503"/>
    </row>
    <row r="52" spans="2:22" ht="15.75" thickBot="1">
      <c r="B52" s="582" t="s">
        <v>150</v>
      </c>
      <c r="C52" s="583"/>
      <c r="D52" s="584"/>
      <c r="E52" s="317" t="s">
        <v>151</v>
      </c>
      <c r="F52" s="318" t="s">
        <v>152</v>
      </c>
      <c r="G52" s="318" t="s">
        <v>153</v>
      </c>
      <c r="H52" s="318" t="s">
        <v>154</v>
      </c>
      <c r="I52" s="318" t="s">
        <v>155</v>
      </c>
      <c r="J52" s="319" t="s">
        <v>156</v>
      </c>
      <c r="K52" s="319" t="s">
        <v>157</v>
      </c>
      <c r="L52" s="319" t="s">
        <v>158</v>
      </c>
      <c r="M52" s="319" t="s">
        <v>159</v>
      </c>
      <c r="N52" s="319" t="s">
        <v>160</v>
      </c>
      <c r="O52" s="320" t="s">
        <v>161</v>
      </c>
      <c r="Q52" s="664"/>
      <c r="R52" s="665"/>
      <c r="S52" s="665"/>
      <c r="T52" s="666"/>
      <c r="V52" s="503"/>
    </row>
    <row r="53" spans="2:22" ht="15.75" thickBot="1">
      <c r="B53" s="625" t="s">
        <v>162</v>
      </c>
      <c r="C53" s="626"/>
      <c r="D53" s="627"/>
      <c r="E53" s="321"/>
      <c r="F53" s="322">
        <f>'inversiones cría'!D32+'inversiones cría'!D33</f>
        <v>0</v>
      </c>
      <c r="G53" s="322">
        <f t="shared" ref="G53:O53" si="4">F72+F73+F74+F75+F76+F77+F78+F79+F80+F81+F82</f>
        <v>0</v>
      </c>
      <c r="H53" s="323">
        <f t="shared" si="4"/>
        <v>0</v>
      </c>
      <c r="I53" s="323">
        <f t="shared" si="4"/>
        <v>0</v>
      </c>
      <c r="J53" s="324">
        <f t="shared" si="4"/>
        <v>0</v>
      </c>
      <c r="K53" s="322">
        <f t="shared" si="4"/>
        <v>0</v>
      </c>
      <c r="L53" s="322">
        <f t="shared" si="4"/>
        <v>0</v>
      </c>
      <c r="M53" s="323">
        <f t="shared" si="4"/>
        <v>0</v>
      </c>
      <c r="N53" s="325">
        <f t="shared" si="4"/>
        <v>0</v>
      </c>
      <c r="O53" s="326">
        <f t="shared" si="4"/>
        <v>0</v>
      </c>
      <c r="Q53" s="667"/>
      <c r="R53" s="668"/>
      <c r="S53" s="668"/>
      <c r="T53" s="669"/>
      <c r="V53" s="503"/>
    </row>
    <row r="54" spans="2:22">
      <c r="B54" s="628" t="s">
        <v>163</v>
      </c>
      <c r="C54" s="629"/>
      <c r="D54" s="630"/>
      <c r="E54" s="12"/>
      <c r="F54" s="14">
        <f>'inversiones cría'!F49</f>
        <v>0</v>
      </c>
      <c r="G54" s="13"/>
      <c r="H54" s="9"/>
      <c r="I54" s="9"/>
      <c r="J54" s="19"/>
      <c r="K54" s="14"/>
      <c r="L54" s="13"/>
      <c r="M54" s="9"/>
      <c r="N54" s="11"/>
      <c r="O54" s="327"/>
      <c r="V54" s="503"/>
    </row>
    <row r="55" spans="2:22">
      <c r="B55" s="628" t="s">
        <v>164</v>
      </c>
      <c r="C55" s="629"/>
      <c r="D55" s="630"/>
      <c r="E55" s="10"/>
      <c r="F55" s="14">
        <f>E43</f>
        <v>0</v>
      </c>
      <c r="G55" s="11">
        <f>F55*(1+F$51)</f>
        <v>0</v>
      </c>
      <c r="H55" s="11">
        <f t="shared" ref="H55:O55" si="5">G55*(1+G$51)</f>
        <v>0</v>
      </c>
      <c r="I55" s="11">
        <f t="shared" si="5"/>
        <v>0</v>
      </c>
      <c r="J55" s="11">
        <f t="shared" si="5"/>
        <v>0</v>
      </c>
      <c r="K55" s="11">
        <f t="shared" si="5"/>
        <v>0</v>
      </c>
      <c r="L55" s="11">
        <f t="shared" si="5"/>
        <v>0</v>
      </c>
      <c r="M55" s="11">
        <f t="shared" si="5"/>
        <v>0</v>
      </c>
      <c r="N55" s="11">
        <f t="shared" si="5"/>
        <v>0</v>
      </c>
      <c r="O55" s="327">
        <f t="shared" si="5"/>
        <v>0</v>
      </c>
      <c r="V55" s="503"/>
    </row>
    <row r="56" spans="2:22">
      <c r="B56" s="628" t="s">
        <v>165</v>
      </c>
      <c r="C56" s="629"/>
      <c r="D56" s="630"/>
      <c r="E56" s="12"/>
      <c r="F56" s="15">
        <f>E44</f>
        <v>0</v>
      </c>
      <c r="G56" s="11">
        <f t="shared" ref="G56:O59" si="6">F56*(1+F$51)</f>
        <v>0</v>
      </c>
      <c r="H56" s="11">
        <f t="shared" si="6"/>
        <v>0</v>
      </c>
      <c r="I56" s="11">
        <f t="shared" si="6"/>
        <v>0</v>
      </c>
      <c r="J56" s="11">
        <f t="shared" si="6"/>
        <v>0</v>
      </c>
      <c r="K56" s="11">
        <f t="shared" si="6"/>
        <v>0</v>
      </c>
      <c r="L56" s="11">
        <f t="shared" si="6"/>
        <v>0</v>
      </c>
      <c r="M56" s="11">
        <f t="shared" si="6"/>
        <v>0</v>
      </c>
      <c r="N56" s="11">
        <f t="shared" si="6"/>
        <v>0</v>
      </c>
      <c r="O56" s="327">
        <f t="shared" si="6"/>
        <v>0</v>
      </c>
      <c r="V56" s="503"/>
    </row>
    <row r="57" spans="2:22">
      <c r="B57" s="628" t="s">
        <v>166</v>
      </c>
      <c r="C57" s="629"/>
      <c r="D57" s="630"/>
      <c r="E57" s="12"/>
      <c r="F57" s="14">
        <f>E45</f>
        <v>0</v>
      </c>
      <c r="G57" s="11">
        <f t="shared" si="6"/>
        <v>0</v>
      </c>
      <c r="H57" s="11">
        <f t="shared" si="6"/>
        <v>0</v>
      </c>
      <c r="I57" s="11">
        <f t="shared" si="6"/>
        <v>0</v>
      </c>
      <c r="J57" s="11">
        <f t="shared" si="6"/>
        <v>0</v>
      </c>
      <c r="K57" s="11">
        <f t="shared" si="6"/>
        <v>0</v>
      </c>
      <c r="L57" s="11">
        <f t="shared" si="6"/>
        <v>0</v>
      </c>
      <c r="M57" s="11">
        <f t="shared" si="6"/>
        <v>0</v>
      </c>
      <c r="N57" s="11">
        <f t="shared" si="6"/>
        <v>0</v>
      </c>
      <c r="O57" s="327">
        <f t="shared" si="6"/>
        <v>0</v>
      </c>
      <c r="V57" s="503"/>
    </row>
    <row r="58" spans="2:22">
      <c r="B58" s="628" t="s">
        <v>167</v>
      </c>
      <c r="C58" s="629"/>
      <c r="D58" s="630"/>
      <c r="E58" s="12"/>
      <c r="F58" s="14">
        <f>E46</f>
        <v>0</v>
      </c>
      <c r="G58" s="11">
        <f t="shared" si="6"/>
        <v>0</v>
      </c>
      <c r="H58" s="11">
        <f t="shared" si="6"/>
        <v>0</v>
      </c>
      <c r="I58" s="11">
        <f t="shared" si="6"/>
        <v>0</v>
      </c>
      <c r="J58" s="11">
        <f t="shared" si="6"/>
        <v>0</v>
      </c>
      <c r="K58" s="11">
        <f t="shared" si="6"/>
        <v>0</v>
      </c>
      <c r="L58" s="11">
        <f t="shared" si="6"/>
        <v>0</v>
      </c>
      <c r="M58" s="11">
        <f t="shared" si="6"/>
        <v>0</v>
      </c>
      <c r="N58" s="11">
        <f t="shared" si="6"/>
        <v>0</v>
      </c>
      <c r="O58" s="327">
        <f t="shared" si="6"/>
        <v>0</v>
      </c>
      <c r="V58" s="503"/>
    </row>
    <row r="59" spans="2:22">
      <c r="B59" s="628" t="s">
        <v>145</v>
      </c>
      <c r="C59" s="629"/>
      <c r="D59" s="630"/>
      <c r="E59" s="12"/>
      <c r="F59" s="11">
        <f>E47</f>
        <v>0</v>
      </c>
      <c r="G59" s="11">
        <f t="shared" si="6"/>
        <v>0</v>
      </c>
      <c r="H59" s="11">
        <f t="shared" si="6"/>
        <v>0</v>
      </c>
      <c r="I59" s="11">
        <f t="shared" si="6"/>
        <v>0</v>
      </c>
      <c r="J59" s="20">
        <f t="shared" si="6"/>
        <v>0</v>
      </c>
      <c r="K59" s="11">
        <f t="shared" si="6"/>
        <v>0</v>
      </c>
      <c r="L59" s="11">
        <f t="shared" si="6"/>
        <v>0</v>
      </c>
      <c r="M59" s="11">
        <f t="shared" si="6"/>
        <v>0</v>
      </c>
      <c r="N59" s="11">
        <f t="shared" si="6"/>
        <v>0</v>
      </c>
      <c r="O59" s="327">
        <f t="shared" si="6"/>
        <v>0</v>
      </c>
      <c r="V59" s="503"/>
    </row>
    <row r="60" spans="2:22">
      <c r="B60" s="628"/>
      <c r="C60" s="629"/>
      <c r="D60" s="630"/>
      <c r="E60" s="12"/>
      <c r="F60" s="11"/>
      <c r="G60" s="11"/>
      <c r="H60" s="11"/>
      <c r="I60" s="11"/>
      <c r="J60" s="20"/>
      <c r="K60" s="13"/>
      <c r="L60" s="13"/>
      <c r="M60" s="9"/>
      <c r="N60" s="11"/>
      <c r="O60" s="327"/>
      <c r="V60" s="503"/>
    </row>
    <row r="61" spans="2:22">
      <c r="B61" s="628"/>
      <c r="C61" s="629"/>
      <c r="D61" s="630"/>
      <c r="E61" s="12"/>
      <c r="F61" s="11"/>
      <c r="G61" s="11"/>
      <c r="H61" s="11"/>
      <c r="I61" s="11"/>
      <c r="J61" s="20"/>
      <c r="K61" s="14"/>
      <c r="L61" s="13"/>
      <c r="M61" s="9"/>
      <c r="N61" s="16"/>
      <c r="O61" s="328"/>
      <c r="V61" s="503"/>
    </row>
    <row r="62" spans="2:22" ht="15.75" thickBot="1">
      <c r="B62" s="637"/>
      <c r="C62" s="638"/>
      <c r="D62" s="639"/>
      <c r="E62" s="329"/>
      <c r="F62" s="330"/>
      <c r="G62" s="330"/>
      <c r="H62" s="330"/>
      <c r="I62" s="330"/>
      <c r="J62" s="331"/>
      <c r="K62" s="332"/>
      <c r="L62" s="330"/>
      <c r="M62" s="330"/>
      <c r="N62" s="330"/>
      <c r="O62" s="333"/>
      <c r="V62" s="503"/>
    </row>
    <row r="63" spans="2:22">
      <c r="B63" s="640" t="s">
        <v>168</v>
      </c>
      <c r="C63" s="641"/>
      <c r="D63" s="642"/>
      <c r="E63" s="305"/>
      <c r="F63" s="306">
        <f t="shared" ref="F63:O63" si="7">SUM(F55:F62)</f>
        <v>0</v>
      </c>
      <c r="G63" s="306">
        <f t="shared" si="7"/>
        <v>0</v>
      </c>
      <c r="H63" s="306">
        <f t="shared" si="7"/>
        <v>0</v>
      </c>
      <c r="I63" s="306">
        <f t="shared" si="7"/>
        <v>0</v>
      </c>
      <c r="J63" s="307">
        <f t="shared" si="7"/>
        <v>0</v>
      </c>
      <c r="K63" s="307">
        <f t="shared" si="7"/>
        <v>0</v>
      </c>
      <c r="L63" s="307">
        <f t="shared" si="7"/>
        <v>0</v>
      </c>
      <c r="M63" s="307">
        <f t="shared" si="7"/>
        <v>0</v>
      </c>
      <c r="N63" s="307">
        <f t="shared" si="7"/>
        <v>0</v>
      </c>
      <c r="O63" s="308">
        <f t="shared" si="7"/>
        <v>0</v>
      </c>
      <c r="P63" s="214"/>
      <c r="V63" s="503"/>
    </row>
    <row r="64" spans="2:22" ht="15.75" thickBot="1">
      <c r="B64" s="634" t="s">
        <v>169</v>
      </c>
      <c r="C64" s="635"/>
      <c r="D64" s="636"/>
      <c r="E64" s="352"/>
      <c r="F64" s="353" t="e">
        <f t="shared" ref="F64:O64" si="8">F63/F53</f>
        <v>#DIV/0!</v>
      </c>
      <c r="G64" s="353" t="e">
        <f t="shared" si="8"/>
        <v>#DIV/0!</v>
      </c>
      <c r="H64" s="353" t="e">
        <f t="shared" si="8"/>
        <v>#DIV/0!</v>
      </c>
      <c r="I64" s="353" t="e">
        <f t="shared" si="8"/>
        <v>#DIV/0!</v>
      </c>
      <c r="J64" s="354" t="e">
        <f t="shared" si="8"/>
        <v>#DIV/0!</v>
      </c>
      <c r="K64" s="354" t="e">
        <f t="shared" si="8"/>
        <v>#DIV/0!</v>
      </c>
      <c r="L64" s="354" t="e">
        <f t="shared" si="8"/>
        <v>#DIV/0!</v>
      </c>
      <c r="M64" s="354" t="e">
        <f t="shared" si="8"/>
        <v>#DIV/0!</v>
      </c>
      <c r="N64" s="355" t="e">
        <f t="shared" si="8"/>
        <v>#DIV/0!</v>
      </c>
      <c r="O64" s="356" t="e">
        <f t="shared" si="8"/>
        <v>#DIV/0!</v>
      </c>
      <c r="V64" s="503"/>
    </row>
    <row r="65" spans="2:22">
      <c r="B65" s="225"/>
      <c r="C65" s="225"/>
      <c r="D65" s="225"/>
      <c r="E65" s="225"/>
      <c r="F65" s="225"/>
      <c r="G65" s="225"/>
      <c r="H65" s="225"/>
      <c r="I65" s="225"/>
      <c r="J65" s="225"/>
      <c r="K65" s="225"/>
      <c r="L65" s="225"/>
      <c r="M65" s="225"/>
      <c r="N65" s="225"/>
      <c r="O65" s="225"/>
      <c r="V65" s="503"/>
    </row>
    <row r="66" spans="2:22">
      <c r="V66" s="503"/>
    </row>
    <row r="67" spans="2:22" ht="15.75" thickBot="1">
      <c r="B67" s="213"/>
      <c r="C67" s="213"/>
      <c r="D67" s="213"/>
      <c r="E67" s="213"/>
      <c r="F67" s="213"/>
      <c r="G67" s="213"/>
      <c r="H67" s="213"/>
      <c r="I67" s="213"/>
      <c r="J67" s="213"/>
      <c r="K67" s="213"/>
      <c r="L67" s="213"/>
      <c r="M67" s="213"/>
      <c r="N67" s="213"/>
      <c r="O67" s="213"/>
      <c r="V67" s="503"/>
    </row>
    <row r="68" spans="2:22" ht="44.25" customHeight="1" thickBot="1">
      <c r="B68" s="98" t="s">
        <v>170</v>
      </c>
      <c r="C68" s="611" t="s">
        <v>171</v>
      </c>
      <c r="D68" s="611"/>
      <c r="E68" s="611"/>
      <c r="F68" s="611"/>
      <c r="G68" s="611"/>
      <c r="H68" s="611"/>
      <c r="I68" s="611"/>
      <c r="J68" s="611"/>
      <c r="K68" s="611"/>
      <c r="L68" s="611"/>
      <c r="M68" s="611"/>
      <c r="N68" s="611"/>
      <c r="O68" s="612"/>
      <c r="V68" s="503"/>
    </row>
    <row r="69" spans="2:22" ht="27" customHeight="1">
      <c r="B69" s="585" t="s">
        <v>172</v>
      </c>
      <c r="C69" s="585"/>
      <c r="D69" s="586"/>
      <c r="E69" s="97" t="s">
        <v>151</v>
      </c>
      <c r="F69" s="495">
        <v>1</v>
      </c>
      <c r="G69" s="274">
        <v>0.7</v>
      </c>
      <c r="H69" s="274">
        <v>0.7</v>
      </c>
      <c r="I69" s="274">
        <v>0.7</v>
      </c>
      <c r="J69" s="274">
        <v>0.7</v>
      </c>
      <c r="K69" s="274">
        <v>0.7</v>
      </c>
      <c r="L69" s="274">
        <v>0.7</v>
      </c>
      <c r="M69" s="274">
        <v>0.7</v>
      </c>
      <c r="N69" s="274">
        <v>0.7</v>
      </c>
      <c r="O69" s="274">
        <v>0.7</v>
      </c>
      <c r="P69" s="40" t="s">
        <v>10</v>
      </c>
      <c r="Q69" s="679" t="s">
        <v>173</v>
      </c>
      <c r="R69" s="680"/>
      <c r="S69" s="681"/>
      <c r="V69" s="503"/>
    </row>
    <row r="70" spans="2:22" ht="21.75" customHeight="1">
      <c r="B70" s="585" t="s">
        <v>174</v>
      </c>
      <c r="C70" s="585"/>
      <c r="D70" s="586"/>
      <c r="E70" s="7"/>
      <c r="F70" s="47">
        <f>365/(F69)</f>
        <v>365</v>
      </c>
      <c r="G70" s="47">
        <f t="shared" ref="G70:O70" si="9">365/(G69)</f>
        <v>521.42857142857144</v>
      </c>
      <c r="H70" s="47">
        <f t="shared" si="9"/>
        <v>521.42857142857144</v>
      </c>
      <c r="I70" s="47">
        <f t="shared" si="9"/>
        <v>521.42857142857144</v>
      </c>
      <c r="J70" s="47">
        <f t="shared" si="9"/>
        <v>521.42857142857144</v>
      </c>
      <c r="K70" s="47">
        <f t="shared" si="9"/>
        <v>521.42857142857144</v>
      </c>
      <c r="L70" s="47">
        <f t="shared" si="9"/>
        <v>521.42857142857144</v>
      </c>
      <c r="M70" s="47">
        <f t="shared" si="9"/>
        <v>521.42857142857144</v>
      </c>
      <c r="N70" s="47">
        <f t="shared" si="9"/>
        <v>521.42857142857144</v>
      </c>
      <c r="O70" s="47">
        <f t="shared" si="9"/>
        <v>521.42857142857144</v>
      </c>
      <c r="Q70" s="682"/>
      <c r="R70" s="683"/>
      <c r="S70" s="684"/>
      <c r="V70" s="503"/>
    </row>
    <row r="71" spans="2:22" ht="20.25" customHeight="1" thickBot="1">
      <c r="B71" s="585" t="s">
        <v>73</v>
      </c>
      <c r="C71" s="585"/>
      <c r="D71" s="586"/>
      <c r="E71" s="7" t="s">
        <v>151</v>
      </c>
      <c r="F71" s="8" t="s">
        <v>152</v>
      </c>
      <c r="G71" s="8" t="s">
        <v>153</v>
      </c>
      <c r="H71" s="8" t="s">
        <v>154</v>
      </c>
      <c r="I71" s="8" t="s">
        <v>155</v>
      </c>
      <c r="J71" s="8" t="s">
        <v>156</v>
      </c>
      <c r="K71" s="8" t="s">
        <v>157</v>
      </c>
      <c r="L71" s="8" t="s">
        <v>158</v>
      </c>
      <c r="M71" s="8" t="s">
        <v>159</v>
      </c>
      <c r="N71" s="21" t="s">
        <v>160</v>
      </c>
      <c r="O71" s="21" t="s">
        <v>161</v>
      </c>
      <c r="Q71" s="685"/>
      <c r="R71" s="686"/>
      <c r="S71" s="687"/>
      <c r="V71" s="503"/>
    </row>
    <row r="72" spans="2:22">
      <c r="B72" s="619" t="s">
        <v>175</v>
      </c>
      <c r="C72" s="620"/>
      <c r="D72" s="621"/>
      <c r="E72" s="4"/>
      <c r="F72" s="4">
        <f>'inversiones cría'!D33</f>
        <v>0</v>
      </c>
      <c r="G72" s="4">
        <f>F72+F76</f>
        <v>0</v>
      </c>
      <c r="H72" s="4">
        <f>G72+G76</f>
        <v>0</v>
      </c>
      <c r="I72" s="33">
        <f>H72+H76</f>
        <v>0</v>
      </c>
      <c r="J72" s="33">
        <f>I72+I76</f>
        <v>0</v>
      </c>
      <c r="K72" s="33">
        <f>J72+J76-J81</f>
        <v>0</v>
      </c>
      <c r="L72" s="33">
        <f>K72+K76-K81</f>
        <v>0</v>
      </c>
      <c r="M72" s="33">
        <f>L72+L76-L81</f>
        <v>0</v>
      </c>
      <c r="N72" s="33">
        <f>M72+M76-M81</f>
        <v>0</v>
      </c>
      <c r="O72" s="33">
        <f>N72+N76-N81</f>
        <v>0</v>
      </c>
      <c r="V72" s="503"/>
    </row>
    <row r="73" spans="2:22" ht="15.75" thickBot="1">
      <c r="B73" s="622" t="s">
        <v>176</v>
      </c>
      <c r="C73" s="623"/>
      <c r="D73" s="624"/>
      <c r="E73" s="17"/>
      <c r="F73" s="35">
        <f>'inversiones cría'!D32</f>
        <v>0</v>
      </c>
      <c r="G73" s="35">
        <f>F73+F79</f>
        <v>0</v>
      </c>
      <c r="H73" s="35">
        <f>G73+G79</f>
        <v>0</v>
      </c>
      <c r="I73" s="35">
        <f>H73+H79</f>
        <v>0</v>
      </c>
      <c r="J73" s="35">
        <f>I73+I79</f>
        <v>0</v>
      </c>
      <c r="K73" s="35">
        <f>J73+J79</f>
        <v>0</v>
      </c>
      <c r="L73" s="35">
        <f>K73+K79-K82</f>
        <v>0</v>
      </c>
      <c r="M73" s="35">
        <f>L73+L79-L82</f>
        <v>0</v>
      </c>
      <c r="N73" s="35">
        <f>M73+M79-M82</f>
        <v>0</v>
      </c>
      <c r="O73" s="35">
        <f>N73+N79-N82</f>
        <v>0</v>
      </c>
      <c r="V73" s="503"/>
    </row>
    <row r="74" spans="2:22">
      <c r="B74" s="631" t="s">
        <v>177</v>
      </c>
      <c r="C74" s="632"/>
      <c r="D74" s="633"/>
      <c r="E74" s="24"/>
      <c r="F74" s="206">
        <f>ROUND($F$73*$F$69/2,0)+'inversiones cría'!D35</f>
        <v>0</v>
      </c>
      <c r="G74" s="25">
        <f>ROUND(G73*G69/2,0)</f>
        <v>0</v>
      </c>
      <c r="H74" s="24">
        <f t="shared" ref="H74:O74" si="10">ROUND(H73*H69/2,0)</f>
        <v>0</v>
      </c>
      <c r="I74" s="82">
        <f t="shared" si="10"/>
        <v>0</v>
      </c>
      <c r="J74" s="206">
        <f t="shared" si="10"/>
        <v>0</v>
      </c>
      <c r="K74" s="25">
        <f t="shared" si="10"/>
        <v>0</v>
      </c>
      <c r="L74" s="24">
        <f t="shared" si="10"/>
        <v>0</v>
      </c>
      <c r="M74" s="82">
        <f t="shared" si="10"/>
        <v>0</v>
      </c>
      <c r="N74" s="206">
        <f t="shared" si="10"/>
        <v>0</v>
      </c>
      <c r="O74" s="85">
        <f t="shared" si="10"/>
        <v>0</v>
      </c>
      <c r="V74" s="503"/>
    </row>
    <row r="75" spans="2:22">
      <c r="B75" s="643" t="s">
        <v>178</v>
      </c>
      <c r="C75" s="620"/>
      <c r="D75" s="621"/>
      <c r="E75" s="4"/>
      <c r="F75" s="4">
        <f>'inversiones cría'!D36</f>
        <v>0</v>
      </c>
      <c r="G75" s="207">
        <f t="shared" ref="G75:O75" si="11">(F74*2/100)</f>
        <v>0</v>
      </c>
      <c r="H75" s="69">
        <f t="shared" si="11"/>
        <v>0</v>
      </c>
      <c r="I75" s="33">
        <f t="shared" si="11"/>
        <v>0</v>
      </c>
      <c r="J75" s="83">
        <f t="shared" si="11"/>
        <v>0</v>
      </c>
      <c r="K75" s="209">
        <f t="shared" si="11"/>
        <v>0</v>
      </c>
      <c r="L75" s="69">
        <f t="shared" si="11"/>
        <v>0</v>
      </c>
      <c r="M75" s="33">
        <f t="shared" si="11"/>
        <v>0</v>
      </c>
      <c r="N75" s="83">
        <f t="shared" si="11"/>
        <v>0</v>
      </c>
      <c r="O75" s="211">
        <f t="shared" si="11"/>
        <v>0</v>
      </c>
      <c r="V75" s="503"/>
    </row>
    <row r="76" spans="2:22" ht="15.75" thickBot="1">
      <c r="B76" s="616" t="s">
        <v>179</v>
      </c>
      <c r="C76" s="617"/>
      <c r="D76" s="618"/>
      <c r="E76" s="26"/>
      <c r="F76" s="26">
        <f>'inversiones cría'!D37</f>
        <v>0</v>
      </c>
      <c r="G76" s="26">
        <f>F75</f>
        <v>0</v>
      </c>
      <c r="H76" s="208">
        <f t="shared" ref="H76:O76" si="12">G75</f>
        <v>0</v>
      </c>
      <c r="I76" s="70">
        <f t="shared" si="12"/>
        <v>0</v>
      </c>
      <c r="J76" s="75">
        <f t="shared" si="12"/>
        <v>0</v>
      </c>
      <c r="K76" s="84">
        <f t="shared" si="12"/>
        <v>0</v>
      </c>
      <c r="L76" s="210">
        <f t="shared" si="12"/>
        <v>0</v>
      </c>
      <c r="M76" s="70">
        <f t="shared" si="12"/>
        <v>0</v>
      </c>
      <c r="N76" s="75">
        <f t="shared" si="12"/>
        <v>0</v>
      </c>
      <c r="O76" s="86">
        <f t="shared" si="12"/>
        <v>0</v>
      </c>
      <c r="V76" s="503"/>
    </row>
    <row r="77" spans="2:22">
      <c r="B77" s="631" t="s">
        <v>55</v>
      </c>
      <c r="C77" s="632"/>
      <c r="D77" s="633"/>
      <c r="E77" s="24"/>
      <c r="F77" s="27">
        <f>ROUNDDOWN($F$73*$F$69/2,0)+'inversiones cría'!D38</f>
        <v>0</v>
      </c>
      <c r="G77" s="28">
        <f t="shared" ref="G77:O77" si="13">ROUNDDOWN(G73*G69/2,0)</f>
        <v>0</v>
      </c>
      <c r="H77" s="37">
        <f t="shared" si="13"/>
        <v>0</v>
      </c>
      <c r="I77" s="38">
        <f t="shared" si="13"/>
        <v>0</v>
      </c>
      <c r="J77" s="27">
        <f t="shared" si="13"/>
        <v>0</v>
      </c>
      <c r="K77" s="28">
        <f t="shared" si="13"/>
        <v>0</v>
      </c>
      <c r="L77" s="37">
        <f t="shared" si="13"/>
        <v>0</v>
      </c>
      <c r="M77" s="38">
        <f t="shared" si="13"/>
        <v>0</v>
      </c>
      <c r="N77" s="27">
        <f t="shared" si="13"/>
        <v>0</v>
      </c>
      <c r="O77" s="28">
        <f t="shared" si="13"/>
        <v>0</v>
      </c>
      <c r="V77" s="503"/>
    </row>
    <row r="78" spans="2:22">
      <c r="B78" s="643" t="s">
        <v>21</v>
      </c>
      <c r="C78" s="620"/>
      <c r="D78" s="621"/>
      <c r="E78" s="4"/>
      <c r="F78" s="4">
        <f>'inversiones cría'!D39</f>
        <v>0</v>
      </c>
      <c r="G78" s="32">
        <f t="shared" ref="G78:O78" si="14">(F77*15/100)</f>
        <v>0</v>
      </c>
      <c r="H78" s="71">
        <f t="shared" si="14"/>
        <v>0</v>
      </c>
      <c r="I78" s="73">
        <f t="shared" si="14"/>
        <v>0</v>
      </c>
      <c r="J78" s="76">
        <f t="shared" si="14"/>
        <v>0</v>
      </c>
      <c r="K78" s="32">
        <f t="shared" si="14"/>
        <v>0</v>
      </c>
      <c r="L78" s="71">
        <f t="shared" si="14"/>
        <v>0</v>
      </c>
      <c r="M78" s="73">
        <f t="shared" si="14"/>
        <v>0</v>
      </c>
      <c r="N78" s="76">
        <f t="shared" si="14"/>
        <v>0</v>
      </c>
      <c r="O78" s="87">
        <f t="shared" si="14"/>
        <v>0</v>
      </c>
      <c r="V78" s="503"/>
    </row>
    <row r="79" spans="2:22" ht="15.75" thickBot="1">
      <c r="B79" s="647" t="s">
        <v>180</v>
      </c>
      <c r="C79" s="648"/>
      <c r="D79" s="649"/>
      <c r="E79" s="26"/>
      <c r="F79" s="26">
        <f>'inversiones cría'!D40</f>
        <v>0</v>
      </c>
      <c r="G79" s="26">
        <f>F78</f>
        <v>0</v>
      </c>
      <c r="H79" s="68">
        <f t="shared" ref="H79:J79" si="15">G78</f>
        <v>0</v>
      </c>
      <c r="I79" s="72">
        <f t="shared" si="15"/>
        <v>0</v>
      </c>
      <c r="J79" s="74">
        <f t="shared" si="15"/>
        <v>0</v>
      </c>
      <c r="K79" s="77">
        <f>J78</f>
        <v>0</v>
      </c>
      <c r="L79" s="68">
        <f t="shared" ref="L79:O79" si="16">K78</f>
        <v>0</v>
      </c>
      <c r="M79" s="72">
        <f t="shared" si="16"/>
        <v>0</v>
      </c>
      <c r="N79" s="74">
        <f t="shared" si="16"/>
        <v>0</v>
      </c>
      <c r="O79" s="88">
        <f t="shared" si="16"/>
        <v>0</v>
      </c>
      <c r="V79" s="503"/>
    </row>
    <row r="80" spans="2:22">
      <c r="B80" s="644" t="s">
        <v>181</v>
      </c>
      <c r="C80" s="644"/>
      <c r="D80" s="644"/>
      <c r="E80" s="23"/>
      <c r="F80" s="36">
        <f>(F74+F77)-(G75+G78)</f>
        <v>0</v>
      </c>
      <c r="G80" s="36">
        <f>(G74+G77)-(H75+H78)</f>
        <v>0</v>
      </c>
      <c r="H80" s="36">
        <f t="shared" ref="H80:O80" si="17">(H74+H77)-(H75+H78)</f>
        <v>0</v>
      </c>
      <c r="I80" s="36">
        <f t="shared" si="17"/>
        <v>0</v>
      </c>
      <c r="J80" s="36">
        <f t="shared" si="17"/>
        <v>0</v>
      </c>
      <c r="K80" s="36">
        <f t="shared" si="17"/>
        <v>0</v>
      </c>
      <c r="L80" s="36">
        <f t="shared" si="17"/>
        <v>0</v>
      </c>
      <c r="M80" s="36">
        <f t="shared" si="17"/>
        <v>0</v>
      </c>
      <c r="N80" s="36">
        <f t="shared" si="17"/>
        <v>0</v>
      </c>
      <c r="O80" s="36">
        <f t="shared" si="17"/>
        <v>0</v>
      </c>
      <c r="Q80" s="39"/>
      <c r="V80" s="503"/>
    </row>
    <row r="81" spans="2:22">
      <c r="B81" s="644" t="s">
        <v>182</v>
      </c>
      <c r="C81" s="644"/>
      <c r="D81" s="644"/>
      <c r="E81" s="4"/>
      <c r="F81" s="4">
        <f>'inversiones cría'!D14</f>
        <v>0</v>
      </c>
      <c r="G81" s="4">
        <f t="shared" ref="G81:I82" si="18">G72-G72</f>
        <v>0</v>
      </c>
      <c r="H81" s="4">
        <f t="shared" si="18"/>
        <v>0</v>
      </c>
      <c r="I81" s="4">
        <f>I72-I72</f>
        <v>0</v>
      </c>
      <c r="J81" s="33">
        <f t="shared" ref="J81:O81" si="19">J72*20/100</f>
        <v>0</v>
      </c>
      <c r="K81" s="33">
        <f t="shared" si="19"/>
        <v>0</v>
      </c>
      <c r="L81" s="33">
        <f t="shared" si="19"/>
        <v>0</v>
      </c>
      <c r="M81" s="33">
        <f t="shared" si="19"/>
        <v>0</v>
      </c>
      <c r="N81" s="33">
        <f t="shared" si="19"/>
        <v>0</v>
      </c>
      <c r="O81" s="33">
        <f t="shared" si="19"/>
        <v>0</v>
      </c>
      <c r="V81" s="503"/>
    </row>
    <row r="82" spans="2:22">
      <c r="B82" s="644" t="s">
        <v>183</v>
      </c>
      <c r="C82" s="644"/>
      <c r="D82" s="644"/>
      <c r="E82" s="4"/>
      <c r="F82" s="33">
        <f>'inversiones cría'!D15</f>
        <v>0</v>
      </c>
      <c r="G82" s="33">
        <f t="shared" si="18"/>
        <v>0</v>
      </c>
      <c r="H82" s="33">
        <f t="shared" si="18"/>
        <v>0</v>
      </c>
      <c r="I82" s="33">
        <f t="shared" si="18"/>
        <v>0</v>
      </c>
      <c r="J82" s="33">
        <f>J73-J73</f>
        <v>0</v>
      </c>
      <c r="K82" s="33">
        <f>F73/100*10</f>
        <v>0</v>
      </c>
      <c r="L82" s="33">
        <f>K73*0.1</f>
        <v>0</v>
      </c>
      <c r="M82" s="33">
        <f>L73*0.1</f>
        <v>0</v>
      </c>
      <c r="N82" s="33">
        <f>M73*0.1</f>
        <v>0</v>
      </c>
      <c r="O82" s="33">
        <f>N73*0.1</f>
        <v>0</v>
      </c>
      <c r="V82" s="503"/>
    </row>
    <row r="83" spans="2:22">
      <c r="B83" s="644" t="s">
        <v>184</v>
      </c>
      <c r="C83" s="644"/>
      <c r="D83" s="644"/>
      <c r="E83" s="4"/>
      <c r="F83" s="33">
        <f t="shared" ref="F83:K83" si="20">F80+F81+F82</f>
        <v>0</v>
      </c>
      <c r="G83" s="33">
        <f t="shared" si="20"/>
        <v>0</v>
      </c>
      <c r="H83" s="33">
        <f t="shared" si="20"/>
        <v>0</v>
      </c>
      <c r="I83" s="33">
        <f t="shared" si="20"/>
        <v>0</v>
      </c>
      <c r="J83" s="33">
        <f t="shared" si="20"/>
        <v>0</v>
      </c>
      <c r="K83" s="33">
        <f t="shared" si="20"/>
        <v>0</v>
      </c>
      <c r="L83" s="33">
        <f>L80+L81+L82</f>
        <v>0</v>
      </c>
      <c r="M83" s="33">
        <f>M80+M81+M82</f>
        <v>0</v>
      </c>
      <c r="N83" s="33">
        <f>N80+N81+N82</f>
        <v>0</v>
      </c>
      <c r="O83" s="33">
        <f>O80+O81+O82</f>
        <v>0</v>
      </c>
      <c r="V83" s="503"/>
    </row>
    <row r="84" spans="2:22">
      <c r="V84" s="503"/>
    </row>
    <row r="85" spans="2:22">
      <c r="B85" s="585" t="s">
        <v>185</v>
      </c>
      <c r="C85" s="585"/>
      <c r="D85" s="586"/>
      <c r="E85" s="7" t="s">
        <v>151</v>
      </c>
      <c r="F85" s="8">
        <v>1</v>
      </c>
      <c r="G85" s="8">
        <v>2</v>
      </c>
      <c r="H85" s="8">
        <v>3</v>
      </c>
      <c r="I85" s="8">
        <v>4</v>
      </c>
      <c r="J85" s="8">
        <v>5</v>
      </c>
      <c r="K85" s="8">
        <v>6</v>
      </c>
      <c r="L85" s="8">
        <v>7</v>
      </c>
      <c r="M85" s="8">
        <v>8</v>
      </c>
      <c r="N85" s="8">
        <v>9</v>
      </c>
      <c r="O85" s="8">
        <v>10</v>
      </c>
      <c r="V85" s="503"/>
    </row>
    <row r="86" spans="2:22">
      <c r="B86" s="645" t="s">
        <v>186</v>
      </c>
      <c r="C86" s="645"/>
      <c r="D86" s="646"/>
      <c r="E86" s="48"/>
      <c r="F86" s="57">
        <v>180</v>
      </c>
      <c r="G86" s="57">
        <v>180</v>
      </c>
      <c r="H86" s="57">
        <v>180</v>
      </c>
      <c r="I86" s="57">
        <v>180</v>
      </c>
      <c r="J86" s="57">
        <v>180</v>
      </c>
      <c r="K86" s="57">
        <v>180</v>
      </c>
      <c r="L86" s="57">
        <v>180</v>
      </c>
      <c r="M86" s="57">
        <v>180</v>
      </c>
      <c r="N86" s="57">
        <v>180</v>
      </c>
      <c r="O86" s="57">
        <v>180</v>
      </c>
      <c r="V86" s="503"/>
    </row>
    <row r="87" spans="2:22">
      <c r="B87" s="585" t="s">
        <v>187</v>
      </c>
      <c r="C87" s="585"/>
      <c r="D87" s="586"/>
      <c r="E87" s="7"/>
      <c r="F87" s="8">
        <f>+F80*F86</f>
        <v>0</v>
      </c>
      <c r="G87" s="8">
        <f t="shared" ref="G87:O87" si="21">+G80*G86</f>
        <v>0</v>
      </c>
      <c r="H87" s="8">
        <f t="shared" si="21"/>
        <v>0</v>
      </c>
      <c r="I87" s="8">
        <f t="shared" si="21"/>
        <v>0</v>
      </c>
      <c r="J87" s="8">
        <f t="shared" si="21"/>
        <v>0</v>
      </c>
      <c r="K87" s="8">
        <f t="shared" si="21"/>
        <v>0</v>
      </c>
      <c r="L87" s="8">
        <f t="shared" si="21"/>
        <v>0</v>
      </c>
      <c r="M87" s="8">
        <f t="shared" si="21"/>
        <v>0</v>
      </c>
      <c r="N87" s="8">
        <f t="shared" si="21"/>
        <v>0</v>
      </c>
      <c r="O87" s="8">
        <f t="shared" si="21"/>
        <v>0</v>
      </c>
      <c r="V87" s="503"/>
    </row>
    <row r="88" spans="2:22">
      <c r="B88" s="585" t="s">
        <v>188</v>
      </c>
      <c r="C88" s="585"/>
      <c r="D88" s="586"/>
      <c r="E88" s="7"/>
      <c r="F88" s="8">
        <f t="shared" ref="F88:O88" si="22">+(F83+F84)*F86*2.78</f>
        <v>0</v>
      </c>
      <c r="G88" s="8">
        <f t="shared" si="22"/>
        <v>0</v>
      </c>
      <c r="H88" s="8">
        <f t="shared" si="22"/>
        <v>0</v>
      </c>
      <c r="I88" s="8">
        <f t="shared" si="22"/>
        <v>0</v>
      </c>
      <c r="J88" s="51">
        <f t="shared" si="22"/>
        <v>0</v>
      </c>
      <c r="K88" s="51">
        <f t="shared" si="22"/>
        <v>0</v>
      </c>
      <c r="L88" s="51">
        <f t="shared" si="22"/>
        <v>0</v>
      </c>
      <c r="M88" s="51">
        <f t="shared" si="22"/>
        <v>0</v>
      </c>
      <c r="N88" s="51">
        <f t="shared" si="22"/>
        <v>0</v>
      </c>
      <c r="O88" s="51">
        <f t="shared" si="22"/>
        <v>0</v>
      </c>
      <c r="V88" s="503"/>
    </row>
    <row r="89" spans="2:22">
      <c r="B89" s="650" t="s">
        <v>189</v>
      </c>
      <c r="C89" s="650"/>
      <c r="D89" s="651"/>
      <c r="E89" s="7"/>
      <c r="F89" s="52" t="e">
        <f>+SUM(F87:F88)/'inversiones cría'!$D$5</f>
        <v>#DIV/0!</v>
      </c>
      <c r="G89" s="52" t="e">
        <f>+SUM(G87:G88)/'inversiones cría'!$D$5</f>
        <v>#DIV/0!</v>
      </c>
      <c r="H89" s="52" t="e">
        <f>+SUM(H87:H88)/'inversiones cría'!$D$5</f>
        <v>#DIV/0!</v>
      </c>
      <c r="I89" s="52" t="e">
        <f>+SUM(I87:I88)/'inversiones cría'!$D$5</f>
        <v>#DIV/0!</v>
      </c>
      <c r="J89" s="52" t="e">
        <f>+SUM(J87:J88)/'inversiones cría'!$D$5</f>
        <v>#DIV/0!</v>
      </c>
      <c r="K89" s="52" t="e">
        <f>+SUM(K87:K88)/'inversiones cría'!$D$5</f>
        <v>#DIV/0!</v>
      </c>
      <c r="L89" s="52" t="e">
        <f>+SUM(L87:L88)/'inversiones cría'!$D$5</f>
        <v>#DIV/0!</v>
      </c>
      <c r="M89" s="52" t="e">
        <f>+SUM(M87:M88)/'inversiones cría'!$D$5</f>
        <v>#DIV/0!</v>
      </c>
      <c r="N89" s="52" t="e">
        <f>+SUM(N87:N88)/'inversiones cría'!$D$5</f>
        <v>#DIV/0!</v>
      </c>
      <c r="O89" s="52" t="e">
        <f>+SUM(O87:O88)/'inversiones cría'!$D$5</f>
        <v>#DIV/0!</v>
      </c>
      <c r="V89" s="503"/>
    </row>
    <row r="90" spans="2:22">
      <c r="B90" s="585" t="s">
        <v>190</v>
      </c>
      <c r="C90" s="585"/>
      <c r="D90" s="586"/>
      <c r="E90" s="7"/>
      <c r="F90" s="53" t="e">
        <f t="shared" ref="F90:O90" si="23">+F63/SUM(F87,F88)</f>
        <v>#DIV/0!</v>
      </c>
      <c r="G90" s="53" t="e">
        <f t="shared" si="23"/>
        <v>#DIV/0!</v>
      </c>
      <c r="H90" s="53" t="e">
        <f t="shared" si="23"/>
        <v>#DIV/0!</v>
      </c>
      <c r="I90" s="53" t="e">
        <f t="shared" si="23"/>
        <v>#DIV/0!</v>
      </c>
      <c r="J90" s="53" t="e">
        <f t="shared" si="23"/>
        <v>#DIV/0!</v>
      </c>
      <c r="K90" s="53" t="e">
        <f t="shared" si="23"/>
        <v>#DIV/0!</v>
      </c>
      <c r="L90" s="53" t="e">
        <f t="shared" si="23"/>
        <v>#DIV/0!</v>
      </c>
      <c r="M90" s="53" t="e">
        <f t="shared" si="23"/>
        <v>#DIV/0!</v>
      </c>
      <c r="N90" s="53" t="e">
        <f t="shared" si="23"/>
        <v>#DIV/0!</v>
      </c>
      <c r="O90" s="53" t="e">
        <f t="shared" si="23"/>
        <v>#DIV/0!</v>
      </c>
      <c r="V90" s="503"/>
    </row>
    <row r="91" spans="2:22" ht="15.75" thickBot="1">
      <c r="B91" s="585" t="s">
        <v>191</v>
      </c>
      <c r="C91" s="585"/>
      <c r="D91" s="586"/>
      <c r="E91" s="7"/>
      <c r="F91" s="53" t="e">
        <f>+(F63/365)/SUM(F72,F73,F74,F77,F80)</f>
        <v>#DIV/0!</v>
      </c>
      <c r="G91" s="53" t="e">
        <f t="shared" ref="G91:O91" si="24">+(G63/365)/SUM(G72,G73,G74,G77,G80)</f>
        <v>#DIV/0!</v>
      </c>
      <c r="H91" s="53" t="e">
        <f t="shared" si="24"/>
        <v>#DIV/0!</v>
      </c>
      <c r="I91" s="53" t="e">
        <f t="shared" si="24"/>
        <v>#DIV/0!</v>
      </c>
      <c r="J91" s="53" t="e">
        <f t="shared" si="24"/>
        <v>#DIV/0!</v>
      </c>
      <c r="K91" s="53" t="e">
        <f t="shared" si="24"/>
        <v>#DIV/0!</v>
      </c>
      <c r="L91" s="53" t="e">
        <f t="shared" si="24"/>
        <v>#DIV/0!</v>
      </c>
      <c r="M91" s="53" t="e">
        <f t="shared" si="24"/>
        <v>#DIV/0!</v>
      </c>
      <c r="N91" s="53" t="e">
        <f t="shared" si="24"/>
        <v>#DIV/0!</v>
      </c>
      <c r="O91" s="53" t="e">
        <f t="shared" si="24"/>
        <v>#DIV/0!</v>
      </c>
      <c r="V91" s="503"/>
    </row>
    <row r="92" spans="2:22" ht="22.5">
      <c r="B92" s="585" t="s">
        <v>192</v>
      </c>
      <c r="C92" s="585"/>
      <c r="D92" s="586"/>
      <c r="E92" s="7"/>
      <c r="F92" s="275">
        <v>5000</v>
      </c>
      <c r="G92" s="275">
        <v>5000</v>
      </c>
      <c r="H92" s="275">
        <v>5000</v>
      </c>
      <c r="I92" s="275">
        <v>5000</v>
      </c>
      <c r="J92" s="275">
        <v>5000</v>
      </c>
      <c r="K92" s="275">
        <v>5000</v>
      </c>
      <c r="L92" s="275">
        <v>5000</v>
      </c>
      <c r="M92" s="275">
        <v>5000</v>
      </c>
      <c r="N92" s="275">
        <v>5000</v>
      </c>
      <c r="O92" s="275">
        <v>5000</v>
      </c>
      <c r="P92" s="40" t="s">
        <v>10</v>
      </c>
      <c r="Q92" s="652" t="s">
        <v>193</v>
      </c>
      <c r="R92" s="653"/>
      <c r="S92" s="654"/>
      <c r="V92" s="503"/>
    </row>
    <row r="93" spans="2:22">
      <c r="B93" s="585" t="s">
        <v>194</v>
      </c>
      <c r="C93" s="585"/>
      <c r="D93" s="586"/>
      <c r="E93" s="7"/>
      <c r="F93" s="46" t="e">
        <f>+F90/F92</f>
        <v>#DIV/0!</v>
      </c>
      <c r="G93" s="46" t="e">
        <f t="shared" ref="G93:O93" si="25">+G90/G92</f>
        <v>#DIV/0!</v>
      </c>
      <c r="H93" s="46" t="e">
        <f t="shared" si="25"/>
        <v>#DIV/0!</v>
      </c>
      <c r="I93" s="46" t="e">
        <f t="shared" si="25"/>
        <v>#DIV/0!</v>
      </c>
      <c r="J93" s="46" t="e">
        <f t="shared" si="25"/>
        <v>#DIV/0!</v>
      </c>
      <c r="K93" s="46" t="e">
        <f t="shared" si="25"/>
        <v>#DIV/0!</v>
      </c>
      <c r="L93" s="46" t="e">
        <f t="shared" si="25"/>
        <v>#DIV/0!</v>
      </c>
      <c r="M93" s="46" t="e">
        <f t="shared" si="25"/>
        <v>#DIV/0!</v>
      </c>
      <c r="N93" s="46" t="e">
        <f t="shared" si="25"/>
        <v>#DIV/0!</v>
      </c>
      <c r="O93" s="46" t="e">
        <f t="shared" si="25"/>
        <v>#DIV/0!</v>
      </c>
      <c r="Q93" s="655"/>
      <c r="R93" s="656"/>
      <c r="S93" s="657"/>
      <c r="V93" s="503"/>
    </row>
    <row r="94" spans="2:22" ht="15.75" thickBot="1">
      <c r="B94" s="585" t="s">
        <v>195</v>
      </c>
      <c r="C94" s="585"/>
      <c r="D94" s="586"/>
      <c r="E94" s="7"/>
      <c r="F94" s="46" t="e">
        <f>+F91/F92</f>
        <v>#DIV/0!</v>
      </c>
      <c r="G94" s="46" t="e">
        <f t="shared" ref="G94:O94" si="26">+G91/G92</f>
        <v>#DIV/0!</v>
      </c>
      <c r="H94" s="46" t="e">
        <f t="shared" si="26"/>
        <v>#DIV/0!</v>
      </c>
      <c r="I94" s="46" t="e">
        <f t="shared" si="26"/>
        <v>#DIV/0!</v>
      </c>
      <c r="J94" s="46" t="e">
        <f t="shared" si="26"/>
        <v>#DIV/0!</v>
      </c>
      <c r="K94" s="46" t="e">
        <f t="shared" si="26"/>
        <v>#DIV/0!</v>
      </c>
      <c r="L94" s="46" t="e">
        <f t="shared" si="26"/>
        <v>#DIV/0!</v>
      </c>
      <c r="M94" s="46" t="e">
        <f t="shared" si="26"/>
        <v>#DIV/0!</v>
      </c>
      <c r="N94" s="46" t="e">
        <f t="shared" si="26"/>
        <v>#DIV/0!</v>
      </c>
      <c r="O94" s="46" t="e">
        <f t="shared" si="26"/>
        <v>#DIV/0!</v>
      </c>
      <c r="Q94" s="658"/>
      <c r="R94" s="659"/>
      <c r="S94" s="660"/>
      <c r="V94" s="503"/>
    </row>
    <row r="95" spans="2:22">
      <c r="V95" s="503"/>
    </row>
    <row r="96" spans="2:22">
      <c r="V96" s="503"/>
    </row>
    <row r="97" spans="1:22">
      <c r="V97" s="503"/>
    </row>
    <row r="98" spans="1:22">
      <c r="V98" s="503"/>
    </row>
    <row r="99" spans="1:22" ht="15.75" thickBot="1">
      <c r="V99" s="503"/>
    </row>
    <row r="100" spans="1:22" ht="15.75" thickBot="1">
      <c r="A100" s="138"/>
      <c r="B100" s="139"/>
      <c r="C100" s="139"/>
      <c r="D100" s="139"/>
      <c r="E100" s="139"/>
      <c r="F100" s="139"/>
      <c r="G100" s="139"/>
      <c r="H100" s="139"/>
      <c r="I100" s="139"/>
      <c r="J100" s="139"/>
      <c r="K100" s="139"/>
      <c r="L100" s="139"/>
      <c r="M100" s="139"/>
      <c r="N100" s="139"/>
      <c r="O100" s="139"/>
      <c r="P100" s="139"/>
      <c r="Q100" s="139"/>
      <c r="R100" s="139"/>
      <c r="S100" s="139"/>
      <c r="T100" s="139"/>
      <c r="U100" s="139"/>
      <c r="V100" s="504"/>
    </row>
  </sheetData>
  <sheetProtection password="E869" sheet="1" objects="1" scenarios="1"/>
  <mergeCells count="60">
    <mergeCell ref="Q51:T53"/>
    <mergeCell ref="N30:T36"/>
    <mergeCell ref="N21:T25"/>
    <mergeCell ref="Q69:S71"/>
    <mergeCell ref="G41:T41"/>
    <mergeCell ref="B2:L2"/>
    <mergeCell ref="V1:V100"/>
    <mergeCell ref="B94:D94"/>
    <mergeCell ref="B92:D92"/>
    <mergeCell ref="B93:D93"/>
    <mergeCell ref="B70:D70"/>
    <mergeCell ref="B71:D71"/>
    <mergeCell ref="B87:D87"/>
    <mergeCell ref="B88:D88"/>
    <mergeCell ref="B89:D89"/>
    <mergeCell ref="B90:D90"/>
    <mergeCell ref="B91:D91"/>
    <mergeCell ref="B80:D80"/>
    <mergeCell ref="B77:D77"/>
    <mergeCell ref="B75:D75"/>
    <mergeCell ref="Q92:S94"/>
    <mergeCell ref="B78:D78"/>
    <mergeCell ref="B83:D83"/>
    <mergeCell ref="B85:D85"/>
    <mergeCell ref="B86:D86"/>
    <mergeCell ref="B81:D81"/>
    <mergeCell ref="B82:D82"/>
    <mergeCell ref="B79:D79"/>
    <mergeCell ref="B76:D76"/>
    <mergeCell ref="B72:D72"/>
    <mergeCell ref="B73:D73"/>
    <mergeCell ref="B53:D53"/>
    <mergeCell ref="B56:D56"/>
    <mergeCell ref="B57:D57"/>
    <mergeCell ref="B58:D58"/>
    <mergeCell ref="B55:D55"/>
    <mergeCell ref="B54:D54"/>
    <mergeCell ref="B74:D74"/>
    <mergeCell ref="B64:D64"/>
    <mergeCell ref="B59:D59"/>
    <mergeCell ref="B60:D60"/>
    <mergeCell ref="B61:D61"/>
    <mergeCell ref="B62:D62"/>
    <mergeCell ref="B63:D63"/>
    <mergeCell ref="B52:D52"/>
    <mergeCell ref="B69:D69"/>
    <mergeCell ref="N6:P6"/>
    <mergeCell ref="N8:T13"/>
    <mergeCell ref="N15:T18"/>
    <mergeCell ref="C29:D29"/>
    <mergeCell ref="I29:J29"/>
    <mergeCell ref="B6:L6"/>
    <mergeCell ref="B17:F17"/>
    <mergeCell ref="B30:E30"/>
    <mergeCell ref="B41:E41"/>
    <mergeCell ref="H30:K30"/>
    <mergeCell ref="C68:O68"/>
    <mergeCell ref="D16:E16"/>
    <mergeCell ref="I17:L17"/>
    <mergeCell ref="J16:K16"/>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V23"/>
  <sheetViews>
    <sheetView topLeftCell="A16" zoomScale="82" zoomScaleNormal="82" workbookViewId="0">
      <selection activeCell="C10" sqref="C10"/>
    </sheetView>
  </sheetViews>
  <sheetFormatPr defaultColWidth="11.42578125" defaultRowHeight="15"/>
  <cols>
    <col min="2" max="2" width="19.140625" customWidth="1"/>
    <col min="3" max="3" width="13.140625" customWidth="1"/>
    <col min="4" max="4" width="12.85546875" customWidth="1"/>
    <col min="5" max="5" width="14.28515625" customWidth="1"/>
    <col min="6" max="6" width="13.28515625" customWidth="1"/>
    <col min="7" max="7" width="13.42578125" customWidth="1"/>
    <col min="8" max="8" width="14.85546875" customWidth="1"/>
    <col min="9" max="9" width="15.28515625" customWidth="1"/>
    <col min="10" max="11" width="14.5703125" customWidth="1"/>
    <col min="12" max="12" width="15" customWidth="1"/>
  </cols>
  <sheetData>
    <row r="1" spans="1:22" ht="15.75" thickBot="1">
      <c r="V1" s="502"/>
    </row>
    <row r="2" spans="1:22" ht="26.25" customHeight="1" thickBot="1">
      <c r="A2" s="31"/>
      <c r="B2" s="555" t="s">
        <v>196</v>
      </c>
      <c r="C2" s="556"/>
      <c r="D2" s="556"/>
      <c r="E2" s="556"/>
      <c r="F2" s="556"/>
      <c r="G2" s="556"/>
      <c r="H2" s="556"/>
      <c r="I2" s="556"/>
      <c r="J2" s="556"/>
      <c r="K2" s="556"/>
      <c r="L2" s="556"/>
      <c r="M2" s="557"/>
      <c r="O2" s="691" t="s">
        <v>72</v>
      </c>
      <c r="P2" s="692"/>
      <c r="Q2" s="692"/>
      <c r="R2" s="693"/>
      <c r="V2" s="503"/>
    </row>
    <row r="3" spans="1:22" ht="27.75" thickBot="1">
      <c r="O3" s="41" t="s">
        <v>27</v>
      </c>
      <c r="V3" s="503"/>
    </row>
    <row r="4" spans="1:22" ht="18.75" customHeight="1">
      <c r="F4" s="694"/>
      <c r="N4" s="187"/>
      <c r="O4" s="695" t="s">
        <v>197</v>
      </c>
      <c r="P4" s="696"/>
      <c r="Q4" s="696"/>
      <c r="R4" s="696"/>
      <c r="S4" s="696"/>
      <c r="T4" s="697"/>
      <c r="V4" s="503"/>
    </row>
    <row r="5" spans="1:22" ht="18" customHeight="1" thickBot="1">
      <c r="F5" s="694"/>
      <c r="N5" s="187"/>
      <c r="O5" s="698"/>
      <c r="P5" s="699"/>
      <c r="Q5" s="699"/>
      <c r="R5" s="699"/>
      <c r="S5" s="699"/>
      <c r="T5" s="700"/>
      <c r="V5" s="503"/>
    </row>
    <row r="6" spans="1:22" ht="24.75" customHeight="1" thickBot="1">
      <c r="B6" s="106" t="s">
        <v>44</v>
      </c>
      <c r="C6" s="107" t="s">
        <v>198</v>
      </c>
      <c r="D6" s="107" t="s">
        <v>199</v>
      </c>
      <c r="E6" s="107" t="s">
        <v>200</v>
      </c>
      <c r="F6" s="107" t="s">
        <v>201</v>
      </c>
      <c r="G6" s="107" t="s">
        <v>202</v>
      </c>
      <c r="H6" s="107" t="s">
        <v>203</v>
      </c>
      <c r="I6" s="107" t="s">
        <v>158</v>
      </c>
      <c r="J6" s="107" t="s">
        <v>159</v>
      </c>
      <c r="K6" s="107" t="s">
        <v>160</v>
      </c>
      <c r="L6" s="108" t="s">
        <v>161</v>
      </c>
      <c r="M6" s="214"/>
      <c r="N6" s="187"/>
      <c r="O6" s="698"/>
      <c r="P6" s="699"/>
      <c r="Q6" s="699"/>
      <c r="R6" s="699"/>
      <c r="S6" s="699"/>
      <c r="T6" s="700"/>
      <c r="V6" s="503"/>
    </row>
    <row r="7" spans="1:22" ht="19.5" customHeight="1">
      <c r="B7" s="192" t="s">
        <v>204</v>
      </c>
      <c r="C7" s="99">
        <f>' Costos año cría'!F80</f>
        <v>0</v>
      </c>
      <c r="D7" s="99">
        <f>' Costos año cría'!G80</f>
        <v>0</v>
      </c>
      <c r="E7" s="99">
        <f>' Costos año cría'!H80</f>
        <v>0</v>
      </c>
      <c r="F7" s="99">
        <f>' Costos año cría'!I80</f>
        <v>0</v>
      </c>
      <c r="G7" s="99">
        <f>' Costos año cría'!J80</f>
        <v>0</v>
      </c>
      <c r="H7" s="99">
        <f>' Costos año cría'!K80</f>
        <v>0</v>
      </c>
      <c r="I7" s="99">
        <f>' Costos año cría'!L80</f>
        <v>0</v>
      </c>
      <c r="J7" s="99">
        <f>' Costos año cría'!M80</f>
        <v>0</v>
      </c>
      <c r="K7" s="99">
        <f>' Costos año cría'!N80</f>
        <v>0</v>
      </c>
      <c r="L7" s="100">
        <f>' Costos año cría'!O80</f>
        <v>0</v>
      </c>
      <c r="M7" s="214"/>
      <c r="N7" s="187"/>
      <c r="O7" s="698"/>
      <c r="P7" s="699"/>
      <c r="Q7" s="699"/>
      <c r="R7" s="699"/>
      <c r="S7" s="699"/>
      <c r="T7" s="700"/>
      <c r="V7" s="503"/>
    </row>
    <row r="8" spans="1:22" ht="18.75" customHeight="1">
      <c r="B8" s="193" t="s">
        <v>205</v>
      </c>
      <c r="C8" s="56">
        <f>'inversiones cría'!N8</f>
        <v>0</v>
      </c>
      <c r="D8" s="6">
        <f>C8*(1+' Costos año cría'!F51)</f>
        <v>0</v>
      </c>
      <c r="E8" s="6">
        <f>D8*(1+' Costos año cría'!G51)</f>
        <v>0</v>
      </c>
      <c r="F8" s="6">
        <f>E8*(1+' Costos año cría'!H51)</f>
        <v>0</v>
      </c>
      <c r="G8" s="6">
        <f>F8*(1+' Costos año cría'!I51)</f>
        <v>0</v>
      </c>
      <c r="H8" s="6">
        <f>G8*(1+' Costos año cría'!J51)</f>
        <v>0</v>
      </c>
      <c r="I8" s="6">
        <f>H8*(1+' Costos año cría'!K51)</f>
        <v>0</v>
      </c>
      <c r="J8" s="6">
        <f>I8*(1+' Costos año cría'!L51)</f>
        <v>0</v>
      </c>
      <c r="K8" s="6">
        <f>J8*(1+' Costos año cría'!M51)</f>
        <v>0</v>
      </c>
      <c r="L8" s="101">
        <f>K8*(1+' Costos año cría'!N51)</f>
        <v>0</v>
      </c>
      <c r="M8" s="214"/>
      <c r="N8" s="187"/>
      <c r="O8" s="698"/>
      <c r="P8" s="699"/>
      <c r="Q8" s="699"/>
      <c r="R8" s="699"/>
      <c r="S8" s="699"/>
      <c r="T8" s="700"/>
      <c r="V8" s="503"/>
    </row>
    <row r="9" spans="1:22" ht="31.5" customHeight="1" thickBot="1">
      <c r="B9" s="194" t="s">
        <v>206</v>
      </c>
      <c r="C9" s="102">
        <f t="shared" ref="C9:L9" si="0">C8*180</f>
        <v>0</v>
      </c>
      <c r="D9" s="102">
        <f t="shared" si="0"/>
        <v>0</v>
      </c>
      <c r="E9" s="102">
        <f t="shared" si="0"/>
        <v>0</v>
      </c>
      <c r="F9" s="102">
        <f t="shared" si="0"/>
        <v>0</v>
      </c>
      <c r="G9" s="102">
        <f t="shared" si="0"/>
        <v>0</v>
      </c>
      <c r="H9" s="102">
        <f t="shared" si="0"/>
        <v>0</v>
      </c>
      <c r="I9" s="102">
        <f t="shared" si="0"/>
        <v>0</v>
      </c>
      <c r="J9" s="102">
        <f t="shared" si="0"/>
        <v>0</v>
      </c>
      <c r="K9" s="102">
        <f t="shared" si="0"/>
        <v>0</v>
      </c>
      <c r="L9" s="103">
        <f t="shared" si="0"/>
        <v>0</v>
      </c>
      <c r="M9" s="214"/>
      <c r="N9" s="187"/>
      <c r="O9" s="698"/>
      <c r="P9" s="699"/>
      <c r="Q9" s="699"/>
      <c r="R9" s="699"/>
      <c r="S9" s="699"/>
      <c r="T9" s="700"/>
      <c r="V9" s="503"/>
    </row>
    <row r="10" spans="1:22" ht="31.5" customHeight="1">
      <c r="B10" s="195" t="s">
        <v>207</v>
      </c>
      <c r="C10" s="104">
        <f>' Costos año cría'!F81+' Costos año cría'!F82</f>
        <v>0</v>
      </c>
      <c r="D10" s="104">
        <f>' Costos año cría'!G81+' Costos año cría'!G82</f>
        <v>0</v>
      </c>
      <c r="E10" s="104">
        <f>' Costos año cría'!H81+' Costos año cría'!H82</f>
        <v>0</v>
      </c>
      <c r="F10" s="104">
        <f>' Costos año cría'!I81+' Costos año cría'!I82</f>
        <v>0</v>
      </c>
      <c r="G10" s="104">
        <f>' Costos año cría'!J81+' Costos año cría'!J82</f>
        <v>0</v>
      </c>
      <c r="H10" s="104">
        <f>' Costos año cría'!K81+' Costos año cría'!K82</f>
        <v>0</v>
      </c>
      <c r="I10" s="104">
        <f>' Costos año cría'!L81+' Costos año cría'!L82</f>
        <v>0</v>
      </c>
      <c r="J10" s="104">
        <f>' Costos año cría'!M81+' Costos año cría'!M82</f>
        <v>0</v>
      </c>
      <c r="K10" s="104">
        <f>' Costos año cría'!N81+' Costos año cría'!N82</f>
        <v>0</v>
      </c>
      <c r="L10" s="105">
        <f>' Costos año cría'!O81+' Costos año cría'!O82</f>
        <v>0</v>
      </c>
      <c r="M10" s="214"/>
      <c r="N10" s="187"/>
      <c r="O10" s="698"/>
      <c r="P10" s="699"/>
      <c r="Q10" s="699"/>
      <c r="R10" s="699"/>
      <c r="S10" s="699"/>
      <c r="T10" s="700"/>
      <c r="V10" s="503"/>
    </row>
    <row r="11" spans="1:22" ht="31.5" customHeight="1" thickBot="1">
      <c r="B11" s="196" t="s">
        <v>208</v>
      </c>
      <c r="C11" s="6">
        <f>'inversiones cría'!N13</f>
        <v>0</v>
      </c>
      <c r="D11" s="6">
        <f>C11*(1+' Costos año cría'!F51)</f>
        <v>0</v>
      </c>
      <c r="E11" s="6">
        <f>D11*(1+' Costos año cría'!G51)</f>
        <v>0</v>
      </c>
      <c r="F11" s="6">
        <f>E11*(1+' Costos año cría'!H51)</f>
        <v>0</v>
      </c>
      <c r="G11" s="6">
        <f>F11*(1+' Costos año cría'!I51)</f>
        <v>0</v>
      </c>
      <c r="H11" s="6">
        <f>G11*(1+' Costos año cría'!J51)</f>
        <v>0</v>
      </c>
      <c r="I11" s="6">
        <f>H11*(1+' Costos año cría'!K51)</f>
        <v>0</v>
      </c>
      <c r="J11" s="6">
        <f>I11*(1+' Costos año cría'!L51)</f>
        <v>0</v>
      </c>
      <c r="K11" s="6">
        <f>J11*(1+' Costos año cría'!M51)</f>
        <v>0</v>
      </c>
      <c r="L11" s="101">
        <f>K11*(1+' Costos año cría'!N51)</f>
        <v>0</v>
      </c>
      <c r="M11" s="214"/>
      <c r="O11" s="701"/>
      <c r="P11" s="702"/>
      <c r="Q11" s="702"/>
      <c r="R11" s="702"/>
      <c r="S11" s="702"/>
      <c r="T11" s="703"/>
      <c r="V11" s="503"/>
    </row>
    <row r="12" spans="1:22" ht="31.5" customHeight="1" thickBot="1">
      <c r="B12" s="194" t="s">
        <v>209</v>
      </c>
      <c r="C12" s="102">
        <f t="shared" ref="C12:L12" si="1">C11*450</f>
        <v>0</v>
      </c>
      <c r="D12" s="102">
        <f t="shared" si="1"/>
        <v>0</v>
      </c>
      <c r="E12" s="102">
        <f t="shared" si="1"/>
        <v>0</v>
      </c>
      <c r="F12" s="102">
        <f t="shared" si="1"/>
        <v>0</v>
      </c>
      <c r="G12" s="102">
        <f t="shared" si="1"/>
        <v>0</v>
      </c>
      <c r="H12" s="102">
        <f t="shared" si="1"/>
        <v>0</v>
      </c>
      <c r="I12" s="102">
        <f t="shared" si="1"/>
        <v>0</v>
      </c>
      <c r="J12" s="102">
        <f t="shared" si="1"/>
        <v>0</v>
      </c>
      <c r="K12" s="102">
        <f t="shared" si="1"/>
        <v>0</v>
      </c>
      <c r="L12" s="103">
        <f t="shared" si="1"/>
        <v>0</v>
      </c>
      <c r="V12" s="503"/>
    </row>
    <row r="13" spans="1:22" ht="15.75" thickBot="1">
      <c r="B13" s="278" t="s">
        <v>210</v>
      </c>
      <c r="C13" s="371">
        <f t="shared" ref="C13:L13" si="2">(C7*C9)+(C10*C12)</f>
        <v>0</v>
      </c>
      <c r="D13" s="371">
        <f t="shared" si="2"/>
        <v>0</v>
      </c>
      <c r="E13" s="371">
        <f t="shared" si="2"/>
        <v>0</v>
      </c>
      <c r="F13" s="371">
        <f t="shared" si="2"/>
        <v>0</v>
      </c>
      <c r="G13" s="371">
        <f t="shared" si="2"/>
        <v>0</v>
      </c>
      <c r="H13" s="371">
        <f t="shared" si="2"/>
        <v>0</v>
      </c>
      <c r="I13" s="371">
        <f t="shared" si="2"/>
        <v>0</v>
      </c>
      <c r="J13" s="371">
        <f t="shared" si="2"/>
        <v>0</v>
      </c>
      <c r="K13" s="371">
        <f t="shared" si="2"/>
        <v>0</v>
      </c>
      <c r="L13" s="416">
        <f t="shared" si="2"/>
        <v>0</v>
      </c>
      <c r="V13" s="503"/>
    </row>
    <row r="14" spans="1:22" ht="15.75" thickBot="1">
      <c r="C14" s="54">
        <v>1</v>
      </c>
      <c r="D14" s="54">
        <v>2</v>
      </c>
      <c r="E14" s="54">
        <v>3</v>
      </c>
      <c r="F14" s="54">
        <v>4</v>
      </c>
      <c r="G14" s="54">
        <v>5</v>
      </c>
      <c r="H14" s="54">
        <v>6</v>
      </c>
      <c r="I14" s="54">
        <v>7</v>
      </c>
      <c r="J14" s="54">
        <v>8</v>
      </c>
      <c r="K14" s="54">
        <v>9</v>
      </c>
      <c r="L14" s="54">
        <v>10</v>
      </c>
      <c r="V14" s="503"/>
    </row>
    <row r="15" spans="1:22" ht="15.75" thickBot="1">
      <c r="B15" s="197" t="s">
        <v>211</v>
      </c>
      <c r="C15" s="419">
        <f>' Costos año cría'!F63</f>
        <v>0</v>
      </c>
      <c r="D15" s="419">
        <f>' Costos año cría'!G63</f>
        <v>0</v>
      </c>
      <c r="E15" s="419">
        <f>' Costos año cría'!H63</f>
        <v>0</v>
      </c>
      <c r="F15" s="419">
        <f>' Costos año cría'!I63</f>
        <v>0</v>
      </c>
      <c r="G15" s="419">
        <f>' Costos año cría'!J63</f>
        <v>0</v>
      </c>
      <c r="H15" s="419">
        <f>' Costos año cría'!K63</f>
        <v>0</v>
      </c>
      <c r="I15" s="419">
        <f>' Costos año cría'!L63</f>
        <v>0</v>
      </c>
      <c r="J15" s="419">
        <f>' Costos año cría'!M63</f>
        <v>0</v>
      </c>
      <c r="K15" s="419">
        <f>' Costos año cría'!N63</f>
        <v>0</v>
      </c>
      <c r="L15" s="420">
        <f>' Costos año cría'!O63</f>
        <v>0</v>
      </c>
      <c r="V15" s="503"/>
    </row>
    <row r="16" spans="1:22">
      <c r="B16" s="343" t="s">
        <v>212</v>
      </c>
      <c r="C16" s="376">
        <f t="shared" ref="C16:L16" si="3">C13-C15</f>
        <v>0</v>
      </c>
      <c r="D16" s="376">
        <f t="shared" si="3"/>
        <v>0</v>
      </c>
      <c r="E16" s="376">
        <f t="shared" si="3"/>
        <v>0</v>
      </c>
      <c r="F16" s="376">
        <f t="shared" si="3"/>
        <v>0</v>
      </c>
      <c r="G16" s="376">
        <f t="shared" si="3"/>
        <v>0</v>
      </c>
      <c r="H16" s="376">
        <f t="shared" si="3"/>
        <v>0</v>
      </c>
      <c r="I16" s="376">
        <f t="shared" si="3"/>
        <v>0</v>
      </c>
      <c r="J16" s="376">
        <f t="shared" si="3"/>
        <v>0</v>
      </c>
      <c r="K16" s="376">
        <f t="shared" si="3"/>
        <v>0</v>
      </c>
      <c r="L16" s="377">
        <f t="shared" si="3"/>
        <v>0</v>
      </c>
      <c r="V16" s="503"/>
    </row>
    <row r="17" spans="1:22" ht="15.75" thickBot="1">
      <c r="B17" s="346" t="s">
        <v>213</v>
      </c>
      <c r="C17" s="378">
        <f t="shared" ref="C17:L17" si="4">C16/12</f>
        <v>0</v>
      </c>
      <c r="D17" s="378">
        <f t="shared" si="4"/>
        <v>0</v>
      </c>
      <c r="E17" s="378">
        <f t="shared" si="4"/>
        <v>0</v>
      </c>
      <c r="F17" s="378">
        <f t="shared" si="4"/>
        <v>0</v>
      </c>
      <c r="G17" s="378">
        <f t="shared" si="4"/>
        <v>0</v>
      </c>
      <c r="H17" s="378">
        <f t="shared" si="4"/>
        <v>0</v>
      </c>
      <c r="I17" s="379">
        <f t="shared" si="4"/>
        <v>0</v>
      </c>
      <c r="J17" s="379">
        <f t="shared" si="4"/>
        <v>0</v>
      </c>
      <c r="K17" s="379">
        <f t="shared" si="4"/>
        <v>0</v>
      </c>
      <c r="L17" s="380">
        <f t="shared" si="4"/>
        <v>0</v>
      </c>
      <c r="V17" s="503"/>
    </row>
    <row r="18" spans="1:22" ht="29.25">
      <c r="B18" s="259" t="s">
        <v>214</v>
      </c>
      <c r="C18" s="421">
        <f>+C16</f>
        <v>0</v>
      </c>
      <c r="D18" s="421">
        <f>+C18+D16</f>
        <v>0</v>
      </c>
      <c r="E18" s="421">
        <f t="shared" ref="E18:L18" si="5">+D18+E16</f>
        <v>0</v>
      </c>
      <c r="F18" s="421">
        <f t="shared" si="5"/>
        <v>0</v>
      </c>
      <c r="G18" s="421">
        <f t="shared" si="5"/>
        <v>0</v>
      </c>
      <c r="H18" s="421">
        <f t="shared" si="5"/>
        <v>0</v>
      </c>
      <c r="I18" s="421">
        <f t="shared" si="5"/>
        <v>0</v>
      </c>
      <c r="J18" s="421">
        <f t="shared" si="5"/>
        <v>0</v>
      </c>
      <c r="K18" s="421">
        <f t="shared" si="5"/>
        <v>0</v>
      </c>
      <c r="L18" s="422">
        <f t="shared" si="5"/>
        <v>0</v>
      </c>
      <c r="V18" s="503"/>
    </row>
    <row r="19" spans="1:22">
      <c r="B19" s="193" t="s">
        <v>215</v>
      </c>
      <c r="C19" s="50" t="e">
        <f>+C16/'inversiones cría'!$F$49</f>
        <v>#DIV/0!</v>
      </c>
      <c r="D19" s="50" t="e">
        <f>+D16/'inversiones cría'!$F$49</f>
        <v>#DIV/0!</v>
      </c>
      <c r="E19" s="50" t="e">
        <f>+E16/'inversiones cría'!$F$49</f>
        <v>#DIV/0!</v>
      </c>
      <c r="F19" s="50" t="e">
        <f>+F16/'inversiones cría'!$F$49</f>
        <v>#DIV/0!</v>
      </c>
      <c r="G19" s="50" t="e">
        <f>+G16/'inversiones cría'!$F$49</f>
        <v>#DIV/0!</v>
      </c>
      <c r="H19" s="50" t="e">
        <f>+H16/'inversiones cría'!$F$49</f>
        <v>#DIV/0!</v>
      </c>
      <c r="I19" s="50" t="e">
        <f>+I16/'inversiones cría'!$F$49</f>
        <v>#DIV/0!</v>
      </c>
      <c r="J19" s="50" t="e">
        <f>+J16/'inversiones cría'!$F$49</f>
        <v>#DIV/0!</v>
      </c>
      <c r="K19" s="50" t="e">
        <f>+K16/'inversiones cría'!$F$49</f>
        <v>#DIV/0!</v>
      </c>
      <c r="L19" s="122" t="e">
        <f>+L16/'inversiones cría'!$F$49</f>
        <v>#DIV/0!</v>
      </c>
      <c r="V19" s="503"/>
    </row>
    <row r="20" spans="1:22" ht="15.75" thickBot="1">
      <c r="B20" s="199" t="s">
        <v>216</v>
      </c>
      <c r="C20" s="115" t="e">
        <f>(1+C19)/(1+' Costos año cría'!F51)-1</f>
        <v>#DIV/0!</v>
      </c>
      <c r="D20" s="115" t="e">
        <f>(1+D19)/(1+' Costos año cría'!G51)-1</f>
        <v>#DIV/0!</v>
      </c>
      <c r="E20" s="115" t="e">
        <f>(1+E19)/(1+' Costos año cría'!H51)-1</f>
        <v>#DIV/0!</v>
      </c>
      <c r="F20" s="115" t="e">
        <f>(1+F19)/(1+' Costos año cría'!I51)-1</f>
        <v>#DIV/0!</v>
      </c>
      <c r="G20" s="115" t="e">
        <f>(1+G19)/(1+' Costos año cría'!J51)-1</f>
        <v>#DIV/0!</v>
      </c>
      <c r="H20" s="115" t="e">
        <f>(1+H19)/(1+' Costos año cría'!K51)-1</f>
        <v>#DIV/0!</v>
      </c>
      <c r="I20" s="115" t="e">
        <f>(1+I19)/(1+' Costos año cría'!L51)-1</f>
        <v>#DIV/0!</v>
      </c>
      <c r="J20" s="115" t="e">
        <f>(1+J19)/(1+' Costos año cría'!M51)-1</f>
        <v>#DIV/0!</v>
      </c>
      <c r="K20" s="115" t="e">
        <f>(1+K19)/(1+' Costos año cría'!N51)-1</f>
        <v>#DIV/0!</v>
      </c>
      <c r="L20" s="116" t="e">
        <f>(1+L19)/(1+' Costos año cría'!O51)-1</f>
        <v>#DIV/0!</v>
      </c>
      <c r="V20" s="503"/>
    </row>
    <row r="21" spans="1:22">
      <c r="V21" s="503"/>
    </row>
    <row r="22" spans="1:22" ht="15.75" thickBot="1">
      <c r="V22" s="504"/>
    </row>
    <row r="23" spans="1:22" ht="15.75" thickBot="1">
      <c r="A23" s="499"/>
      <c r="B23" s="500"/>
      <c r="C23" s="500"/>
      <c r="D23" s="500"/>
      <c r="E23" s="500"/>
      <c r="F23" s="500"/>
      <c r="G23" s="500"/>
      <c r="H23" s="500"/>
      <c r="I23" s="500"/>
      <c r="J23" s="500"/>
      <c r="K23" s="500"/>
      <c r="L23" s="500"/>
      <c r="M23" s="500"/>
      <c r="N23" s="500"/>
      <c r="O23" s="500"/>
      <c r="P23" s="500"/>
      <c r="Q23" s="500"/>
      <c r="R23" s="500"/>
      <c r="S23" s="500"/>
      <c r="T23" s="500"/>
      <c r="U23" s="500"/>
      <c r="V23" s="501"/>
    </row>
  </sheetData>
  <sheetProtection password="E869" sheet="1" objects="1" scenarios="1"/>
  <mergeCells count="6">
    <mergeCell ref="A23:V23"/>
    <mergeCell ref="V1:V22"/>
    <mergeCell ref="O2:R2"/>
    <mergeCell ref="F4:F5"/>
    <mergeCell ref="B2:M2"/>
    <mergeCell ref="O4:T1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P29"/>
  <sheetViews>
    <sheetView topLeftCell="A19" zoomScale="82" zoomScaleNormal="82" workbookViewId="0">
      <selection activeCell="H8" sqref="H8"/>
    </sheetView>
  </sheetViews>
  <sheetFormatPr defaultColWidth="11.42578125" defaultRowHeight="15"/>
  <cols>
    <col min="2" max="2" width="23.5703125" customWidth="1"/>
    <col min="3" max="3" width="36.140625" customWidth="1"/>
    <col min="4" max="4" width="14.42578125" customWidth="1"/>
    <col min="5" max="5" width="17" customWidth="1"/>
    <col min="6" max="6" width="15.42578125" customWidth="1"/>
    <col min="7" max="7" width="15" customWidth="1"/>
    <col min="10" max="10" width="12.42578125" customWidth="1"/>
    <col min="11" max="11" width="13" customWidth="1"/>
    <col min="12" max="12" width="12.7109375" customWidth="1"/>
    <col min="13" max="13" width="12.42578125" customWidth="1"/>
    <col min="16" max="16" width="6.42578125" customWidth="1"/>
  </cols>
  <sheetData>
    <row r="1" spans="2:16" ht="15.75" thickBot="1">
      <c r="P1" s="502"/>
    </row>
    <row r="2" spans="2:16" ht="19.5" thickBot="1">
      <c r="B2" s="722" t="s">
        <v>217</v>
      </c>
      <c r="C2" s="723"/>
      <c r="D2" s="723"/>
      <c r="E2" s="723"/>
      <c r="F2" s="723"/>
      <c r="G2" s="723"/>
      <c r="H2" s="723"/>
      <c r="I2" s="723"/>
      <c r="J2" s="724"/>
      <c r="P2" s="503"/>
    </row>
    <row r="3" spans="2:16" ht="19.5" thickBot="1">
      <c r="B3" s="29"/>
      <c r="C3" s="29"/>
      <c r="D3" s="29"/>
      <c r="E3" s="29"/>
      <c r="F3" s="29"/>
      <c r="G3" s="29"/>
      <c r="H3" s="29"/>
      <c r="I3" s="29"/>
      <c r="J3" s="29"/>
      <c r="P3" s="503"/>
    </row>
    <row r="4" spans="2:16" ht="22.5" customHeight="1">
      <c r="C4" s="525" t="s">
        <v>9</v>
      </c>
      <c r="D4" s="725"/>
      <c r="E4" s="725"/>
      <c r="F4" s="526"/>
      <c r="H4" s="123">
        <v>0</v>
      </c>
      <c r="I4" s="40" t="s">
        <v>10</v>
      </c>
      <c r="J4" s="704" t="s">
        <v>218</v>
      </c>
      <c r="K4" s="705"/>
      <c r="L4" s="705"/>
      <c r="M4" s="705"/>
      <c r="N4" s="706"/>
      <c r="P4" s="503"/>
    </row>
    <row r="5" spans="2:16" ht="22.5">
      <c r="C5" s="528" t="s">
        <v>219</v>
      </c>
      <c r="D5" s="523"/>
      <c r="E5" s="523"/>
      <c r="F5" s="529"/>
      <c r="H5" s="123">
        <v>0</v>
      </c>
      <c r="I5" s="40" t="s">
        <v>10</v>
      </c>
      <c r="J5" s="707"/>
      <c r="K5" s="708"/>
      <c r="L5" s="708"/>
      <c r="M5" s="708"/>
      <c r="N5" s="709"/>
      <c r="O5" s="40"/>
      <c r="P5" s="503"/>
    </row>
    <row r="6" spans="2:16" ht="22.5">
      <c r="C6" s="528" t="s">
        <v>220</v>
      </c>
      <c r="D6" s="523"/>
      <c r="E6" s="523"/>
      <c r="F6" s="529"/>
      <c r="H6" s="123">
        <v>0</v>
      </c>
      <c r="I6" s="40" t="s">
        <v>10</v>
      </c>
      <c r="J6" s="707"/>
      <c r="K6" s="708"/>
      <c r="L6" s="708"/>
      <c r="M6" s="708"/>
      <c r="N6" s="709"/>
      <c r="O6" s="40"/>
      <c r="P6" s="503"/>
    </row>
    <row r="7" spans="2:16" ht="23.25" thickBot="1">
      <c r="C7" s="728" t="s">
        <v>221</v>
      </c>
      <c r="D7" s="729"/>
      <c r="E7" s="729"/>
      <c r="F7" s="730"/>
      <c r="H7" s="123">
        <v>0</v>
      </c>
      <c r="I7" s="40" t="s">
        <v>10</v>
      </c>
      <c r="J7" s="710"/>
      <c r="K7" s="711"/>
      <c r="L7" s="711"/>
      <c r="M7" s="711"/>
      <c r="N7" s="712"/>
      <c r="O7" s="40" t="s">
        <v>16</v>
      </c>
      <c r="P7" s="503"/>
    </row>
    <row r="8" spans="2:16" ht="30" customHeight="1" thickBot="1">
      <c r="C8" s="722" t="s">
        <v>39</v>
      </c>
      <c r="D8" s="723"/>
      <c r="E8" s="723"/>
      <c r="F8" s="724"/>
      <c r="H8" s="437" t="e">
        <f>+(H7*H6)/H4/500</f>
        <v>#DIV/0!</v>
      </c>
      <c r="I8" s="731" t="e">
        <f>IF(H8&lt;1, "Capacidad subdimensionada. Por favor ajuste",IF(H8&gt;2,"Capacidad sobredimensionada. Por favor ajuste","Capacidad dentro de rango típíco"))</f>
        <v>#DIV/0!</v>
      </c>
      <c r="J8" s="732"/>
      <c r="K8" s="732"/>
      <c r="L8" s="40"/>
      <c r="M8" s="40"/>
      <c r="N8" s="40"/>
      <c r="O8" s="40" t="s">
        <v>27</v>
      </c>
      <c r="P8" s="503"/>
    </row>
    <row r="9" spans="2:16" ht="30" customHeight="1">
      <c r="C9" s="29"/>
      <c r="D9" s="29"/>
      <c r="E9" s="29"/>
      <c r="F9" s="31"/>
      <c r="G9" s="31"/>
      <c r="H9" s="31"/>
      <c r="I9" s="205"/>
      <c r="J9" s="40" t="s">
        <v>222</v>
      </c>
      <c r="K9" s="713" t="s">
        <v>38</v>
      </c>
      <c r="L9" s="714"/>
      <c r="M9" s="715"/>
      <c r="N9" s="40"/>
      <c r="O9" s="40" t="s">
        <v>27</v>
      </c>
      <c r="P9" s="503"/>
    </row>
    <row r="10" spans="2:16" ht="23.25" thickBot="1">
      <c r="C10" s="29"/>
      <c r="D10" s="29"/>
      <c r="E10" s="29"/>
      <c r="F10" s="31"/>
      <c r="G10" s="31"/>
      <c r="H10" s="31"/>
      <c r="I10" s="93"/>
      <c r="J10" s="93"/>
      <c r="K10" s="716"/>
      <c r="L10" s="717"/>
      <c r="M10" s="718"/>
      <c r="N10" s="40"/>
      <c r="O10" s="40" t="s">
        <v>27</v>
      </c>
      <c r="P10" s="503"/>
    </row>
    <row r="11" spans="2:16" ht="24" thickBot="1">
      <c r="E11" s="66" t="s">
        <v>37</v>
      </c>
      <c r="F11" s="67" t="s">
        <v>40</v>
      </c>
      <c r="G11" s="67" t="s">
        <v>40</v>
      </c>
      <c r="H11" s="67" t="s">
        <v>40</v>
      </c>
      <c r="I11" s="67" t="s">
        <v>40</v>
      </c>
      <c r="J11" s="67" t="s">
        <v>41</v>
      </c>
      <c r="K11" s="40"/>
      <c r="L11" s="40"/>
      <c r="M11" s="40"/>
      <c r="N11" s="40"/>
      <c r="O11" s="40" t="s">
        <v>27</v>
      </c>
      <c r="P11" s="503"/>
    </row>
    <row r="12" spans="2:16" ht="24.75" customHeight="1" thickBot="1">
      <c r="C12" s="1"/>
      <c r="D12" s="1"/>
      <c r="E12" s="726" t="s">
        <v>42</v>
      </c>
      <c r="F12" s="727"/>
      <c r="G12" s="2"/>
      <c r="J12" s="704" t="s">
        <v>223</v>
      </c>
      <c r="K12" s="705"/>
      <c r="L12" s="705"/>
      <c r="M12" s="705"/>
      <c r="N12" s="706"/>
      <c r="O12" s="40" t="s">
        <v>10</v>
      </c>
      <c r="P12" s="503"/>
    </row>
    <row r="13" spans="2:16" ht="23.25" customHeight="1" thickBot="1">
      <c r="B13" s="381" t="s">
        <v>44</v>
      </c>
      <c r="C13" s="382" t="s">
        <v>45</v>
      </c>
      <c r="D13" s="382" t="s">
        <v>46</v>
      </c>
      <c r="E13" s="383" t="s">
        <v>47</v>
      </c>
      <c r="F13" s="382" t="s">
        <v>48</v>
      </c>
      <c r="G13" s="384" t="s">
        <v>49</v>
      </c>
      <c r="J13" s="707"/>
      <c r="K13" s="708"/>
      <c r="L13" s="708"/>
      <c r="M13" s="708"/>
      <c r="N13" s="709"/>
      <c r="P13" s="503"/>
    </row>
    <row r="14" spans="2:16" ht="16.5">
      <c r="B14" s="579" t="s">
        <v>50</v>
      </c>
      <c r="C14" s="385" t="s">
        <v>224</v>
      </c>
      <c r="D14" s="386">
        <f>H7</f>
        <v>0</v>
      </c>
      <c r="E14" s="387">
        <v>0</v>
      </c>
      <c r="F14" s="388">
        <f>D14*E14</f>
        <v>0</v>
      </c>
      <c r="G14" s="389" t="e">
        <f>F14*1/F24</f>
        <v>#DIV/0!</v>
      </c>
      <c r="J14" s="707"/>
      <c r="K14" s="708"/>
      <c r="L14" s="708"/>
      <c r="M14" s="708"/>
      <c r="N14" s="709"/>
      <c r="P14" s="503"/>
    </row>
    <row r="15" spans="2:16" ht="21" customHeight="1" thickBot="1">
      <c r="B15" s="581"/>
      <c r="C15" s="390" t="s">
        <v>52</v>
      </c>
      <c r="D15" s="409">
        <v>0</v>
      </c>
      <c r="E15" s="391">
        <v>0</v>
      </c>
      <c r="F15" s="392">
        <f>D15*E15</f>
        <v>0</v>
      </c>
      <c r="G15" s="393" t="e">
        <f>F15*1/F24</f>
        <v>#DIV/0!</v>
      </c>
      <c r="J15" s="707"/>
      <c r="K15" s="708"/>
      <c r="L15" s="708"/>
      <c r="M15" s="708"/>
      <c r="N15" s="709"/>
      <c r="P15" s="503"/>
    </row>
    <row r="16" spans="2:16" ht="23.25" customHeight="1">
      <c r="B16" s="719" t="s">
        <v>225</v>
      </c>
      <c r="C16" s="385" t="s">
        <v>58</v>
      </c>
      <c r="D16" s="394">
        <v>1</v>
      </c>
      <c r="E16" s="387">
        <v>0</v>
      </c>
      <c r="F16" s="388">
        <f t="shared" ref="F16:F21" si="0">D16*E16</f>
        <v>0</v>
      </c>
      <c r="G16" s="395" t="e">
        <f>F16*1/F24</f>
        <v>#DIV/0!</v>
      </c>
      <c r="J16" s="707"/>
      <c r="K16" s="708"/>
      <c r="L16" s="708"/>
      <c r="M16" s="708"/>
      <c r="N16" s="709"/>
      <c r="P16" s="503"/>
    </row>
    <row r="17" spans="1:16" ht="20.25" customHeight="1" thickBot="1">
      <c r="B17" s="720"/>
      <c r="C17" s="191" t="s">
        <v>60</v>
      </c>
      <c r="D17" s="436">
        <v>0</v>
      </c>
      <c r="E17" s="226">
        <v>0</v>
      </c>
      <c r="F17" s="3">
        <f t="shared" si="0"/>
        <v>0</v>
      </c>
      <c r="G17" s="396" t="e">
        <f>F17*1/F24</f>
        <v>#DIV/0!</v>
      </c>
      <c r="J17" s="710"/>
      <c r="K17" s="711"/>
      <c r="L17" s="711"/>
      <c r="M17" s="711"/>
      <c r="N17" s="712"/>
      <c r="P17" s="503"/>
    </row>
    <row r="18" spans="1:16" ht="23.25" thickBot="1">
      <c r="B18" s="721"/>
      <c r="C18" s="390" t="s">
        <v>61</v>
      </c>
      <c r="D18" s="409">
        <v>0</v>
      </c>
      <c r="E18" s="391">
        <v>0</v>
      </c>
      <c r="F18" s="392">
        <f t="shared" si="0"/>
        <v>0</v>
      </c>
      <c r="G18" s="393" t="e">
        <f>F18*1/F24</f>
        <v>#DIV/0!</v>
      </c>
      <c r="K18" s="40" t="s">
        <v>27</v>
      </c>
      <c r="L18" s="40" t="s">
        <v>27</v>
      </c>
      <c r="P18" s="503"/>
    </row>
    <row r="19" spans="1:16" ht="33.75" customHeight="1" thickBot="1">
      <c r="B19" s="397" t="s">
        <v>62</v>
      </c>
      <c r="C19" s="398" t="s">
        <v>63</v>
      </c>
      <c r="D19" s="399">
        <v>1</v>
      </c>
      <c r="E19" s="400">
        <v>0</v>
      </c>
      <c r="F19" s="401">
        <f t="shared" si="0"/>
        <v>0</v>
      </c>
      <c r="G19" s="402" t="e">
        <f>F19*1/F24</f>
        <v>#DIV/0!</v>
      </c>
      <c r="K19" s="40" t="s">
        <v>27</v>
      </c>
      <c r="L19" s="40" t="s">
        <v>27</v>
      </c>
      <c r="P19" s="503"/>
    </row>
    <row r="20" spans="1:16" ht="28.5" customHeight="1" thickBot="1">
      <c r="B20" s="403" t="s">
        <v>64</v>
      </c>
      <c r="C20" s="404"/>
      <c r="D20" s="399">
        <v>1</v>
      </c>
      <c r="E20" s="400">
        <v>0</v>
      </c>
      <c r="F20" s="401">
        <f t="shared" si="0"/>
        <v>0</v>
      </c>
      <c r="G20" s="402" t="e">
        <f>F20*1/F24</f>
        <v>#DIV/0!</v>
      </c>
      <c r="J20" s="570" t="s">
        <v>226</v>
      </c>
      <c r="K20" s="571"/>
      <c r="L20" s="571"/>
      <c r="M20" s="572"/>
      <c r="P20" s="503"/>
    </row>
    <row r="21" spans="1:16" ht="16.5" customHeight="1" thickBot="1">
      <c r="B21" s="397" t="s">
        <v>65</v>
      </c>
      <c r="C21" s="404"/>
      <c r="D21" s="399">
        <v>1</v>
      </c>
      <c r="E21" s="400">
        <v>0</v>
      </c>
      <c r="F21" s="401">
        <f t="shared" si="0"/>
        <v>0</v>
      </c>
      <c r="G21" s="402" t="e">
        <f>F21*1/F24</f>
        <v>#DIV/0!</v>
      </c>
      <c r="J21" s="573"/>
      <c r="K21" s="574"/>
      <c r="L21" s="574"/>
      <c r="M21" s="575"/>
      <c r="P21" s="503"/>
    </row>
    <row r="22" spans="1:16" ht="16.5" customHeight="1" thickBot="1">
      <c r="B22" s="397" t="s">
        <v>66</v>
      </c>
      <c r="C22" s="404"/>
      <c r="D22" s="399"/>
      <c r="E22" s="400">
        <v>0</v>
      </c>
      <c r="F22" s="401">
        <f>D22*E22</f>
        <v>0</v>
      </c>
      <c r="G22" s="402" t="e">
        <f>F22*1/F24</f>
        <v>#DIV/0!</v>
      </c>
      <c r="J22" s="573"/>
      <c r="K22" s="574"/>
      <c r="L22" s="574"/>
      <c r="M22" s="575"/>
      <c r="P22" s="503"/>
    </row>
    <row r="23" spans="1:16" ht="17.25" customHeight="1" thickBot="1">
      <c r="B23" s="397" t="s">
        <v>67</v>
      </c>
      <c r="C23" s="404"/>
      <c r="D23" s="399"/>
      <c r="E23" s="400">
        <v>0</v>
      </c>
      <c r="F23" s="401">
        <f>D23*E23</f>
        <v>0</v>
      </c>
      <c r="G23" s="402" t="e">
        <f>F23*1/F24</f>
        <v>#DIV/0!</v>
      </c>
      <c r="J23" s="576"/>
      <c r="K23" s="577"/>
      <c r="L23" s="577"/>
      <c r="M23" s="578"/>
      <c r="P23" s="503"/>
    </row>
    <row r="24" spans="1:16" ht="15.75" thickBot="1">
      <c r="B24" s="278"/>
      <c r="C24" s="405" t="s">
        <v>68</v>
      </c>
      <c r="D24" s="406">
        <f>SUM(D14:D23)</f>
        <v>4</v>
      </c>
      <c r="E24" s="407">
        <f>SUM(E14:E23)</f>
        <v>0</v>
      </c>
      <c r="F24" s="407">
        <f>SUM(F14:F23)</f>
        <v>0</v>
      </c>
      <c r="G24" s="408" t="e">
        <f>SUM(G14:G23)</f>
        <v>#DIV/0!</v>
      </c>
      <c r="P24" s="503"/>
    </row>
    <row r="25" spans="1:16">
      <c r="P25" s="503"/>
    </row>
    <row r="26" spans="1:16">
      <c r="P26" s="503"/>
    </row>
    <row r="27" spans="1:16">
      <c r="P27" s="503"/>
    </row>
    <row r="28" spans="1:16" ht="15.75" thickBot="1">
      <c r="P28" s="504"/>
    </row>
    <row r="29" spans="1:16" ht="15.75" thickBot="1">
      <c r="A29" s="499"/>
      <c r="B29" s="500"/>
      <c r="C29" s="500"/>
      <c r="D29" s="500"/>
      <c r="E29" s="500"/>
      <c r="F29" s="500"/>
      <c r="G29" s="500"/>
      <c r="H29" s="500"/>
      <c r="I29" s="500"/>
      <c r="J29" s="500"/>
      <c r="K29" s="500"/>
      <c r="L29" s="500"/>
      <c r="M29" s="500"/>
      <c r="N29" s="500"/>
      <c r="O29" s="500"/>
      <c r="P29" s="501"/>
    </row>
  </sheetData>
  <sheetProtection password="E869" sheet="1" objects="1" scenarios="1"/>
  <mergeCells count="16">
    <mergeCell ref="J12:N17"/>
    <mergeCell ref="K9:M10"/>
    <mergeCell ref="A29:P29"/>
    <mergeCell ref="P1:P28"/>
    <mergeCell ref="J20:M23"/>
    <mergeCell ref="B14:B15"/>
    <mergeCell ref="B16:B18"/>
    <mergeCell ref="B2:J2"/>
    <mergeCell ref="C5:F5"/>
    <mergeCell ref="C6:F6"/>
    <mergeCell ref="C4:F4"/>
    <mergeCell ref="E12:F12"/>
    <mergeCell ref="C7:F7"/>
    <mergeCell ref="C8:F8"/>
    <mergeCell ref="I8:K8"/>
    <mergeCell ref="J4:N7"/>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Z69"/>
  <sheetViews>
    <sheetView topLeftCell="A22" zoomScale="78" zoomScaleNormal="78" workbookViewId="0">
      <selection activeCell="K22" sqref="K22"/>
    </sheetView>
  </sheetViews>
  <sheetFormatPr defaultColWidth="11.42578125" defaultRowHeight="15"/>
  <cols>
    <col min="1" max="1" width="12.85546875" customWidth="1"/>
    <col min="2" max="2" width="21.28515625" customWidth="1"/>
    <col min="3" max="3" width="14.5703125" customWidth="1"/>
    <col min="4" max="4" width="15.5703125" customWidth="1"/>
    <col min="5" max="5" width="17.42578125" customWidth="1"/>
    <col min="6" max="6" width="14" customWidth="1"/>
    <col min="7" max="7" width="13" customWidth="1"/>
    <col min="8" max="8" width="16.42578125" customWidth="1"/>
    <col min="9" max="9" width="15.140625" customWidth="1"/>
    <col min="10" max="10" width="15.7109375" customWidth="1"/>
    <col min="11" max="11" width="18.85546875" customWidth="1"/>
    <col min="12" max="12" width="14.5703125" customWidth="1"/>
    <col min="13" max="15" width="13.42578125" customWidth="1"/>
    <col min="21" max="21" width="14.5703125" customWidth="1"/>
  </cols>
  <sheetData>
    <row r="1" spans="2:24" ht="15.75" thickBot="1">
      <c r="X1" s="502"/>
    </row>
    <row r="2" spans="2:24" ht="19.5" thickBot="1">
      <c r="B2" s="722" t="s">
        <v>227</v>
      </c>
      <c r="C2" s="723"/>
      <c r="D2" s="723"/>
      <c r="E2" s="723"/>
      <c r="F2" s="723"/>
      <c r="G2" s="723"/>
      <c r="H2" s="723"/>
      <c r="I2" s="723"/>
      <c r="J2" s="723"/>
      <c r="K2" s="723"/>
      <c r="L2" s="724"/>
      <c r="X2" s="503"/>
    </row>
    <row r="3" spans="2:24" ht="15.75" thickBot="1">
      <c r="X3" s="503"/>
    </row>
    <row r="4" spans="2:24" ht="45.75" thickBot="1">
      <c r="E4" s="250" t="s">
        <v>70</v>
      </c>
      <c r="G4" s="250" t="s">
        <v>70</v>
      </c>
      <c r="I4" s="250" t="s">
        <v>70</v>
      </c>
      <c r="N4" s="587" t="s">
        <v>72</v>
      </c>
      <c r="O4" s="587"/>
      <c r="P4" s="587"/>
      <c r="X4" s="503"/>
    </row>
    <row r="5" spans="2:24" ht="27.75" thickBot="1">
      <c r="B5" s="608" t="s">
        <v>71</v>
      </c>
      <c r="C5" s="609"/>
      <c r="D5" s="609"/>
      <c r="E5" s="609"/>
      <c r="F5" s="609"/>
      <c r="G5" s="609"/>
      <c r="H5" s="609"/>
      <c r="I5" s="609"/>
      <c r="J5" s="609"/>
      <c r="K5" s="609"/>
      <c r="L5" s="610"/>
      <c r="N5" s="41" t="s">
        <v>27</v>
      </c>
      <c r="X5" s="503"/>
    </row>
    <row r="6" spans="2:24" ht="57.75" customHeight="1" thickBot="1">
      <c r="B6" s="242" t="s">
        <v>44</v>
      </c>
      <c r="C6" s="243" t="s">
        <v>73</v>
      </c>
      <c r="D6" s="287" t="s">
        <v>74</v>
      </c>
      <c r="E6" s="252" t="s">
        <v>75</v>
      </c>
      <c r="F6" s="251" t="s">
        <v>76</v>
      </c>
      <c r="G6" s="251" t="s">
        <v>77</v>
      </c>
      <c r="H6" s="251" t="s">
        <v>228</v>
      </c>
      <c r="I6" s="287" t="s">
        <v>79</v>
      </c>
      <c r="J6" s="251" t="s">
        <v>80</v>
      </c>
      <c r="K6" s="287" t="s">
        <v>81</v>
      </c>
      <c r="L6" s="288" t="s">
        <v>82</v>
      </c>
      <c r="N6" s="735" t="s">
        <v>229</v>
      </c>
      <c r="O6" s="736"/>
      <c r="P6" s="736"/>
      <c r="Q6" s="736"/>
      <c r="R6" s="736"/>
      <c r="S6" s="736"/>
      <c r="T6" s="737"/>
      <c r="X6" s="503"/>
    </row>
    <row r="7" spans="2:24">
      <c r="B7" s="192" t="s">
        <v>83</v>
      </c>
      <c r="C7" s="253">
        <f>'Inversiones levante '!D14</f>
        <v>0</v>
      </c>
      <c r="D7" s="254">
        <f>I7/40/1000</f>
        <v>0</v>
      </c>
      <c r="E7" s="255">
        <v>0</v>
      </c>
      <c r="F7" s="104">
        <f>C7*D7*E7</f>
        <v>0</v>
      </c>
      <c r="G7" s="255">
        <v>0</v>
      </c>
      <c r="H7" s="104">
        <f>F7*G7</f>
        <v>0</v>
      </c>
      <c r="I7" s="256">
        <v>0</v>
      </c>
      <c r="J7" s="104">
        <f>C7*E7*G7/1000</f>
        <v>0</v>
      </c>
      <c r="K7" s="99">
        <f>J7/40</f>
        <v>0</v>
      </c>
      <c r="L7" s="105">
        <f>I7*K7</f>
        <v>0</v>
      </c>
      <c r="N7" s="738"/>
      <c r="O7" s="739"/>
      <c r="P7" s="739"/>
      <c r="Q7" s="739"/>
      <c r="R7" s="739"/>
      <c r="S7" s="739"/>
      <c r="T7" s="740"/>
      <c r="X7" s="503"/>
    </row>
    <row r="8" spans="2:24">
      <c r="B8" s="193" t="s">
        <v>230</v>
      </c>
      <c r="C8" s="33">
        <f>'Inversiones levante '!D14</f>
        <v>0</v>
      </c>
      <c r="D8" s="124">
        <f>I8/40/1000</f>
        <v>0</v>
      </c>
      <c r="E8" s="227">
        <v>0</v>
      </c>
      <c r="F8" s="6">
        <f>C8*D8*E8</f>
        <v>0</v>
      </c>
      <c r="G8" s="227">
        <v>0</v>
      </c>
      <c r="H8" s="4">
        <f>F8*G8</f>
        <v>0</v>
      </c>
      <c r="I8" s="227">
        <v>0</v>
      </c>
      <c r="J8" s="4">
        <f>C8*E8*G8/1000</f>
        <v>0</v>
      </c>
      <c r="K8" s="4">
        <f>J8/40</f>
        <v>0</v>
      </c>
      <c r="L8" s="230">
        <f>I8*K8</f>
        <v>0</v>
      </c>
      <c r="N8" s="738"/>
      <c r="O8" s="739"/>
      <c r="P8" s="739"/>
      <c r="Q8" s="739"/>
      <c r="R8" s="739"/>
      <c r="S8" s="739"/>
      <c r="T8" s="740"/>
      <c r="X8" s="503"/>
    </row>
    <row r="9" spans="2:24">
      <c r="B9" s="193" t="s">
        <v>86</v>
      </c>
      <c r="C9" s="33">
        <f>'Inversiones levante '!D14</f>
        <v>0</v>
      </c>
      <c r="D9" s="58">
        <v>0</v>
      </c>
      <c r="E9" s="227">
        <v>0</v>
      </c>
      <c r="F9" s="6">
        <f>C9*D9*E9</f>
        <v>0</v>
      </c>
      <c r="G9" s="227">
        <v>0</v>
      </c>
      <c r="H9" s="4">
        <f>F9*G9</f>
        <v>0</v>
      </c>
      <c r="I9" s="227">
        <v>0</v>
      </c>
      <c r="J9" s="4">
        <f>C9*E9*G9/1000</f>
        <v>0</v>
      </c>
      <c r="K9" s="4">
        <f>J9/50</f>
        <v>0</v>
      </c>
      <c r="L9" s="230">
        <f>I9*K9</f>
        <v>0</v>
      </c>
      <c r="N9" s="738"/>
      <c r="O9" s="739"/>
      <c r="P9" s="739"/>
      <c r="Q9" s="739"/>
      <c r="R9" s="739"/>
      <c r="S9" s="739"/>
      <c r="T9" s="740"/>
      <c r="X9" s="503"/>
    </row>
    <row r="10" spans="2:24" ht="15.75" thickBot="1">
      <c r="B10" s="193" t="s">
        <v>87</v>
      </c>
      <c r="C10" s="33">
        <f>'Inversiones levante '!D14</f>
        <v>0</v>
      </c>
      <c r="D10" s="126">
        <f>I10/30/1000</f>
        <v>0</v>
      </c>
      <c r="E10" s="227">
        <v>0</v>
      </c>
      <c r="F10" s="6">
        <f>C10*D10*E10</f>
        <v>0</v>
      </c>
      <c r="G10" s="227">
        <v>0</v>
      </c>
      <c r="H10" s="4">
        <f>F10*G10</f>
        <v>0</v>
      </c>
      <c r="I10" s="227">
        <v>0</v>
      </c>
      <c r="J10" s="4">
        <f>C10*E10*G10/1000</f>
        <v>0</v>
      </c>
      <c r="K10" s="4">
        <f>J10/30</f>
        <v>0</v>
      </c>
      <c r="L10" s="230">
        <f>I10*K10</f>
        <v>0</v>
      </c>
      <c r="N10" s="741"/>
      <c r="O10" s="742"/>
      <c r="P10" s="742"/>
      <c r="Q10" s="742"/>
      <c r="R10" s="742"/>
      <c r="S10" s="742"/>
      <c r="T10" s="743"/>
      <c r="X10" s="503"/>
    </row>
    <row r="11" spans="2:24" ht="27.75" thickBot="1">
      <c r="B11" s="199" t="s">
        <v>67</v>
      </c>
      <c r="C11" s="26"/>
      <c r="D11" s="257"/>
      <c r="E11" s="258">
        <v>0</v>
      </c>
      <c r="F11" s="26">
        <f>C11*D11*E11</f>
        <v>0</v>
      </c>
      <c r="G11" s="258">
        <v>0</v>
      </c>
      <c r="H11" s="26">
        <f>F11*G11</f>
        <v>0</v>
      </c>
      <c r="I11" s="258">
        <v>0</v>
      </c>
      <c r="J11" s="26">
        <f>C11*E11*G11/1000</f>
        <v>0</v>
      </c>
      <c r="K11" s="26"/>
      <c r="L11" s="130">
        <f>I11*K11</f>
        <v>0</v>
      </c>
      <c r="N11" s="128" t="s">
        <v>27</v>
      </c>
      <c r="O11" s="127"/>
      <c r="P11" s="127"/>
      <c r="Q11" s="127"/>
      <c r="R11" s="127"/>
      <c r="S11" s="127"/>
      <c r="T11" s="127"/>
      <c r="X11" s="503"/>
    </row>
    <row r="12" spans="2:24" ht="27.75" thickBot="1">
      <c r="B12" s="278" t="s">
        <v>88</v>
      </c>
      <c r="C12" s="220">
        <f>'Inversiones levante '!D14</f>
        <v>0</v>
      </c>
      <c r="D12" s="218">
        <f t="shared" ref="D12:L12" si="0">SUM(D7:D11)</f>
        <v>0</v>
      </c>
      <c r="E12" s="217">
        <f t="shared" si="0"/>
        <v>0</v>
      </c>
      <c r="F12" s="219">
        <f t="shared" si="0"/>
        <v>0</v>
      </c>
      <c r="G12" s="217">
        <f t="shared" si="0"/>
        <v>0</v>
      </c>
      <c r="H12" s="219">
        <f t="shared" si="0"/>
        <v>0</v>
      </c>
      <c r="I12" s="219">
        <f t="shared" si="0"/>
        <v>0</v>
      </c>
      <c r="J12" s="219">
        <f t="shared" si="0"/>
        <v>0</v>
      </c>
      <c r="K12" s="279">
        <f t="shared" si="0"/>
        <v>0</v>
      </c>
      <c r="L12" s="221">
        <f t="shared" si="0"/>
        <v>0</v>
      </c>
      <c r="N12" s="129" t="s">
        <v>27</v>
      </c>
      <c r="O12" s="127"/>
      <c r="P12" s="127"/>
      <c r="X12" s="503"/>
    </row>
    <row r="13" spans="2:24" ht="15" customHeight="1" thickBot="1">
      <c r="N13" s="744" t="s">
        <v>231</v>
      </c>
      <c r="O13" s="745"/>
      <c r="P13" s="745"/>
      <c r="Q13" s="745"/>
      <c r="R13" s="745"/>
      <c r="S13" s="745"/>
      <c r="T13" s="746"/>
      <c r="X13" s="503"/>
    </row>
    <row r="14" spans="2:24" ht="43.5" customHeight="1" thickBot="1">
      <c r="D14" s="597" t="s">
        <v>70</v>
      </c>
      <c r="E14" s="598"/>
      <c r="J14" s="597" t="s">
        <v>70</v>
      </c>
      <c r="K14" s="598"/>
      <c r="N14" s="747"/>
      <c r="O14" s="748"/>
      <c r="P14" s="748"/>
      <c r="Q14" s="748"/>
      <c r="R14" s="748"/>
      <c r="S14" s="748"/>
      <c r="T14" s="749"/>
      <c r="X14" s="503"/>
    </row>
    <row r="15" spans="2:24" ht="15" customHeight="1" thickBot="1">
      <c r="B15" s="605" t="s">
        <v>90</v>
      </c>
      <c r="C15" s="606"/>
      <c r="D15" s="606"/>
      <c r="E15" s="606"/>
      <c r="F15" s="607"/>
      <c r="I15" s="613" t="s">
        <v>91</v>
      </c>
      <c r="J15" s="614"/>
      <c r="K15" s="614"/>
      <c r="L15" s="615"/>
      <c r="N15" s="747"/>
      <c r="O15" s="748"/>
      <c r="P15" s="748"/>
      <c r="Q15" s="748"/>
      <c r="R15" s="748"/>
      <c r="S15" s="748"/>
      <c r="T15" s="749"/>
      <c r="X15" s="503"/>
    </row>
    <row r="16" spans="2:24" ht="30.75" thickBot="1">
      <c r="B16" s="285" t="s">
        <v>44</v>
      </c>
      <c r="C16" s="286" t="s">
        <v>73</v>
      </c>
      <c r="D16" s="287" t="s">
        <v>92</v>
      </c>
      <c r="E16" s="287" t="s">
        <v>93</v>
      </c>
      <c r="F16" s="291" t="s">
        <v>94</v>
      </c>
      <c r="I16" s="280" t="s">
        <v>44</v>
      </c>
      <c r="J16" s="281" t="s">
        <v>95</v>
      </c>
      <c r="K16" s="282" t="s">
        <v>96</v>
      </c>
      <c r="L16" s="284" t="s">
        <v>94</v>
      </c>
      <c r="N16" s="747"/>
      <c r="O16" s="748"/>
      <c r="P16" s="748"/>
      <c r="Q16" s="748"/>
      <c r="R16" s="748"/>
      <c r="S16" s="748"/>
      <c r="T16" s="749"/>
      <c r="X16" s="503"/>
    </row>
    <row r="17" spans="2:24" ht="21" customHeight="1" thickBot="1">
      <c r="B17" s="192" t="s">
        <v>97</v>
      </c>
      <c r="C17" s="253">
        <f>'Inversiones levante '!D14</f>
        <v>0</v>
      </c>
      <c r="D17" s="256">
        <v>0</v>
      </c>
      <c r="E17" s="255">
        <v>0</v>
      </c>
      <c r="F17" s="105">
        <f t="shared" ref="F17:F22" si="1">C17*D17*E17</f>
        <v>0</v>
      </c>
      <c r="I17" s="341" t="s">
        <v>98</v>
      </c>
      <c r="J17" s="256">
        <v>0</v>
      </c>
      <c r="K17" s="255">
        <v>0</v>
      </c>
      <c r="L17" s="338">
        <f>J17*K17</f>
        <v>0</v>
      </c>
      <c r="N17" s="750"/>
      <c r="O17" s="751"/>
      <c r="P17" s="751"/>
      <c r="Q17" s="751"/>
      <c r="R17" s="751"/>
      <c r="S17" s="751"/>
      <c r="T17" s="752"/>
      <c r="X17" s="503"/>
    </row>
    <row r="18" spans="2:24" ht="27.75" thickBot="1">
      <c r="B18" s="193" t="s">
        <v>99</v>
      </c>
      <c r="C18" s="4">
        <f>C17</f>
        <v>0</v>
      </c>
      <c r="D18" s="256">
        <v>0</v>
      </c>
      <c r="E18" s="227">
        <v>0</v>
      </c>
      <c r="F18" s="105">
        <f t="shared" si="1"/>
        <v>0</v>
      </c>
      <c r="I18" s="272" t="s">
        <v>100</v>
      </c>
      <c r="J18" s="229">
        <v>0</v>
      </c>
      <c r="K18" s="227">
        <v>0</v>
      </c>
      <c r="L18" s="237">
        <f>J18*K18</f>
        <v>0</v>
      </c>
      <c r="N18" s="129" t="s">
        <v>27</v>
      </c>
      <c r="X18" s="503"/>
    </row>
    <row r="19" spans="2:24" ht="27.75" thickBot="1">
      <c r="B19" s="193" t="s">
        <v>101</v>
      </c>
      <c r="C19" s="4">
        <f>C17</f>
        <v>0</v>
      </c>
      <c r="D19" s="256">
        <v>0</v>
      </c>
      <c r="E19" s="227">
        <v>0</v>
      </c>
      <c r="F19" s="105">
        <f t="shared" si="1"/>
        <v>0</v>
      </c>
      <c r="I19" s="272" t="s">
        <v>102</v>
      </c>
      <c r="J19" s="229">
        <v>0</v>
      </c>
      <c r="K19" s="227">
        <v>0</v>
      </c>
      <c r="L19" s="237">
        <f>J19*K19</f>
        <v>0</v>
      </c>
      <c r="N19" s="129" t="s">
        <v>27</v>
      </c>
      <c r="X19" s="503"/>
    </row>
    <row r="20" spans="2:24" ht="15" customHeight="1" thickBot="1">
      <c r="B20" s="193" t="s">
        <v>107</v>
      </c>
      <c r="C20" s="34">
        <f>'Inversiones levante '!D14</f>
        <v>0</v>
      </c>
      <c r="D20" s="229">
        <v>0</v>
      </c>
      <c r="E20" s="227">
        <v>0</v>
      </c>
      <c r="F20" s="101">
        <f t="shared" si="1"/>
        <v>0</v>
      </c>
      <c r="I20" s="193" t="s">
        <v>105</v>
      </c>
      <c r="J20" s="229">
        <v>0</v>
      </c>
      <c r="K20" s="227">
        <v>0</v>
      </c>
      <c r="L20" s="237">
        <f>J20*K20</f>
        <v>0</v>
      </c>
      <c r="N20" s="735" t="s">
        <v>232</v>
      </c>
      <c r="O20" s="736"/>
      <c r="P20" s="736"/>
      <c r="Q20" s="736"/>
      <c r="R20" s="736"/>
      <c r="S20" s="736"/>
      <c r="T20" s="737"/>
      <c r="X20" s="503"/>
    </row>
    <row r="21" spans="2:24" ht="30" thickBot="1">
      <c r="B21" s="232" t="s">
        <v>233</v>
      </c>
      <c r="C21" s="58">
        <v>30</v>
      </c>
      <c r="D21" s="229">
        <v>0</v>
      </c>
      <c r="E21" s="227">
        <v>0</v>
      </c>
      <c r="F21" s="105">
        <f t="shared" si="1"/>
        <v>0</v>
      </c>
      <c r="I21" s="199" t="s">
        <v>67</v>
      </c>
      <c r="J21" s="238">
        <v>0</v>
      </c>
      <c r="K21" s="258">
        <v>0</v>
      </c>
      <c r="L21" s="239">
        <f>J21*K21</f>
        <v>0</v>
      </c>
      <c r="N21" s="738"/>
      <c r="O21" s="739"/>
      <c r="P21" s="739"/>
      <c r="Q21" s="739"/>
      <c r="R21" s="739"/>
      <c r="S21" s="739"/>
      <c r="T21" s="740"/>
      <c r="X21" s="503"/>
    </row>
    <row r="22" spans="2:24" ht="44.25" thickBot="1">
      <c r="B22" s="234" t="s">
        <v>109</v>
      </c>
      <c r="C22" s="265"/>
      <c r="D22" s="229">
        <v>0</v>
      </c>
      <c r="E22" s="258">
        <v>0</v>
      </c>
      <c r="F22" s="105">
        <f t="shared" si="1"/>
        <v>0</v>
      </c>
      <c r="I22" s="278" t="s">
        <v>88</v>
      </c>
      <c r="J22" s="339">
        <f>SUM(J17:J21)</f>
        <v>0</v>
      </c>
      <c r="K22" s="217"/>
      <c r="L22" s="340">
        <f>SUM(L17:L21)</f>
        <v>0</v>
      </c>
      <c r="N22" s="738"/>
      <c r="O22" s="739"/>
      <c r="P22" s="739"/>
      <c r="Q22" s="739"/>
      <c r="R22" s="739"/>
      <c r="S22" s="739"/>
      <c r="T22" s="740"/>
      <c r="X22" s="503"/>
    </row>
    <row r="23" spans="2:24" ht="15.75" thickBot="1">
      <c r="B23" s="278" t="s">
        <v>88</v>
      </c>
      <c r="C23" s="217"/>
      <c r="D23" s="219">
        <f>SUM(D17:D22)</f>
        <v>0</v>
      </c>
      <c r="E23" s="217"/>
      <c r="F23" s="221">
        <f>SUM(F17:F22)</f>
        <v>0</v>
      </c>
      <c r="I23" s="337"/>
      <c r="J23" s="337"/>
      <c r="K23" s="337"/>
      <c r="L23" s="337"/>
      <c r="N23" s="738"/>
      <c r="O23" s="739"/>
      <c r="P23" s="739"/>
      <c r="Q23" s="739"/>
      <c r="R23" s="739"/>
      <c r="S23" s="739"/>
      <c r="T23" s="740"/>
      <c r="X23" s="503"/>
    </row>
    <row r="24" spans="2:24" ht="15.75" thickBot="1">
      <c r="N24" s="738"/>
      <c r="O24" s="739"/>
      <c r="P24" s="739"/>
      <c r="Q24" s="739"/>
      <c r="R24" s="739"/>
      <c r="S24" s="739"/>
      <c r="T24" s="740"/>
      <c r="X24" s="503"/>
    </row>
    <row r="25" spans="2:24" ht="32.25" customHeight="1" thickBot="1">
      <c r="C25" s="733" t="s">
        <v>70</v>
      </c>
      <c r="D25" s="734"/>
      <c r="I25" s="733" t="s">
        <v>70</v>
      </c>
      <c r="J25" s="734"/>
      <c r="N25" s="741"/>
      <c r="O25" s="742"/>
      <c r="P25" s="742"/>
      <c r="Q25" s="742"/>
      <c r="R25" s="742"/>
      <c r="S25" s="742"/>
      <c r="T25" s="743"/>
      <c r="X25" s="503"/>
    </row>
    <row r="26" spans="2:24">
      <c r="B26" s="605" t="s">
        <v>110</v>
      </c>
      <c r="C26" s="606"/>
      <c r="D26" s="606"/>
      <c r="E26" s="607"/>
      <c r="H26" s="605" t="s">
        <v>111</v>
      </c>
      <c r="I26" s="606"/>
      <c r="J26" s="606"/>
      <c r="K26" s="607"/>
      <c r="X26" s="503"/>
    </row>
    <row r="27" spans="2:24" ht="32.25" customHeight="1" thickBot="1">
      <c r="B27" s="285" t="s">
        <v>44</v>
      </c>
      <c r="C27" s="287" t="s">
        <v>234</v>
      </c>
      <c r="D27" s="287" t="s">
        <v>114</v>
      </c>
      <c r="E27" s="290" t="s">
        <v>115</v>
      </c>
      <c r="H27" s="285" t="s">
        <v>44</v>
      </c>
      <c r="I27" s="287" t="s">
        <v>234</v>
      </c>
      <c r="J27" s="287" t="s">
        <v>114</v>
      </c>
      <c r="K27" s="290" t="s">
        <v>115</v>
      </c>
      <c r="X27" s="503"/>
    </row>
    <row r="28" spans="2:24" ht="43.5">
      <c r="B28" s="259" t="s">
        <v>235</v>
      </c>
      <c r="C28" s="255">
        <v>12</v>
      </c>
      <c r="D28" s="256">
        <v>0</v>
      </c>
      <c r="E28" s="105">
        <f>C28*D28</f>
        <v>0</v>
      </c>
      <c r="H28" s="259" t="s">
        <v>117</v>
      </c>
      <c r="I28" s="255">
        <v>12</v>
      </c>
      <c r="J28" s="256">
        <v>0</v>
      </c>
      <c r="K28" s="105">
        <f>I28*J28</f>
        <v>0</v>
      </c>
      <c r="X28" s="503"/>
    </row>
    <row r="29" spans="2:24">
      <c r="B29" s="193" t="s">
        <v>118</v>
      </c>
      <c r="C29" s="227">
        <v>12</v>
      </c>
      <c r="D29" s="229">
        <v>0</v>
      </c>
      <c r="E29" s="101">
        <f>C29*D29</f>
        <v>0</v>
      </c>
      <c r="H29" s="260" t="s">
        <v>119</v>
      </c>
      <c r="I29" s="227">
        <v>12</v>
      </c>
      <c r="J29" s="229">
        <v>0</v>
      </c>
      <c r="K29" s="101">
        <f>I29*J29</f>
        <v>0</v>
      </c>
      <c r="X29" s="503"/>
    </row>
    <row r="30" spans="2:24">
      <c r="B30" s="193" t="s">
        <v>120</v>
      </c>
      <c r="C30" s="227">
        <v>12</v>
      </c>
      <c r="D30" s="229">
        <v>0</v>
      </c>
      <c r="E30" s="101">
        <f>C30*D30</f>
        <v>0</v>
      </c>
      <c r="H30" s="260" t="s">
        <v>121</v>
      </c>
      <c r="I30" s="227">
        <v>12</v>
      </c>
      <c r="J30" s="229">
        <v>0</v>
      </c>
      <c r="K30" s="101">
        <f>I30*J30</f>
        <v>0</v>
      </c>
      <c r="X30" s="503"/>
    </row>
    <row r="31" spans="2:24" ht="43.5">
      <c r="B31" s="232" t="s">
        <v>122</v>
      </c>
      <c r="C31" s="227">
        <v>12</v>
      </c>
      <c r="D31" s="229">
        <v>0</v>
      </c>
      <c r="E31" s="101">
        <f>C31*D31</f>
        <v>0</v>
      </c>
      <c r="H31" s="261" t="s">
        <v>123</v>
      </c>
      <c r="I31" s="227">
        <v>12</v>
      </c>
      <c r="J31" s="229">
        <v>0</v>
      </c>
      <c r="K31" s="101">
        <f>I31*J31</f>
        <v>0</v>
      </c>
      <c r="X31" s="503"/>
    </row>
    <row r="32" spans="2:24" ht="18" customHeight="1" thickBot="1">
      <c r="B32" s="199" t="s">
        <v>124</v>
      </c>
      <c r="C32" s="258">
        <v>6</v>
      </c>
      <c r="D32" s="238">
        <v>0</v>
      </c>
      <c r="E32" s="103">
        <f>C32*D32</f>
        <v>0</v>
      </c>
      <c r="H32" s="262"/>
      <c r="I32" s="258">
        <v>0</v>
      </c>
      <c r="J32" s="238">
        <v>0</v>
      </c>
      <c r="K32" s="103">
        <f>I32*J32</f>
        <v>0</v>
      </c>
      <c r="X32" s="503"/>
    </row>
    <row r="33" spans="2:24" ht="15.75" thickBot="1">
      <c r="B33" s="278" t="s">
        <v>88</v>
      </c>
      <c r="C33" s="217"/>
      <c r="D33" s="219">
        <f>D28+D29+D30+D31+D32</f>
        <v>0</v>
      </c>
      <c r="E33" s="221">
        <f>E28+E29+E30+E31+E32</f>
        <v>0</v>
      </c>
      <c r="H33" s="278" t="s">
        <v>88</v>
      </c>
      <c r="I33" s="217"/>
      <c r="J33" s="219">
        <f>J28+J29+J30+J31+J32</f>
        <v>0</v>
      </c>
      <c r="K33" s="221">
        <f>K28+K29+K30+K31+K32</f>
        <v>0</v>
      </c>
      <c r="X33" s="503"/>
    </row>
    <row r="34" spans="2:24">
      <c r="X34" s="503"/>
    </row>
    <row r="35" spans="2:24" ht="15.75" thickBot="1">
      <c r="X35" s="503"/>
    </row>
    <row r="36" spans="2:24">
      <c r="B36" s="605" t="s">
        <v>125</v>
      </c>
      <c r="C36" s="606"/>
      <c r="D36" s="606"/>
      <c r="E36" s="607"/>
      <c r="H36" s="608" t="s">
        <v>126</v>
      </c>
      <c r="I36" s="609"/>
      <c r="J36" s="609"/>
      <c r="K36" s="609"/>
      <c r="L36" s="609"/>
      <c r="M36" s="609"/>
      <c r="N36" s="609"/>
      <c r="O36" s="609"/>
      <c r="P36" s="609"/>
      <c r="Q36" s="609"/>
      <c r="R36" s="609"/>
      <c r="S36" s="609"/>
      <c r="T36" s="609"/>
      <c r="U36" s="610"/>
      <c r="X36" s="503"/>
    </row>
    <row r="37" spans="2:24" ht="34.5" customHeight="1" thickBot="1">
      <c r="B37" s="285" t="s">
        <v>44</v>
      </c>
      <c r="C37" s="287" t="s">
        <v>234</v>
      </c>
      <c r="D37" s="287" t="s">
        <v>114</v>
      </c>
      <c r="E37" s="290" t="s">
        <v>115</v>
      </c>
      <c r="H37" s="242" t="s">
        <v>44</v>
      </c>
      <c r="I37" s="243" t="s">
        <v>127</v>
      </c>
      <c r="J37" s="243" t="s">
        <v>128</v>
      </c>
      <c r="K37" s="243" t="s">
        <v>129</v>
      </c>
      <c r="L37" s="243" t="s">
        <v>130</v>
      </c>
      <c r="M37" s="243" t="s">
        <v>131</v>
      </c>
      <c r="N37" s="243" t="s">
        <v>132</v>
      </c>
      <c r="O37" s="243" t="s">
        <v>133</v>
      </c>
      <c r="P37" s="243" t="s">
        <v>134</v>
      </c>
      <c r="Q37" s="243" t="s">
        <v>135</v>
      </c>
      <c r="R37" s="243" t="s">
        <v>136</v>
      </c>
      <c r="S37" s="243" t="s">
        <v>137</v>
      </c>
      <c r="T37" s="243" t="s">
        <v>138</v>
      </c>
      <c r="U37" s="342" t="s">
        <v>236</v>
      </c>
      <c r="X37" s="503"/>
    </row>
    <row r="38" spans="2:24">
      <c r="B38" s="192" t="s">
        <v>139</v>
      </c>
      <c r="C38" s="263">
        <v>12</v>
      </c>
      <c r="D38" s="104">
        <f t="shared" ref="D38:D43" si="2">E38/C38</f>
        <v>0</v>
      </c>
      <c r="E38" s="105">
        <f>L12</f>
        <v>0</v>
      </c>
      <c r="H38" s="192" t="s">
        <v>139</v>
      </c>
      <c r="I38" s="104">
        <f>E38/12</f>
        <v>0</v>
      </c>
      <c r="J38" s="104">
        <f>E38/12</f>
        <v>0</v>
      </c>
      <c r="K38" s="104">
        <f>E38/12</f>
        <v>0</v>
      </c>
      <c r="L38" s="104">
        <f>E38/12</f>
        <v>0</v>
      </c>
      <c r="M38" s="104">
        <f>E38/12</f>
        <v>0</v>
      </c>
      <c r="N38" s="104">
        <f>E38/12</f>
        <v>0</v>
      </c>
      <c r="O38" s="104">
        <f>E38/12</f>
        <v>0</v>
      </c>
      <c r="P38" s="104">
        <f>E38/12</f>
        <v>0</v>
      </c>
      <c r="Q38" s="104">
        <f>E38/12</f>
        <v>0</v>
      </c>
      <c r="R38" s="104">
        <f>E38/12</f>
        <v>0</v>
      </c>
      <c r="S38" s="104">
        <f>E38/12</f>
        <v>0</v>
      </c>
      <c r="T38" s="104">
        <f>E38/12</f>
        <v>0</v>
      </c>
      <c r="U38" s="105">
        <f>SUM(I38:T38)</f>
        <v>0</v>
      </c>
      <c r="X38" s="503"/>
    </row>
    <row r="39" spans="2:24">
      <c r="B39" s="193" t="s">
        <v>140</v>
      </c>
      <c r="C39" s="55">
        <v>12</v>
      </c>
      <c r="D39" s="6">
        <f t="shared" si="2"/>
        <v>0</v>
      </c>
      <c r="E39" s="101">
        <f>F23</f>
        <v>0</v>
      </c>
      <c r="H39" s="193" t="s">
        <v>140</v>
      </c>
      <c r="I39" s="6">
        <f>E39*8.24/100</f>
        <v>0</v>
      </c>
      <c r="J39" s="6">
        <f>E39*8.24/100</f>
        <v>0</v>
      </c>
      <c r="K39" s="6">
        <f>E39*8.24/100</f>
        <v>0</v>
      </c>
      <c r="L39" s="6">
        <f>E39*8.24/100</f>
        <v>0</v>
      </c>
      <c r="M39" s="43">
        <f>E39*8.8/100</f>
        <v>0</v>
      </c>
      <c r="N39" s="6">
        <f>E39*8.24/100</f>
        <v>0</v>
      </c>
      <c r="O39" s="6">
        <f>E39*8.24/100</f>
        <v>0</v>
      </c>
      <c r="P39" s="6">
        <f>E39*8.24/100</f>
        <v>0</v>
      </c>
      <c r="Q39" s="6">
        <f>E39*8.24/100</f>
        <v>0</v>
      </c>
      <c r="R39" s="6">
        <f>E39*8.24/100</f>
        <v>0</v>
      </c>
      <c r="S39" s="43">
        <f>E39*8.8/100</f>
        <v>0</v>
      </c>
      <c r="T39" s="6">
        <f>E39*8.24/100</f>
        <v>0</v>
      </c>
      <c r="U39" s="101">
        <f>SUM(I39:T39)</f>
        <v>0</v>
      </c>
      <c r="X39" s="503"/>
    </row>
    <row r="40" spans="2:24">
      <c r="B40" s="193" t="s">
        <v>141</v>
      </c>
      <c r="C40" s="55">
        <v>12</v>
      </c>
      <c r="D40" s="6">
        <f t="shared" si="2"/>
        <v>0</v>
      </c>
      <c r="E40" s="101">
        <f>E33</f>
        <v>0</v>
      </c>
      <c r="H40" s="272" t="s">
        <v>141</v>
      </c>
      <c r="I40" s="6">
        <f>E40*8.1/100</f>
        <v>0</v>
      </c>
      <c r="J40" s="6">
        <f>E40*8.1/100</f>
        <v>0</v>
      </c>
      <c r="K40" s="6">
        <f>E40*8.1/100</f>
        <v>0</v>
      </c>
      <c r="L40" s="6">
        <f>E40*8.1/100</f>
        <v>0</v>
      </c>
      <c r="M40" s="43">
        <f>E40*9.5/100</f>
        <v>0</v>
      </c>
      <c r="N40" s="6">
        <f>E40*8.1/100</f>
        <v>0</v>
      </c>
      <c r="O40" s="6">
        <f>E40*8.1/100</f>
        <v>0</v>
      </c>
      <c r="P40" s="6">
        <f>E40*8.1/100</f>
        <v>0</v>
      </c>
      <c r="Q40" s="6">
        <f>E40*8.1/100</f>
        <v>0</v>
      </c>
      <c r="R40" s="6">
        <f>E40*8.1/100</f>
        <v>0</v>
      </c>
      <c r="S40" s="43">
        <f>E40*9.5/100</f>
        <v>0</v>
      </c>
      <c r="T40" s="6">
        <f>E40*8.1/100</f>
        <v>0</v>
      </c>
      <c r="U40" s="101">
        <f>SUM(I40:T40)</f>
        <v>0</v>
      </c>
      <c r="X40" s="503"/>
    </row>
    <row r="41" spans="2:24">
      <c r="B41" s="193" t="s">
        <v>143</v>
      </c>
      <c r="C41" s="55">
        <v>12</v>
      </c>
      <c r="D41" s="6">
        <f t="shared" si="2"/>
        <v>0</v>
      </c>
      <c r="E41" s="101">
        <f>K33</f>
        <v>0</v>
      </c>
      <c r="H41" s="193" t="s">
        <v>143</v>
      </c>
      <c r="I41" s="6">
        <f>E41/12</f>
        <v>0</v>
      </c>
      <c r="J41" s="6">
        <f>E41/12</f>
        <v>0</v>
      </c>
      <c r="K41" s="6">
        <f>E41/12</f>
        <v>0</v>
      </c>
      <c r="L41" s="6">
        <f>E41/12</f>
        <v>0</v>
      </c>
      <c r="M41" s="6">
        <f>E41/12</f>
        <v>0</v>
      </c>
      <c r="N41" s="6">
        <f>E41/12</f>
        <v>0</v>
      </c>
      <c r="O41" s="6">
        <f>E41/12</f>
        <v>0</v>
      </c>
      <c r="P41" s="6">
        <f>E41/12</f>
        <v>0</v>
      </c>
      <c r="Q41" s="6">
        <f>E41/12</f>
        <v>0</v>
      </c>
      <c r="R41" s="6">
        <f>E41/12</f>
        <v>0</v>
      </c>
      <c r="S41" s="6">
        <f>E41/12</f>
        <v>0</v>
      </c>
      <c r="T41" s="6">
        <f>E41/12</f>
        <v>0</v>
      </c>
      <c r="U41" s="101">
        <f>SUM(I41:T41)</f>
        <v>0</v>
      </c>
      <c r="X41" s="503"/>
    </row>
    <row r="42" spans="2:24" ht="43.5" thickBot="1">
      <c r="B42" s="264" t="s">
        <v>145</v>
      </c>
      <c r="C42" s="265">
        <v>12</v>
      </c>
      <c r="D42" s="102">
        <f t="shared" si="2"/>
        <v>0</v>
      </c>
      <c r="E42" s="103">
        <f>L22</f>
        <v>0</v>
      </c>
      <c r="H42" s="264" t="s">
        <v>145</v>
      </c>
      <c r="I42" s="75">
        <f>E42/12</f>
        <v>0</v>
      </c>
      <c r="J42" s="75">
        <f>E42/12</f>
        <v>0</v>
      </c>
      <c r="K42" s="75">
        <f>E42/12</f>
        <v>0</v>
      </c>
      <c r="L42" s="75">
        <f>E42/12</f>
        <v>0</v>
      </c>
      <c r="M42" s="75">
        <f>E42/12</f>
        <v>0</v>
      </c>
      <c r="N42" s="75">
        <f>E42/12</f>
        <v>0</v>
      </c>
      <c r="O42" s="75">
        <f>E42/12</f>
        <v>0</v>
      </c>
      <c r="P42" s="75">
        <f>E42/12</f>
        <v>0</v>
      </c>
      <c r="Q42" s="75">
        <f>E42/12</f>
        <v>0</v>
      </c>
      <c r="R42" s="75">
        <f>E42/12</f>
        <v>0</v>
      </c>
      <c r="S42" s="75">
        <f>E42/12</f>
        <v>0</v>
      </c>
      <c r="T42" s="75">
        <f>E42/12</f>
        <v>0</v>
      </c>
      <c r="U42" s="103">
        <f>SUM(I42:T42)</f>
        <v>0</v>
      </c>
      <c r="X42" s="503"/>
    </row>
    <row r="43" spans="2:24" ht="15.75" thickBot="1">
      <c r="B43" s="278" t="s">
        <v>146</v>
      </c>
      <c r="C43" s="217">
        <v>12</v>
      </c>
      <c r="D43" s="219">
        <f t="shared" si="2"/>
        <v>0</v>
      </c>
      <c r="E43" s="221">
        <f>SUM(E38:E42)</f>
        <v>0</v>
      </c>
      <c r="H43" s="343" t="s">
        <v>146</v>
      </c>
      <c r="I43" s="344">
        <f t="shared" ref="I43:U43" si="3">SUM(I38:I42)</f>
        <v>0</v>
      </c>
      <c r="J43" s="344">
        <f t="shared" si="3"/>
        <v>0</v>
      </c>
      <c r="K43" s="344">
        <f t="shared" si="3"/>
        <v>0</v>
      </c>
      <c r="L43" s="344">
        <f t="shared" si="3"/>
        <v>0</v>
      </c>
      <c r="M43" s="344">
        <f t="shared" si="3"/>
        <v>0</v>
      </c>
      <c r="N43" s="344">
        <f t="shared" si="3"/>
        <v>0</v>
      </c>
      <c r="O43" s="344">
        <f t="shared" si="3"/>
        <v>0</v>
      </c>
      <c r="P43" s="344">
        <f t="shared" si="3"/>
        <v>0</v>
      </c>
      <c r="Q43" s="344">
        <f t="shared" si="3"/>
        <v>0</v>
      </c>
      <c r="R43" s="344">
        <f t="shared" si="3"/>
        <v>0</v>
      </c>
      <c r="S43" s="344">
        <f t="shared" si="3"/>
        <v>0</v>
      </c>
      <c r="T43" s="344">
        <f t="shared" si="3"/>
        <v>0</v>
      </c>
      <c r="U43" s="345">
        <f t="shared" si="3"/>
        <v>0</v>
      </c>
      <c r="X43" s="503"/>
    </row>
    <row r="44" spans="2:24" ht="15.75" thickBot="1">
      <c r="H44" s="346" t="s">
        <v>147</v>
      </c>
      <c r="I44" s="347" t="e">
        <f>I43*100/U43</f>
        <v>#DIV/0!</v>
      </c>
      <c r="J44" s="347" t="e">
        <f>J43*100/U43</f>
        <v>#DIV/0!</v>
      </c>
      <c r="K44" s="347" t="e">
        <f>K43*100/U43</f>
        <v>#DIV/0!</v>
      </c>
      <c r="L44" s="347" t="e">
        <f>L43*100/U43</f>
        <v>#DIV/0!</v>
      </c>
      <c r="M44" s="347" t="e">
        <f>M43*100/U43</f>
        <v>#DIV/0!</v>
      </c>
      <c r="N44" s="347" t="e">
        <f>N43*100/U43</f>
        <v>#DIV/0!</v>
      </c>
      <c r="O44" s="347" t="e">
        <f>O43*100/U43</f>
        <v>#DIV/0!</v>
      </c>
      <c r="P44" s="347" t="e">
        <f>P43*100/U43</f>
        <v>#DIV/0!</v>
      </c>
      <c r="Q44" s="347" t="e">
        <f>Q43*100/U43</f>
        <v>#DIV/0!</v>
      </c>
      <c r="R44" s="347" t="e">
        <f>R43*100/U43</f>
        <v>#DIV/0!</v>
      </c>
      <c r="S44" s="347" t="e">
        <f>S43*100/U43</f>
        <v>#DIV/0!</v>
      </c>
      <c r="T44" s="347" t="e">
        <f>T43*100/U43</f>
        <v>#DIV/0!</v>
      </c>
      <c r="U44" s="348" t="e">
        <f>U43*100/U43</f>
        <v>#DIV/0!</v>
      </c>
      <c r="X44" s="503"/>
    </row>
    <row r="45" spans="2:24" ht="15.75" thickBot="1">
      <c r="I45" s="59"/>
      <c r="J45" s="59"/>
      <c r="K45" s="59"/>
      <c r="L45" s="59"/>
      <c r="M45" s="59"/>
      <c r="N45" s="59"/>
      <c r="O45" s="59"/>
      <c r="P45" s="59"/>
      <c r="Q45" s="59"/>
      <c r="R45" s="59"/>
      <c r="S45" s="59"/>
      <c r="T45" s="59"/>
      <c r="X45" s="503"/>
    </row>
    <row r="46" spans="2:24" ht="30.75" thickBot="1">
      <c r="E46" s="349" t="s">
        <v>148</v>
      </c>
      <c r="F46" s="314">
        <v>0.1</v>
      </c>
      <c r="G46" s="315">
        <v>0.1</v>
      </c>
      <c r="H46" s="315">
        <v>0.1</v>
      </c>
      <c r="I46" s="315">
        <v>0.1</v>
      </c>
      <c r="J46" s="315">
        <v>0.1</v>
      </c>
      <c r="K46" s="315">
        <v>0.1</v>
      </c>
      <c r="L46" s="315">
        <v>0.1</v>
      </c>
      <c r="M46" s="315">
        <v>0.1</v>
      </c>
      <c r="N46" s="315">
        <v>0.1</v>
      </c>
      <c r="O46" s="316">
        <v>0.1</v>
      </c>
      <c r="P46" s="40" t="s">
        <v>10</v>
      </c>
      <c r="Q46" s="661" t="s">
        <v>149</v>
      </c>
      <c r="R46" s="662"/>
      <c r="S46" s="662"/>
      <c r="T46" s="663"/>
      <c r="X46" s="503"/>
    </row>
    <row r="47" spans="2:24" ht="15.75" thickBot="1">
      <c r="B47" s="582" t="s">
        <v>150</v>
      </c>
      <c r="C47" s="583"/>
      <c r="D47" s="584"/>
      <c r="E47" s="317" t="s">
        <v>151</v>
      </c>
      <c r="F47" s="318" t="s">
        <v>152</v>
      </c>
      <c r="G47" s="318" t="s">
        <v>153</v>
      </c>
      <c r="H47" s="318" t="s">
        <v>154</v>
      </c>
      <c r="I47" s="318" t="s">
        <v>155</v>
      </c>
      <c r="J47" s="319" t="s">
        <v>156</v>
      </c>
      <c r="K47" s="319" t="s">
        <v>157</v>
      </c>
      <c r="L47" s="319" t="s">
        <v>158</v>
      </c>
      <c r="M47" s="319" t="s">
        <v>159</v>
      </c>
      <c r="N47" s="319" t="s">
        <v>160</v>
      </c>
      <c r="O47" s="320" t="s">
        <v>161</v>
      </c>
      <c r="Q47" s="664"/>
      <c r="R47" s="665"/>
      <c r="S47" s="665"/>
      <c r="T47" s="666"/>
      <c r="X47" s="503"/>
    </row>
    <row r="48" spans="2:24" ht="15.75" thickBot="1">
      <c r="B48" s="625" t="s">
        <v>237</v>
      </c>
      <c r="C48" s="626"/>
      <c r="D48" s="627"/>
      <c r="E48" s="321"/>
      <c r="F48" s="322">
        <f>'Inversiones levante '!D14</f>
        <v>0</v>
      </c>
      <c r="G48" s="322">
        <f>'Inversiones levante '!D14</f>
        <v>0</v>
      </c>
      <c r="H48" s="323">
        <f>'Inversiones levante '!D14</f>
        <v>0</v>
      </c>
      <c r="I48" s="323">
        <f>'Inversiones levante '!D14</f>
        <v>0</v>
      </c>
      <c r="J48" s="324">
        <f>'Inversiones levante '!D14</f>
        <v>0</v>
      </c>
      <c r="K48" s="322">
        <f>'Inversiones levante '!D14</f>
        <v>0</v>
      </c>
      <c r="L48" s="322">
        <f>'Inversiones levante '!D14</f>
        <v>0</v>
      </c>
      <c r="M48" s="323">
        <f>'Inversiones levante '!D14</f>
        <v>0</v>
      </c>
      <c r="N48" s="322">
        <f>'Inversiones levante '!D14</f>
        <v>0</v>
      </c>
      <c r="O48" s="350">
        <f>'Inversiones levante '!D14</f>
        <v>0</v>
      </c>
      <c r="Q48" s="667"/>
      <c r="R48" s="668"/>
      <c r="S48" s="668"/>
      <c r="T48" s="669"/>
      <c r="X48" s="503"/>
    </row>
    <row r="49" spans="1:24">
      <c r="B49" s="628" t="s">
        <v>163</v>
      </c>
      <c r="C49" s="629"/>
      <c r="D49" s="630"/>
      <c r="E49" s="12"/>
      <c r="F49" s="14">
        <f>'Inversiones levante '!F24</f>
        <v>0</v>
      </c>
      <c r="G49" s="9"/>
      <c r="H49" s="9"/>
      <c r="I49" s="9"/>
      <c r="J49" s="9"/>
      <c r="K49" s="9"/>
      <c r="L49" s="9"/>
      <c r="M49" s="9"/>
      <c r="N49" s="9"/>
      <c r="O49" s="351"/>
      <c r="X49" s="503"/>
    </row>
    <row r="50" spans="1:24">
      <c r="B50" s="628" t="s">
        <v>164</v>
      </c>
      <c r="C50" s="629"/>
      <c r="D50" s="630"/>
      <c r="E50" s="10"/>
      <c r="F50" s="14">
        <f>E38</f>
        <v>0</v>
      </c>
      <c r="G50" s="9">
        <f>F50*(1+F$46)</f>
        <v>0</v>
      </c>
      <c r="H50" s="9">
        <f t="shared" ref="H50:O54" si="4">G50*(1+G$46)</f>
        <v>0</v>
      </c>
      <c r="I50" s="9">
        <f t="shared" si="4"/>
        <v>0</v>
      </c>
      <c r="J50" s="9">
        <f t="shared" si="4"/>
        <v>0</v>
      </c>
      <c r="K50" s="9">
        <f t="shared" si="4"/>
        <v>0</v>
      </c>
      <c r="L50" s="9">
        <f t="shared" si="4"/>
        <v>0</v>
      </c>
      <c r="M50" s="9">
        <f t="shared" si="4"/>
        <v>0</v>
      </c>
      <c r="N50" s="9">
        <f t="shared" si="4"/>
        <v>0</v>
      </c>
      <c r="O50" s="351">
        <f t="shared" si="4"/>
        <v>0</v>
      </c>
      <c r="X50" s="503"/>
    </row>
    <row r="51" spans="1:24">
      <c r="B51" s="628" t="s">
        <v>165</v>
      </c>
      <c r="C51" s="629"/>
      <c r="D51" s="630"/>
      <c r="E51" s="12"/>
      <c r="F51" s="15">
        <f>E39</f>
        <v>0</v>
      </c>
      <c r="G51" s="9">
        <f>F51*(1+F$46)</f>
        <v>0</v>
      </c>
      <c r="H51" s="9">
        <f t="shared" si="4"/>
        <v>0</v>
      </c>
      <c r="I51" s="9">
        <f t="shared" si="4"/>
        <v>0</v>
      </c>
      <c r="J51" s="9">
        <f t="shared" si="4"/>
        <v>0</v>
      </c>
      <c r="K51" s="9">
        <f t="shared" si="4"/>
        <v>0</v>
      </c>
      <c r="L51" s="9">
        <f t="shared" si="4"/>
        <v>0</v>
      </c>
      <c r="M51" s="9">
        <f t="shared" si="4"/>
        <v>0</v>
      </c>
      <c r="N51" s="9">
        <f t="shared" si="4"/>
        <v>0</v>
      </c>
      <c r="O51" s="351">
        <f t="shared" si="4"/>
        <v>0</v>
      </c>
      <c r="X51" s="503"/>
    </row>
    <row r="52" spans="1:24">
      <c r="B52" s="628" t="s">
        <v>166</v>
      </c>
      <c r="C52" s="629"/>
      <c r="D52" s="630"/>
      <c r="E52" s="12"/>
      <c r="F52" s="14">
        <f>E40</f>
        <v>0</v>
      </c>
      <c r="G52" s="9">
        <f>F52*(1+F$46)</f>
        <v>0</v>
      </c>
      <c r="H52" s="9">
        <f t="shared" si="4"/>
        <v>0</v>
      </c>
      <c r="I52" s="9">
        <f t="shared" si="4"/>
        <v>0</v>
      </c>
      <c r="J52" s="9">
        <f t="shared" si="4"/>
        <v>0</v>
      </c>
      <c r="K52" s="9">
        <f t="shared" si="4"/>
        <v>0</v>
      </c>
      <c r="L52" s="9">
        <f t="shared" si="4"/>
        <v>0</v>
      </c>
      <c r="M52" s="9">
        <f t="shared" si="4"/>
        <v>0</v>
      </c>
      <c r="N52" s="9">
        <f t="shared" si="4"/>
        <v>0</v>
      </c>
      <c r="O52" s="351">
        <f t="shared" si="4"/>
        <v>0</v>
      </c>
      <c r="X52" s="503"/>
    </row>
    <row r="53" spans="1:24">
      <c r="B53" s="628" t="s">
        <v>167</v>
      </c>
      <c r="C53" s="629"/>
      <c r="D53" s="630"/>
      <c r="E53" s="12"/>
      <c r="F53" s="14">
        <f>E41</f>
        <v>0</v>
      </c>
      <c r="G53" s="9">
        <f>F53*(1+F$46)</f>
        <v>0</v>
      </c>
      <c r="H53" s="9">
        <f t="shared" si="4"/>
        <v>0</v>
      </c>
      <c r="I53" s="9">
        <f t="shared" si="4"/>
        <v>0</v>
      </c>
      <c r="J53" s="9">
        <f t="shared" si="4"/>
        <v>0</v>
      </c>
      <c r="K53" s="9">
        <f t="shared" si="4"/>
        <v>0</v>
      </c>
      <c r="L53" s="9">
        <f t="shared" si="4"/>
        <v>0</v>
      </c>
      <c r="M53" s="9">
        <f t="shared" si="4"/>
        <v>0</v>
      </c>
      <c r="N53" s="9">
        <f t="shared" si="4"/>
        <v>0</v>
      </c>
      <c r="O53" s="351">
        <f t="shared" si="4"/>
        <v>0</v>
      </c>
      <c r="X53" s="503"/>
    </row>
    <row r="54" spans="1:24">
      <c r="B54" s="628" t="s">
        <v>145</v>
      </c>
      <c r="C54" s="629"/>
      <c r="D54" s="630"/>
      <c r="E54" s="12"/>
      <c r="F54" s="11">
        <f>E42</f>
        <v>0</v>
      </c>
      <c r="G54" s="11">
        <f>F54*(1+F$46)</f>
        <v>0</v>
      </c>
      <c r="H54" s="11">
        <f t="shared" si="4"/>
        <v>0</v>
      </c>
      <c r="I54" s="11">
        <f t="shared" si="4"/>
        <v>0</v>
      </c>
      <c r="J54" s="20">
        <f t="shared" si="4"/>
        <v>0</v>
      </c>
      <c r="K54" s="11">
        <f t="shared" si="4"/>
        <v>0</v>
      </c>
      <c r="L54" s="11">
        <f t="shared" si="4"/>
        <v>0</v>
      </c>
      <c r="M54" s="11">
        <f t="shared" si="4"/>
        <v>0</v>
      </c>
      <c r="N54" s="11">
        <f t="shared" si="4"/>
        <v>0</v>
      </c>
      <c r="O54" s="327">
        <f t="shared" si="4"/>
        <v>0</v>
      </c>
      <c r="X54" s="503"/>
    </row>
    <row r="55" spans="1:24">
      <c r="B55" s="628"/>
      <c r="C55" s="629"/>
      <c r="D55" s="630"/>
      <c r="E55" s="12"/>
      <c r="F55" s="11"/>
      <c r="G55" s="11"/>
      <c r="H55" s="11"/>
      <c r="I55" s="11"/>
      <c r="J55" s="20"/>
      <c r="K55" s="11"/>
      <c r="L55" s="11"/>
      <c r="M55" s="11"/>
      <c r="N55" s="11"/>
      <c r="O55" s="327"/>
      <c r="X55" s="503"/>
    </row>
    <row r="56" spans="1:24">
      <c r="B56" s="628"/>
      <c r="C56" s="629"/>
      <c r="D56" s="630"/>
      <c r="E56" s="12"/>
      <c r="F56" s="11"/>
      <c r="G56" s="11"/>
      <c r="H56" s="11"/>
      <c r="I56" s="11"/>
      <c r="J56" s="20"/>
      <c r="K56" s="11"/>
      <c r="L56" s="11"/>
      <c r="M56" s="11"/>
      <c r="N56" s="11"/>
      <c r="O56" s="327"/>
      <c r="X56" s="503"/>
    </row>
    <row r="57" spans="1:24" ht="15.75" thickBot="1">
      <c r="B57" s="637"/>
      <c r="C57" s="638"/>
      <c r="D57" s="639"/>
      <c r="E57" s="329"/>
      <c r="F57" s="330"/>
      <c r="G57" s="330"/>
      <c r="H57" s="330"/>
      <c r="I57" s="330"/>
      <c r="J57" s="331"/>
      <c r="K57" s="330"/>
      <c r="L57" s="330"/>
      <c r="M57" s="330"/>
      <c r="N57" s="330"/>
      <c r="O57" s="333"/>
      <c r="X57" s="503"/>
    </row>
    <row r="58" spans="1:24">
      <c r="B58" s="640" t="s">
        <v>168</v>
      </c>
      <c r="C58" s="641"/>
      <c r="D58" s="642"/>
      <c r="E58" s="305"/>
      <c r="F58" s="306">
        <f t="shared" ref="F58:O58" si="5">F49+F50+F51+F52+F53+F54+F55+F56+F57</f>
        <v>0</v>
      </c>
      <c r="G58" s="306">
        <f t="shared" si="5"/>
        <v>0</v>
      </c>
      <c r="H58" s="306">
        <f t="shared" si="5"/>
        <v>0</v>
      </c>
      <c r="I58" s="306">
        <f t="shared" si="5"/>
        <v>0</v>
      </c>
      <c r="J58" s="307">
        <f t="shared" si="5"/>
        <v>0</v>
      </c>
      <c r="K58" s="307">
        <f t="shared" si="5"/>
        <v>0</v>
      </c>
      <c r="L58" s="307">
        <f t="shared" si="5"/>
        <v>0</v>
      </c>
      <c r="M58" s="307">
        <f t="shared" si="5"/>
        <v>0</v>
      </c>
      <c r="N58" s="307">
        <f t="shared" si="5"/>
        <v>0</v>
      </c>
      <c r="O58" s="308">
        <f t="shared" si="5"/>
        <v>0</v>
      </c>
      <c r="X58" s="503"/>
    </row>
    <row r="59" spans="1:24" ht="15.75" thickBot="1">
      <c r="B59" s="634" t="s">
        <v>169</v>
      </c>
      <c r="C59" s="635"/>
      <c r="D59" s="636"/>
      <c r="E59" s="352"/>
      <c r="F59" s="353" t="e">
        <f t="shared" ref="F59:O59" si="6">F58/F48</f>
        <v>#DIV/0!</v>
      </c>
      <c r="G59" s="353" t="e">
        <f t="shared" si="6"/>
        <v>#DIV/0!</v>
      </c>
      <c r="H59" s="353" t="e">
        <f t="shared" si="6"/>
        <v>#DIV/0!</v>
      </c>
      <c r="I59" s="353" t="e">
        <f t="shared" si="6"/>
        <v>#DIV/0!</v>
      </c>
      <c r="J59" s="354" t="e">
        <f t="shared" si="6"/>
        <v>#DIV/0!</v>
      </c>
      <c r="K59" s="357" t="e">
        <f t="shared" si="6"/>
        <v>#DIV/0!</v>
      </c>
      <c r="L59" s="357" t="e">
        <f t="shared" si="6"/>
        <v>#DIV/0!</v>
      </c>
      <c r="M59" s="358" t="e">
        <f t="shared" si="6"/>
        <v>#DIV/0!</v>
      </c>
      <c r="N59" s="357" t="e">
        <f t="shared" si="6"/>
        <v>#DIV/0!</v>
      </c>
      <c r="O59" s="359" t="e">
        <f t="shared" si="6"/>
        <v>#DIV/0!</v>
      </c>
      <c r="X59" s="503"/>
    </row>
    <row r="60" spans="1:24">
      <c r="X60" s="503"/>
    </row>
    <row r="61" spans="1:24" ht="15.75" thickBot="1">
      <c r="X61" s="503"/>
    </row>
    <row r="62" spans="1:24" ht="15" customHeight="1">
      <c r="B62" s="753" t="s">
        <v>238</v>
      </c>
      <c r="C62" s="755" t="s">
        <v>239</v>
      </c>
      <c r="D62" s="606"/>
      <c r="E62" s="606"/>
      <c r="F62" s="607"/>
      <c r="X62" s="503"/>
    </row>
    <row r="63" spans="1:24" ht="52.5" customHeight="1" thickBot="1">
      <c r="B63" s="754"/>
      <c r="C63" s="289" t="s">
        <v>240</v>
      </c>
      <c r="D63" s="289" t="s">
        <v>241</v>
      </c>
      <c r="E63" s="289" t="s">
        <v>242</v>
      </c>
      <c r="F63" s="360" t="s">
        <v>243</v>
      </c>
      <c r="X63" s="503"/>
    </row>
    <row r="64" spans="1:24">
      <c r="A64" s="361" t="s">
        <v>73</v>
      </c>
      <c r="B64" s="362">
        <f>'Inversiones levante '!D14</f>
        <v>0</v>
      </c>
      <c r="C64" s="363">
        <f>B64/100*50</f>
        <v>0</v>
      </c>
      <c r="D64" s="363">
        <f>B64/100*20</f>
        <v>0</v>
      </c>
      <c r="E64" s="364">
        <f>B64/100*15</f>
        <v>0</v>
      </c>
      <c r="F64" s="365">
        <f>B64/100*15</f>
        <v>0</v>
      </c>
      <c r="G64" s="39"/>
      <c r="X64" s="503"/>
    </row>
    <row r="65" spans="1:26" ht="45.75" thickBot="1">
      <c r="A65" s="366" t="s">
        <v>244</v>
      </c>
      <c r="B65" s="367">
        <f>'Inversiones levante '!H6</f>
        <v>0</v>
      </c>
      <c r="C65" s="368">
        <f>B65+36</f>
        <v>36</v>
      </c>
      <c r="D65" s="368">
        <f>C65+45</f>
        <v>81</v>
      </c>
      <c r="E65" s="368">
        <f>D65+45</f>
        <v>126</v>
      </c>
      <c r="F65" s="369">
        <f>E65+45</f>
        <v>171</v>
      </c>
      <c r="X65" s="503"/>
    </row>
    <row r="66" spans="1:26">
      <c r="X66" s="503"/>
    </row>
    <row r="67" spans="1:26">
      <c r="X67" s="503"/>
    </row>
    <row r="68" spans="1:26" ht="15.75" thickBot="1">
      <c r="X68" s="504"/>
    </row>
    <row r="69" spans="1:26" ht="15.75" thickBot="1">
      <c r="A69" s="499"/>
      <c r="B69" s="500"/>
      <c r="C69" s="500"/>
      <c r="D69" s="500"/>
      <c r="E69" s="500"/>
      <c r="F69" s="500"/>
      <c r="G69" s="500"/>
      <c r="H69" s="500"/>
      <c r="I69" s="500"/>
      <c r="J69" s="500"/>
      <c r="K69" s="500"/>
      <c r="L69" s="500"/>
      <c r="M69" s="500"/>
      <c r="N69" s="500"/>
      <c r="O69" s="500"/>
      <c r="P69" s="500"/>
      <c r="Q69" s="500"/>
      <c r="R69" s="500"/>
      <c r="S69" s="500"/>
      <c r="T69" s="500"/>
      <c r="U69" s="500"/>
      <c r="V69" s="500"/>
      <c r="W69" s="500"/>
      <c r="X69" s="501"/>
      <c r="Y69" s="90"/>
      <c r="Z69" s="90"/>
    </row>
  </sheetData>
  <sheetProtection password="E869" sheet="1" objects="1" scenarios="1"/>
  <mergeCells count="34">
    <mergeCell ref="Q46:T48"/>
    <mergeCell ref="A69:X69"/>
    <mergeCell ref="X1:X68"/>
    <mergeCell ref="B2:L2"/>
    <mergeCell ref="N20:T25"/>
    <mergeCell ref="N6:T10"/>
    <mergeCell ref="N4:P4"/>
    <mergeCell ref="N13:T17"/>
    <mergeCell ref="B62:B63"/>
    <mergeCell ref="C62:F62"/>
    <mergeCell ref="H36:U36"/>
    <mergeCell ref="B52:D52"/>
    <mergeCell ref="B36:E36"/>
    <mergeCell ref="B47:D47"/>
    <mergeCell ref="B48:D48"/>
    <mergeCell ref="B49:D49"/>
    <mergeCell ref="B59:D59"/>
    <mergeCell ref="B53:D53"/>
    <mergeCell ref="B54:D54"/>
    <mergeCell ref="B55:D55"/>
    <mergeCell ref="B56:D56"/>
    <mergeCell ref="B57:D57"/>
    <mergeCell ref="B58:D58"/>
    <mergeCell ref="B5:L5"/>
    <mergeCell ref="B15:F15"/>
    <mergeCell ref="B26:E26"/>
    <mergeCell ref="H26:K26"/>
    <mergeCell ref="B51:D51"/>
    <mergeCell ref="D14:E14"/>
    <mergeCell ref="C25:D25"/>
    <mergeCell ref="I25:J25"/>
    <mergeCell ref="I15:L15"/>
    <mergeCell ref="J14:K14"/>
    <mergeCell ref="B50:D50"/>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W33"/>
  <sheetViews>
    <sheetView topLeftCell="A16" zoomScale="84" zoomScaleNormal="84" workbookViewId="0">
      <selection activeCell="H5" sqref="H5"/>
    </sheetView>
  </sheetViews>
  <sheetFormatPr defaultColWidth="11.42578125" defaultRowHeight="15"/>
  <cols>
    <col min="2" max="2" width="16.7109375" customWidth="1"/>
    <col min="3" max="12" width="12.5703125" bestFit="1" customWidth="1"/>
  </cols>
  <sheetData>
    <row r="1" spans="2:23" ht="15.75" thickBot="1">
      <c r="W1" s="502"/>
    </row>
    <row r="2" spans="2:23" ht="19.5" thickBot="1">
      <c r="B2" s="722" t="s">
        <v>245</v>
      </c>
      <c r="C2" s="723"/>
      <c r="D2" s="723"/>
      <c r="E2" s="723"/>
      <c r="F2" s="723"/>
      <c r="G2" s="723"/>
      <c r="H2" s="723"/>
      <c r="I2" s="723"/>
      <c r="J2" s="723"/>
      <c r="K2" s="723"/>
      <c r="L2" s="724"/>
      <c r="W2" s="503"/>
    </row>
    <row r="3" spans="2:23" ht="19.5" thickBot="1">
      <c r="B3" s="31"/>
      <c r="C3" s="31"/>
      <c r="D3" s="31"/>
      <c r="E3" s="31"/>
      <c r="F3" s="31"/>
      <c r="G3" s="31"/>
      <c r="H3" s="31"/>
      <c r="I3" s="31"/>
      <c r="W3" s="503"/>
    </row>
    <row r="4" spans="2:23" ht="23.25" thickBot="1">
      <c r="B4" s="771" t="s">
        <v>246</v>
      </c>
      <c r="C4" s="772"/>
      <c r="D4" s="772"/>
      <c r="E4" s="772"/>
      <c r="F4" s="772"/>
      <c r="G4" s="773"/>
      <c r="H4" s="190">
        <v>0</v>
      </c>
      <c r="I4" s="40" t="s">
        <v>10</v>
      </c>
      <c r="J4" s="535" t="s">
        <v>247</v>
      </c>
      <c r="K4" s="536"/>
      <c r="L4" s="537"/>
      <c r="W4" s="503"/>
    </row>
    <row r="5" spans="2:23" ht="23.25" thickBot="1">
      <c r="B5" s="756" t="s">
        <v>248</v>
      </c>
      <c r="C5" s="757"/>
      <c r="D5" s="757"/>
      <c r="E5" s="757"/>
      <c r="F5" s="757"/>
      <c r="G5" s="758"/>
      <c r="H5" s="189">
        <v>0</v>
      </c>
      <c r="I5" s="40" t="s">
        <v>10</v>
      </c>
      <c r="J5" s="541"/>
      <c r="K5" s="542"/>
      <c r="L5" s="543"/>
      <c r="O5" s="759" t="s">
        <v>72</v>
      </c>
      <c r="P5" s="760"/>
      <c r="Q5" s="760"/>
      <c r="R5" s="761"/>
      <c r="W5" s="503"/>
    </row>
    <row r="6" spans="2:23" ht="27.75" thickBot="1">
      <c r="O6" s="41" t="s">
        <v>27</v>
      </c>
      <c r="W6" s="503"/>
    </row>
    <row r="7" spans="2:23" ht="22.5" customHeight="1" thickBot="1">
      <c r="B7" s="280" t="s">
        <v>44</v>
      </c>
      <c r="C7" s="281" t="s">
        <v>198</v>
      </c>
      <c r="D7" s="281" t="s">
        <v>199</v>
      </c>
      <c r="E7" s="281" t="s">
        <v>200</v>
      </c>
      <c r="F7" s="281" t="s">
        <v>201</v>
      </c>
      <c r="G7" s="281" t="s">
        <v>202</v>
      </c>
      <c r="H7" s="281" t="s">
        <v>203</v>
      </c>
      <c r="I7" s="281" t="s">
        <v>158</v>
      </c>
      <c r="J7" s="281" t="s">
        <v>159</v>
      </c>
      <c r="K7" s="281" t="s">
        <v>160</v>
      </c>
      <c r="L7" s="370" t="s">
        <v>161</v>
      </c>
      <c r="M7" s="214"/>
      <c r="N7" s="187"/>
      <c r="O7" s="762" t="s">
        <v>249</v>
      </c>
      <c r="P7" s="763"/>
      <c r="Q7" s="763"/>
      <c r="R7" s="763"/>
      <c r="S7" s="763"/>
      <c r="T7" s="763"/>
      <c r="U7" s="764"/>
      <c r="W7" s="503"/>
    </row>
    <row r="8" spans="2:23">
      <c r="B8" s="192" t="s">
        <v>250</v>
      </c>
      <c r="C8" s="99">
        <f>'Inversiones levante '!D14</f>
        <v>0</v>
      </c>
      <c r="D8" s="99">
        <f>'Inversiones levante '!D14</f>
        <v>0</v>
      </c>
      <c r="E8" s="99">
        <f>'Inversiones levante '!D14</f>
        <v>0</v>
      </c>
      <c r="F8" s="99">
        <f>'Inversiones levante '!D14</f>
        <v>0</v>
      </c>
      <c r="G8" s="99">
        <f>'Inversiones levante '!D14</f>
        <v>0</v>
      </c>
      <c r="H8" s="99">
        <f>'Inversiones levante '!D14</f>
        <v>0</v>
      </c>
      <c r="I8" s="99">
        <f>'Inversiones levante '!D14</f>
        <v>0</v>
      </c>
      <c r="J8" s="99">
        <f>'Inversiones levante '!D14</f>
        <v>0</v>
      </c>
      <c r="K8" s="99">
        <f>'Inversiones levante '!D14</f>
        <v>0</v>
      </c>
      <c r="L8" s="100">
        <f>'Inversiones levante '!D14</f>
        <v>0</v>
      </c>
      <c r="M8" s="214"/>
      <c r="N8" s="187"/>
      <c r="O8" s="765"/>
      <c r="P8" s="766"/>
      <c r="Q8" s="766"/>
      <c r="R8" s="766"/>
      <c r="S8" s="766"/>
      <c r="T8" s="766"/>
      <c r="U8" s="767"/>
      <c r="W8" s="503"/>
    </row>
    <row r="9" spans="2:23">
      <c r="B9" s="193" t="s">
        <v>251</v>
      </c>
      <c r="C9" s="6">
        <f>H4</f>
        <v>0</v>
      </c>
      <c r="D9" s="6">
        <f>C9*(1+'Costos año Levante '!F46)</f>
        <v>0</v>
      </c>
      <c r="E9" s="6">
        <f>D9*(1+'Costos año Levante '!G46)</f>
        <v>0</v>
      </c>
      <c r="F9" s="6">
        <f>E9*(1+'Costos año Levante '!H46)</f>
        <v>0</v>
      </c>
      <c r="G9" s="6">
        <f>F9*(1+'Costos año Levante '!I46)</f>
        <v>0</v>
      </c>
      <c r="H9" s="6">
        <f>G9*(1+'Costos año Levante '!J46)</f>
        <v>0</v>
      </c>
      <c r="I9" s="6">
        <f>H9*(1+'Costos año Levante '!K46)</f>
        <v>0</v>
      </c>
      <c r="J9" s="6">
        <f>I9*(1+'Costos año Levante '!L46)</f>
        <v>0</v>
      </c>
      <c r="K9" s="6">
        <f>J9*(1+'Costos año Levante '!M46)</f>
        <v>0</v>
      </c>
      <c r="L9" s="101">
        <f>K9*(1+'Costos año Levante '!N46)</f>
        <v>0</v>
      </c>
      <c r="M9" s="214"/>
      <c r="N9" s="187"/>
      <c r="O9" s="765"/>
      <c r="P9" s="766"/>
      <c r="Q9" s="766"/>
      <c r="R9" s="766"/>
      <c r="S9" s="766"/>
      <c r="T9" s="766"/>
      <c r="U9" s="767"/>
      <c r="W9" s="503"/>
    </row>
    <row r="10" spans="2:23" ht="43.5">
      <c r="B10" s="196" t="s">
        <v>252</v>
      </c>
      <c r="C10" s="6">
        <f>H4*H5</f>
        <v>0</v>
      </c>
      <c r="D10" s="6">
        <f>+C10*(1+'Costos año Levante '!F$46)</f>
        <v>0</v>
      </c>
      <c r="E10" s="6">
        <f>+D10*(1+'Costos año Levante '!G$46)</f>
        <v>0</v>
      </c>
      <c r="F10" s="6">
        <f>+E10*(1+'Costos año Levante '!H$46)</f>
        <v>0</v>
      </c>
      <c r="G10" s="6">
        <f>+F10*(1+'Costos año Levante '!I$46)</f>
        <v>0</v>
      </c>
      <c r="H10" s="6">
        <f>+G10*(1+'Costos año Levante '!J$46)</f>
        <v>0</v>
      </c>
      <c r="I10" s="6">
        <f>+H10*(1+'Costos año Levante '!K$46)</f>
        <v>0</v>
      </c>
      <c r="J10" s="6">
        <f>+I10*(1+'Costos año Levante '!L$46)</f>
        <v>0</v>
      </c>
      <c r="K10" s="6">
        <f>+J10*(1+'Costos año Levante '!M$46)</f>
        <v>0</v>
      </c>
      <c r="L10" s="101">
        <f>+K10*(1+'Costos año Levante '!N$46)</f>
        <v>0</v>
      </c>
      <c r="M10" s="214"/>
      <c r="N10" s="187"/>
      <c r="O10" s="765"/>
      <c r="P10" s="766"/>
      <c r="Q10" s="766"/>
      <c r="R10" s="766"/>
      <c r="S10" s="766"/>
      <c r="T10" s="766"/>
      <c r="U10" s="767"/>
      <c r="W10" s="503"/>
    </row>
    <row r="11" spans="2:23" ht="26.25" customHeight="1" thickBot="1">
      <c r="B11" s="194" t="s">
        <v>67</v>
      </c>
      <c r="C11" s="102"/>
      <c r="D11" s="26"/>
      <c r="E11" s="26"/>
      <c r="F11" s="26"/>
      <c r="G11" s="26"/>
      <c r="H11" s="26"/>
      <c r="I11" s="26"/>
      <c r="J11" s="26"/>
      <c r="K11" s="26"/>
      <c r="L11" s="130"/>
      <c r="M11" s="214"/>
      <c r="N11" s="187"/>
      <c r="O11" s="765"/>
      <c r="P11" s="766"/>
      <c r="Q11" s="766"/>
      <c r="R11" s="766"/>
      <c r="S11" s="766"/>
      <c r="T11" s="766"/>
      <c r="U11" s="767"/>
      <c r="W11" s="503"/>
    </row>
    <row r="12" spans="2:23" ht="24" customHeight="1" thickBot="1">
      <c r="B12" s="278" t="s">
        <v>210</v>
      </c>
      <c r="C12" s="371">
        <f>C8*C10+C11</f>
        <v>0</v>
      </c>
      <c r="D12" s="371">
        <f t="shared" ref="D12:L12" si="0">D10*D8+D11</f>
        <v>0</v>
      </c>
      <c r="E12" s="371">
        <f t="shared" si="0"/>
        <v>0</v>
      </c>
      <c r="F12" s="371">
        <f t="shared" si="0"/>
        <v>0</v>
      </c>
      <c r="G12" s="371">
        <f t="shared" si="0"/>
        <v>0</v>
      </c>
      <c r="H12" s="371">
        <f t="shared" si="0"/>
        <v>0</v>
      </c>
      <c r="I12" s="371">
        <f t="shared" si="0"/>
        <v>0</v>
      </c>
      <c r="J12" s="371">
        <f t="shared" si="0"/>
        <v>0</v>
      </c>
      <c r="K12" s="371">
        <f t="shared" si="0"/>
        <v>0</v>
      </c>
      <c r="L12" s="372">
        <f t="shared" si="0"/>
        <v>0</v>
      </c>
      <c r="M12" s="214"/>
      <c r="N12" s="187"/>
      <c r="O12" s="768"/>
      <c r="P12" s="769"/>
      <c r="Q12" s="769"/>
      <c r="R12" s="769"/>
      <c r="S12" s="769"/>
      <c r="T12" s="769"/>
      <c r="U12" s="770"/>
      <c r="W12" s="503"/>
    </row>
    <row r="13" spans="2:23" ht="15.75" thickBot="1">
      <c r="W13" s="503"/>
    </row>
    <row r="14" spans="2:23">
      <c r="B14" s="192" t="s">
        <v>211</v>
      </c>
      <c r="C14" s="110">
        <f>'Costos año Levante '!F58</f>
        <v>0</v>
      </c>
      <c r="D14" s="110">
        <f>'Costos año Levante '!G58</f>
        <v>0</v>
      </c>
      <c r="E14" s="110">
        <f>'Costos año Levante '!H58</f>
        <v>0</v>
      </c>
      <c r="F14" s="110">
        <f>'Costos año Levante '!I58</f>
        <v>0</v>
      </c>
      <c r="G14" s="110">
        <f>'Costos año Levante '!J58</f>
        <v>0</v>
      </c>
      <c r="H14" s="110">
        <f>'Costos año Levante '!K58</f>
        <v>0</v>
      </c>
      <c r="I14" s="110">
        <f>'Costos año Levante '!L58</f>
        <v>0</v>
      </c>
      <c r="J14" s="110">
        <f>'Costos año Levante '!M58</f>
        <v>0</v>
      </c>
      <c r="K14" s="110">
        <f>'Costos año Levante '!N58</f>
        <v>0</v>
      </c>
      <c r="L14" s="111">
        <f>'Costos año Levante '!O58</f>
        <v>0</v>
      </c>
      <c r="W14" s="503"/>
    </row>
    <row r="15" spans="2:23">
      <c r="B15" s="373" t="s">
        <v>212</v>
      </c>
      <c r="C15" s="374">
        <f>C12-C14</f>
        <v>0</v>
      </c>
      <c r="D15" s="374">
        <f t="shared" ref="D15:L15" si="1">D12-D14</f>
        <v>0</v>
      </c>
      <c r="E15" s="374">
        <f t="shared" si="1"/>
        <v>0</v>
      </c>
      <c r="F15" s="374">
        <f t="shared" si="1"/>
        <v>0</v>
      </c>
      <c r="G15" s="374">
        <f t="shared" si="1"/>
        <v>0</v>
      </c>
      <c r="H15" s="374">
        <f t="shared" si="1"/>
        <v>0</v>
      </c>
      <c r="I15" s="374">
        <f t="shared" si="1"/>
        <v>0</v>
      </c>
      <c r="J15" s="374">
        <f t="shared" si="1"/>
        <v>0</v>
      </c>
      <c r="K15" s="374">
        <f t="shared" si="1"/>
        <v>0</v>
      </c>
      <c r="L15" s="375">
        <f t="shared" si="1"/>
        <v>0</v>
      </c>
      <c r="W15" s="503"/>
    </row>
    <row r="16" spans="2:23" ht="15.75" thickBot="1">
      <c r="B16" s="199" t="s">
        <v>213</v>
      </c>
      <c r="C16" s="121">
        <f t="shared" ref="C16:L16" si="2">C15/12</f>
        <v>0</v>
      </c>
      <c r="D16" s="121">
        <f t="shared" si="2"/>
        <v>0</v>
      </c>
      <c r="E16" s="121">
        <f t="shared" si="2"/>
        <v>0</v>
      </c>
      <c r="F16" s="121">
        <f t="shared" si="2"/>
        <v>0</v>
      </c>
      <c r="G16" s="121">
        <f t="shared" si="2"/>
        <v>0</v>
      </c>
      <c r="H16" s="121">
        <f t="shared" si="2"/>
        <v>0</v>
      </c>
      <c r="I16" s="121">
        <f t="shared" si="2"/>
        <v>0</v>
      </c>
      <c r="J16" s="121">
        <f t="shared" si="2"/>
        <v>0</v>
      </c>
      <c r="K16" s="121">
        <f t="shared" si="2"/>
        <v>0</v>
      </c>
      <c r="L16" s="131">
        <f t="shared" si="2"/>
        <v>0</v>
      </c>
      <c r="W16" s="503"/>
    </row>
    <row r="17" spans="2:23">
      <c r="W17" s="503"/>
    </row>
    <row r="18" spans="2:23">
      <c r="B18" s="201" t="s">
        <v>185</v>
      </c>
      <c r="C18" s="8">
        <v>1</v>
      </c>
      <c r="D18" s="8">
        <v>2</v>
      </c>
      <c r="E18" s="8">
        <v>3</v>
      </c>
      <c r="F18" s="8">
        <v>4</v>
      </c>
      <c r="G18" s="8">
        <v>5</v>
      </c>
      <c r="H18" s="8">
        <v>6</v>
      </c>
      <c r="I18" s="8">
        <v>7</v>
      </c>
      <c r="J18" s="8">
        <v>8</v>
      </c>
      <c r="K18" s="8">
        <v>9</v>
      </c>
      <c r="L18" s="8">
        <v>10</v>
      </c>
      <c r="W18" s="503"/>
    </row>
    <row r="19" spans="2:23" ht="30">
      <c r="B19" s="202" t="s">
        <v>186</v>
      </c>
      <c r="C19" s="57">
        <f>$H$5</f>
        <v>0</v>
      </c>
      <c r="D19" s="57">
        <f t="shared" ref="D19:L19" si="3">$H$5</f>
        <v>0</v>
      </c>
      <c r="E19" s="57">
        <f t="shared" si="3"/>
        <v>0</v>
      </c>
      <c r="F19" s="57">
        <f t="shared" si="3"/>
        <v>0</v>
      </c>
      <c r="G19" s="57">
        <f t="shared" si="3"/>
        <v>0</v>
      </c>
      <c r="H19" s="57">
        <f t="shared" si="3"/>
        <v>0</v>
      </c>
      <c r="I19" s="57">
        <f t="shared" si="3"/>
        <v>0</v>
      </c>
      <c r="J19" s="57">
        <f t="shared" si="3"/>
        <v>0</v>
      </c>
      <c r="K19" s="57">
        <f t="shared" si="3"/>
        <v>0</v>
      </c>
      <c r="L19" s="57">
        <f t="shared" si="3"/>
        <v>0</v>
      </c>
      <c r="W19" s="503"/>
    </row>
    <row r="20" spans="2:23" ht="28.5">
      <c r="B20" s="203" t="s">
        <v>253</v>
      </c>
      <c r="C20" s="8">
        <f t="shared" ref="C20:L20" si="4">+C8*C19</f>
        <v>0</v>
      </c>
      <c r="D20" s="8">
        <f t="shared" si="4"/>
        <v>0</v>
      </c>
      <c r="E20" s="8">
        <f t="shared" si="4"/>
        <v>0</v>
      </c>
      <c r="F20" s="8">
        <f t="shared" si="4"/>
        <v>0</v>
      </c>
      <c r="G20" s="8">
        <f t="shared" si="4"/>
        <v>0</v>
      </c>
      <c r="H20" s="8">
        <f t="shared" si="4"/>
        <v>0</v>
      </c>
      <c r="I20" s="8">
        <f t="shared" si="4"/>
        <v>0</v>
      </c>
      <c r="J20" s="8">
        <f t="shared" si="4"/>
        <v>0</v>
      </c>
      <c r="K20" s="8">
        <f t="shared" si="4"/>
        <v>0</v>
      </c>
      <c r="L20" s="8">
        <f t="shared" si="4"/>
        <v>0</v>
      </c>
      <c r="W20" s="503"/>
    </row>
    <row r="21" spans="2:23" ht="42.75">
      <c r="B21" s="203" t="s">
        <v>254</v>
      </c>
      <c r="C21" s="8">
        <f>+'Inversiones levante '!$H$7*'Inversiones levante '!$H$6</f>
        <v>0</v>
      </c>
      <c r="D21" s="8">
        <f>+'Inversiones levante '!$H$7*'Inversiones levante '!$H$6</f>
        <v>0</v>
      </c>
      <c r="E21" s="8">
        <f>+'Inversiones levante '!$H$7*'Inversiones levante '!$H$6</f>
        <v>0</v>
      </c>
      <c r="F21" s="8">
        <f>+'Inversiones levante '!$H$7*'Inversiones levante '!$H$6</f>
        <v>0</v>
      </c>
      <c r="G21" s="8">
        <f>+'Inversiones levante '!$H$7*'Inversiones levante '!$H$6</f>
        <v>0</v>
      </c>
      <c r="H21" s="8">
        <f>+'Inversiones levante '!$H$7*'Inversiones levante '!$H$6</f>
        <v>0</v>
      </c>
      <c r="I21" s="8">
        <f>+'Inversiones levante '!$H$7*'Inversiones levante '!$H$6</f>
        <v>0</v>
      </c>
      <c r="J21" s="8">
        <f>+'Inversiones levante '!$H$7*'Inversiones levante '!$H$6</f>
        <v>0</v>
      </c>
      <c r="K21" s="8">
        <f>+'Inversiones levante '!$H$7*'Inversiones levante '!$H$6</f>
        <v>0</v>
      </c>
      <c r="L21" s="8">
        <f>+'Inversiones levante '!$H$7*'Inversiones levante '!$H$6</f>
        <v>0</v>
      </c>
      <c r="W21" s="503"/>
    </row>
    <row r="22" spans="2:23" ht="28.5">
      <c r="B22" s="203" t="s">
        <v>255</v>
      </c>
      <c r="C22" s="8">
        <f>+C20-C21</f>
        <v>0</v>
      </c>
      <c r="D22" s="8">
        <f t="shared" ref="D22:L22" si="5">+D20-D21</f>
        <v>0</v>
      </c>
      <c r="E22" s="8">
        <f t="shared" si="5"/>
        <v>0</v>
      </c>
      <c r="F22" s="8">
        <f t="shared" si="5"/>
        <v>0</v>
      </c>
      <c r="G22" s="8">
        <f t="shared" si="5"/>
        <v>0</v>
      </c>
      <c r="H22" s="8">
        <f t="shared" si="5"/>
        <v>0</v>
      </c>
      <c r="I22" s="8">
        <f t="shared" si="5"/>
        <v>0</v>
      </c>
      <c r="J22" s="8">
        <f t="shared" si="5"/>
        <v>0</v>
      </c>
      <c r="K22" s="8">
        <f t="shared" si="5"/>
        <v>0</v>
      </c>
      <c r="L22" s="8">
        <f t="shared" si="5"/>
        <v>0</v>
      </c>
      <c r="W22" s="503"/>
    </row>
    <row r="23" spans="2:23">
      <c r="B23" s="204" t="s">
        <v>189</v>
      </c>
      <c r="C23" s="52" t="e">
        <f>(C20-('Inversiones levante '!$H$7*'Inversiones levante '!$H$6))/'Inversiones levante '!$H$4</f>
        <v>#DIV/0!</v>
      </c>
      <c r="D23" s="52" t="e">
        <f>(D20-('Inversiones levante '!$H$7*'Inversiones levante '!$H$6))/'Inversiones levante '!$H$4</f>
        <v>#DIV/0!</v>
      </c>
      <c r="E23" s="52" t="e">
        <f>(E20-('Inversiones levante '!$H$7*'Inversiones levante '!$H$6))/'Inversiones levante '!$H$4</f>
        <v>#DIV/0!</v>
      </c>
      <c r="F23" s="52" t="e">
        <f>(F20-('Inversiones levante '!$H$7*'Inversiones levante '!$H$6))/'Inversiones levante '!$H$4</f>
        <v>#DIV/0!</v>
      </c>
      <c r="G23" s="52" t="e">
        <f>(G20-('Inversiones levante '!$H$7*'Inversiones levante '!$H$6))/'Inversiones levante '!$H$4</f>
        <v>#DIV/0!</v>
      </c>
      <c r="H23" s="52" t="e">
        <f>(H20-('Inversiones levante '!$H$7*'Inversiones levante '!$H$6))/'Inversiones levante '!$H$4</f>
        <v>#DIV/0!</v>
      </c>
      <c r="I23" s="52" t="e">
        <f>(I20-('Inversiones levante '!$H$7*'Inversiones levante '!$H$6))/'Inversiones levante '!$H$4</f>
        <v>#DIV/0!</v>
      </c>
      <c r="J23" s="52" t="e">
        <f>(J20-('Inversiones levante '!$H$7*'Inversiones levante '!$H$6))/'Inversiones levante '!$H$4</f>
        <v>#DIV/0!</v>
      </c>
      <c r="K23" s="52" t="e">
        <f>(K20-('Inversiones levante '!$H$7*'Inversiones levante '!$H$6))/'Inversiones levante '!$H$4</f>
        <v>#DIV/0!</v>
      </c>
      <c r="L23" s="52" t="e">
        <f>(L20-('Inversiones levante '!$H$7*'Inversiones levante '!$H$6))/'Inversiones levante '!$H$4</f>
        <v>#DIV/0!</v>
      </c>
      <c r="W23" s="503"/>
    </row>
    <row r="24" spans="2:23" ht="43.5" thickBot="1">
      <c r="B24" s="203" t="s">
        <v>190</v>
      </c>
      <c r="C24" s="53" t="e">
        <f>'Costos año Levante '!F58/C20</f>
        <v>#DIV/0!</v>
      </c>
      <c r="D24" s="53" t="e">
        <f>'Costos año Levante '!G58/D20</f>
        <v>#DIV/0!</v>
      </c>
      <c r="E24" s="53" t="e">
        <f>'Costos año Levante '!H58/E20</f>
        <v>#DIV/0!</v>
      </c>
      <c r="F24" s="53" t="e">
        <f>'Costos año Levante '!I58/F20</f>
        <v>#DIV/0!</v>
      </c>
      <c r="G24" s="53" t="e">
        <f>'Costos año Levante '!J58/G20</f>
        <v>#DIV/0!</v>
      </c>
      <c r="H24" s="53" t="e">
        <f>'Costos año Levante '!K58/H20</f>
        <v>#DIV/0!</v>
      </c>
      <c r="I24" s="53" t="e">
        <f>'Costos año Levante '!L58/I20</f>
        <v>#DIV/0!</v>
      </c>
      <c r="J24" s="53" t="e">
        <f>'Costos año Levante '!M58/J20</f>
        <v>#DIV/0!</v>
      </c>
      <c r="K24" s="53" t="e">
        <f>'Costos año Levante '!N58/K20</f>
        <v>#DIV/0!</v>
      </c>
      <c r="L24" s="53" t="e">
        <f>'Costos año Levante '!O58/L20</f>
        <v>#DIV/0!</v>
      </c>
      <c r="W24" s="503"/>
    </row>
    <row r="25" spans="2:23" ht="30">
      <c r="B25" s="202" t="s">
        <v>192</v>
      </c>
      <c r="C25" s="275">
        <v>4800</v>
      </c>
      <c r="D25" s="275">
        <v>4800</v>
      </c>
      <c r="E25" s="275">
        <v>4800</v>
      </c>
      <c r="F25" s="275">
        <v>4800</v>
      </c>
      <c r="G25" s="275">
        <v>4800</v>
      </c>
      <c r="H25" s="275">
        <v>4800</v>
      </c>
      <c r="I25" s="275">
        <v>4800</v>
      </c>
      <c r="J25" s="275">
        <v>4800</v>
      </c>
      <c r="K25" s="275">
        <v>4800</v>
      </c>
      <c r="L25" s="275">
        <v>4800</v>
      </c>
      <c r="M25" s="40" t="s">
        <v>10</v>
      </c>
      <c r="N25" s="679" t="s">
        <v>193</v>
      </c>
      <c r="O25" s="680"/>
      <c r="P25" s="681"/>
      <c r="W25" s="503"/>
    </row>
    <row r="26" spans="2:23" ht="42.75">
      <c r="B26" s="203" t="s">
        <v>194</v>
      </c>
      <c r="C26" s="46" t="e">
        <f t="shared" ref="C26:L26" si="6">+C24/C25</f>
        <v>#DIV/0!</v>
      </c>
      <c r="D26" s="46" t="e">
        <f t="shared" si="6"/>
        <v>#DIV/0!</v>
      </c>
      <c r="E26" s="46" t="e">
        <f t="shared" si="6"/>
        <v>#DIV/0!</v>
      </c>
      <c r="F26" s="46" t="e">
        <f t="shared" si="6"/>
        <v>#DIV/0!</v>
      </c>
      <c r="G26" s="46" t="e">
        <f t="shared" si="6"/>
        <v>#DIV/0!</v>
      </c>
      <c r="H26" s="46" t="e">
        <f t="shared" si="6"/>
        <v>#DIV/0!</v>
      </c>
      <c r="I26" s="46" t="e">
        <f t="shared" si="6"/>
        <v>#DIV/0!</v>
      </c>
      <c r="J26" s="46" t="e">
        <f t="shared" si="6"/>
        <v>#DIV/0!</v>
      </c>
      <c r="K26" s="46" t="e">
        <f t="shared" si="6"/>
        <v>#DIV/0!</v>
      </c>
      <c r="L26" s="46" t="e">
        <f t="shared" si="6"/>
        <v>#DIV/0!</v>
      </c>
      <c r="N26" s="682"/>
      <c r="O26" s="683"/>
      <c r="P26" s="684"/>
      <c r="W26" s="503"/>
    </row>
    <row r="27" spans="2:23" ht="15.75" thickBot="1">
      <c r="B27" s="203" t="s">
        <v>215</v>
      </c>
      <c r="C27" s="64" t="e">
        <f>C15/'Inversiones levante '!$F$24</f>
        <v>#DIV/0!</v>
      </c>
      <c r="D27" s="64" t="e">
        <f>D15/'Inversiones levante '!$F$24</f>
        <v>#DIV/0!</v>
      </c>
      <c r="E27" s="64" t="e">
        <f>E15/'Inversiones levante '!$F$24</f>
        <v>#DIV/0!</v>
      </c>
      <c r="F27" s="64" t="e">
        <f>F15/'Inversiones levante '!$F$24</f>
        <v>#DIV/0!</v>
      </c>
      <c r="G27" s="64" t="e">
        <f>G15/'Inversiones levante '!$F$24</f>
        <v>#DIV/0!</v>
      </c>
      <c r="H27" s="64" t="e">
        <f>H15/'Inversiones levante '!$F$24</f>
        <v>#DIV/0!</v>
      </c>
      <c r="I27" s="64" t="e">
        <f>I15/'Inversiones levante '!$F$24</f>
        <v>#DIV/0!</v>
      </c>
      <c r="J27" s="64" t="e">
        <f>J15/'Inversiones levante '!$F$24</f>
        <v>#DIV/0!</v>
      </c>
      <c r="K27" s="64" t="e">
        <f>K15/'Inversiones levante '!$F$24</f>
        <v>#DIV/0!</v>
      </c>
      <c r="L27" s="64" t="e">
        <f>L15/'Inversiones levante '!$F$24</f>
        <v>#DIV/0!</v>
      </c>
      <c r="N27" s="685"/>
      <c r="O27" s="686"/>
      <c r="P27" s="687"/>
      <c r="W27" s="503"/>
    </row>
    <row r="28" spans="2:23" ht="28.5">
      <c r="B28" s="203" t="s">
        <v>216</v>
      </c>
      <c r="C28" s="64" t="e">
        <f>(1+C27)/(1+'Costos año Levante '!F46)-1</f>
        <v>#DIV/0!</v>
      </c>
      <c r="D28" s="64" t="e">
        <f>(1+D27)/(1+'Costos año Levante '!G46)-1</f>
        <v>#DIV/0!</v>
      </c>
      <c r="E28" s="64" t="e">
        <f>(1+E27)/(1+'Costos año Levante '!H46)-1</f>
        <v>#DIV/0!</v>
      </c>
      <c r="F28" s="64" t="e">
        <f>(1+F27)/(1+'Costos año Levante '!I46)-1</f>
        <v>#DIV/0!</v>
      </c>
      <c r="G28" s="64" t="e">
        <f>(1+G27)/(1+'Costos año Levante '!J46)-1</f>
        <v>#DIV/0!</v>
      </c>
      <c r="H28" s="64" t="e">
        <f>(1+H27)/(1+'Costos año Levante '!K46)-1</f>
        <v>#DIV/0!</v>
      </c>
      <c r="I28" s="64" t="e">
        <f>(1+I27)/(1+'Costos año Levante '!L46)-1</f>
        <v>#DIV/0!</v>
      </c>
      <c r="J28" s="64" t="e">
        <f>(1+J27)/(1+'Costos año Levante '!M46)-1</f>
        <v>#DIV/0!</v>
      </c>
      <c r="K28" s="64" t="e">
        <f>(1+K27)/(1+'Costos año Levante '!N46)-1</f>
        <v>#DIV/0!</v>
      </c>
      <c r="L28" s="64" t="e">
        <f>(1+L27)/(1+'Costos año Levante '!O46)-1</f>
        <v>#DIV/0!</v>
      </c>
      <c r="W28" s="503"/>
    </row>
    <row r="29" spans="2:23">
      <c r="W29" s="503"/>
    </row>
    <row r="30" spans="2:23">
      <c r="W30" s="503"/>
    </row>
    <row r="31" spans="2:23">
      <c r="W31" s="503"/>
    </row>
    <row r="32" spans="2:23" ht="15.75" thickBot="1">
      <c r="W32" s="503"/>
    </row>
    <row r="33" spans="1:23" ht="15.75" thickBot="1">
      <c r="A33" s="499"/>
      <c r="B33" s="500"/>
      <c r="C33" s="500"/>
      <c r="D33" s="500"/>
      <c r="E33" s="500"/>
      <c r="F33" s="500"/>
      <c r="G33" s="500"/>
      <c r="H33" s="500"/>
      <c r="I33" s="500"/>
      <c r="J33" s="500"/>
      <c r="K33" s="500"/>
      <c r="L33" s="500"/>
      <c r="M33" s="500"/>
      <c r="N33" s="500"/>
      <c r="O33" s="500"/>
      <c r="P33" s="500"/>
      <c r="Q33" s="500"/>
      <c r="R33" s="500"/>
      <c r="S33" s="500"/>
      <c r="T33" s="500"/>
      <c r="U33" s="500"/>
      <c r="V33" s="501"/>
      <c r="W33" s="504"/>
    </row>
  </sheetData>
  <sheetProtection password="E869" sheet="1" objects="1" scenarios="1"/>
  <mergeCells count="9">
    <mergeCell ref="B5:G5"/>
    <mergeCell ref="W1:W33"/>
    <mergeCell ref="A33:V33"/>
    <mergeCell ref="B2:L2"/>
    <mergeCell ref="O5:R5"/>
    <mergeCell ref="J4:L5"/>
    <mergeCell ref="O7:U12"/>
    <mergeCell ref="B4:G4"/>
    <mergeCell ref="N25:P27"/>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U29"/>
  <sheetViews>
    <sheetView zoomScale="82" zoomScaleNormal="82" workbookViewId="0">
      <selection activeCell="G8" sqref="G8"/>
    </sheetView>
  </sheetViews>
  <sheetFormatPr defaultColWidth="11.42578125" defaultRowHeight="15"/>
  <cols>
    <col min="2" max="2" width="24.5703125" customWidth="1"/>
    <col min="3" max="3" width="36.140625" customWidth="1"/>
    <col min="4" max="4" width="14.42578125" customWidth="1"/>
    <col min="5" max="5" width="17" customWidth="1"/>
    <col min="6" max="6" width="15.42578125" customWidth="1"/>
    <col min="7" max="7" width="15" customWidth="1"/>
    <col min="8" max="8" width="16.85546875" customWidth="1"/>
    <col min="9" max="10" width="15.5703125" customWidth="1"/>
    <col min="11" max="11" width="12.42578125" customWidth="1"/>
  </cols>
  <sheetData>
    <row r="1" spans="2:21" ht="15.75" thickBot="1">
      <c r="R1" s="502"/>
    </row>
    <row r="2" spans="2:21" ht="19.5" thickBot="1">
      <c r="B2" s="722" t="s">
        <v>256</v>
      </c>
      <c r="C2" s="723"/>
      <c r="D2" s="723"/>
      <c r="E2" s="723"/>
      <c r="F2" s="723"/>
      <c r="G2" s="723"/>
      <c r="H2" s="723"/>
      <c r="I2" s="723"/>
      <c r="J2" s="723"/>
      <c r="K2" s="724"/>
      <c r="L2" s="31"/>
      <c r="M2" s="31"/>
      <c r="R2" s="503"/>
    </row>
    <row r="3" spans="2:21" ht="19.5" thickBot="1">
      <c r="C3" s="29"/>
      <c r="D3" s="29"/>
      <c r="E3" s="29"/>
      <c r="F3" s="29"/>
      <c r="G3" s="31"/>
      <c r="H3" s="31"/>
      <c r="I3" s="31"/>
      <c r="J3" s="31"/>
      <c r="K3" s="31"/>
      <c r="L3" s="31"/>
      <c r="M3" s="31"/>
      <c r="R3" s="503"/>
    </row>
    <row r="4" spans="2:21" ht="23.25" thickBot="1">
      <c r="C4" s="525" t="s">
        <v>9</v>
      </c>
      <c r="D4" s="725"/>
      <c r="E4" s="725"/>
      <c r="F4" s="526"/>
      <c r="G4" s="134">
        <v>0</v>
      </c>
      <c r="H4" s="31"/>
      <c r="I4" s="31"/>
      <c r="J4" s="31"/>
      <c r="K4" s="31"/>
      <c r="L4" s="40" t="s">
        <v>10</v>
      </c>
      <c r="M4" s="785" t="s">
        <v>218</v>
      </c>
      <c r="N4" s="786"/>
      <c r="O4" s="786"/>
      <c r="P4" s="787"/>
      <c r="R4" s="503"/>
    </row>
    <row r="5" spans="2:21" ht="26.25" customHeight="1">
      <c r="C5" s="528" t="s">
        <v>257</v>
      </c>
      <c r="D5" s="523"/>
      <c r="E5" s="523"/>
      <c r="F5" s="529"/>
      <c r="G5" s="135">
        <v>0</v>
      </c>
      <c r="H5" s="40" t="s">
        <v>10</v>
      </c>
      <c r="I5" s="505" t="s">
        <v>258</v>
      </c>
      <c r="J5" s="506"/>
      <c r="K5" s="507"/>
      <c r="L5" s="40" t="s">
        <v>10</v>
      </c>
      <c r="M5" s="788"/>
      <c r="N5" s="789"/>
      <c r="O5" s="789"/>
      <c r="P5" s="790"/>
      <c r="Q5" s="40"/>
      <c r="R5" s="503"/>
    </row>
    <row r="6" spans="2:21" ht="28.5" customHeight="1">
      <c r="C6" s="528" t="s">
        <v>259</v>
      </c>
      <c r="D6" s="523"/>
      <c r="E6" s="523"/>
      <c r="F6" s="529"/>
      <c r="G6" s="135">
        <v>0</v>
      </c>
      <c r="H6" s="31"/>
      <c r="I6" s="508"/>
      <c r="J6" s="509"/>
      <c r="K6" s="510"/>
      <c r="L6" s="40" t="s">
        <v>10</v>
      </c>
      <c r="M6" s="788"/>
      <c r="N6" s="789"/>
      <c r="O6" s="789"/>
      <c r="P6" s="790"/>
      <c r="R6" s="503"/>
    </row>
    <row r="7" spans="2:21" ht="27.75" customHeight="1" thickBot="1">
      <c r="C7" s="530" t="s">
        <v>220</v>
      </c>
      <c r="D7" s="794"/>
      <c r="E7" s="794"/>
      <c r="F7" s="531"/>
      <c r="G7" s="136">
        <v>0</v>
      </c>
      <c r="H7" s="31"/>
      <c r="I7" s="511"/>
      <c r="J7" s="512"/>
      <c r="K7" s="513"/>
      <c r="L7" s="40" t="s">
        <v>10</v>
      </c>
      <c r="M7" s="791"/>
      <c r="N7" s="792"/>
      <c r="O7" s="792"/>
      <c r="P7" s="793"/>
      <c r="R7" s="503"/>
    </row>
    <row r="8" spans="2:21" ht="23.25" thickBot="1">
      <c r="C8" s="722" t="s">
        <v>39</v>
      </c>
      <c r="D8" s="723"/>
      <c r="E8" s="723"/>
      <c r="F8" s="723"/>
      <c r="G8" s="438" t="e">
        <f>+(G7*G6)/G4/500</f>
        <v>#DIV/0!</v>
      </c>
      <c r="H8" s="780" t="e">
        <f>IF(G8&lt;1, "Capacidad subdimensionada. Por favor ajuste",IF(G8&gt;2,"Capacidad sobredimensionada. Por favor ajuste","Capacidad dentro de rango típíco"))</f>
        <v>#DIV/0!</v>
      </c>
      <c r="I8" s="781"/>
      <c r="J8" s="781"/>
      <c r="K8" s="137"/>
      <c r="L8" s="93"/>
      <c r="M8" s="93"/>
      <c r="N8" s="40"/>
      <c r="O8" s="40" t="s">
        <v>27</v>
      </c>
      <c r="P8" s="40" t="s">
        <v>27</v>
      </c>
      <c r="R8" s="503"/>
    </row>
    <row r="9" spans="2:21" ht="22.5" customHeight="1">
      <c r="C9" s="29"/>
      <c r="D9" s="29"/>
      <c r="E9" s="29"/>
      <c r="F9" s="31"/>
      <c r="G9" s="31"/>
      <c r="H9" s="31"/>
      <c r="I9" s="40" t="s">
        <v>222</v>
      </c>
      <c r="J9" s="774" t="s">
        <v>38</v>
      </c>
      <c r="K9" s="775"/>
      <c r="L9" s="775"/>
      <c r="M9" s="776"/>
      <c r="N9" s="40"/>
      <c r="O9" s="40" t="s">
        <v>27</v>
      </c>
      <c r="P9" s="40" t="s">
        <v>27</v>
      </c>
      <c r="R9" s="503"/>
    </row>
    <row r="10" spans="2:21" ht="23.25" thickBot="1">
      <c r="C10" s="29"/>
      <c r="D10" s="29"/>
      <c r="E10" s="29"/>
      <c r="F10" s="31"/>
      <c r="G10" s="31"/>
      <c r="H10" s="31"/>
      <c r="I10" s="31"/>
      <c r="J10" s="777"/>
      <c r="K10" s="778"/>
      <c r="L10" s="778"/>
      <c r="M10" s="779"/>
      <c r="N10" s="40"/>
      <c r="O10" s="40" t="s">
        <v>27</v>
      </c>
      <c r="P10" s="40" t="s">
        <v>27</v>
      </c>
      <c r="R10" s="503"/>
    </row>
    <row r="11" spans="2:21" ht="22.5">
      <c r="C11" s="29"/>
      <c r="D11" s="29"/>
      <c r="E11" s="29"/>
      <c r="F11" s="31"/>
      <c r="G11" s="31"/>
      <c r="H11" s="31"/>
      <c r="I11" s="31"/>
      <c r="J11" s="31"/>
      <c r="K11" s="31"/>
      <c r="L11" s="31"/>
      <c r="M11" s="93"/>
      <c r="N11" s="40"/>
      <c r="O11" s="40" t="s">
        <v>27</v>
      </c>
      <c r="P11" s="40" t="s">
        <v>27</v>
      </c>
      <c r="R11" s="503"/>
    </row>
    <row r="12" spans="2:21" ht="24" thickBot="1">
      <c r="E12" s="66" t="s">
        <v>37</v>
      </c>
      <c r="F12" s="66" t="s">
        <v>40</v>
      </c>
      <c r="G12" s="66" t="s">
        <v>40</v>
      </c>
      <c r="H12" s="66" t="s">
        <v>40</v>
      </c>
      <c r="I12" s="66" t="s">
        <v>40</v>
      </c>
      <c r="J12" s="66" t="s">
        <v>40</v>
      </c>
      <c r="K12" s="66" t="s">
        <v>40</v>
      </c>
      <c r="L12" s="66" t="s">
        <v>40</v>
      </c>
      <c r="M12" s="66" t="s">
        <v>41</v>
      </c>
      <c r="N12" s="40"/>
      <c r="O12" s="40" t="s">
        <v>27</v>
      </c>
      <c r="P12" s="40" t="s">
        <v>27</v>
      </c>
      <c r="Q12" s="93"/>
      <c r="R12" s="503"/>
      <c r="S12" s="93"/>
      <c r="T12" s="93"/>
    </row>
    <row r="13" spans="2:21" ht="16.5" customHeight="1" thickBot="1">
      <c r="C13" s="1"/>
      <c r="D13" s="1"/>
      <c r="E13" s="726" t="s">
        <v>42</v>
      </c>
      <c r="F13" s="727"/>
      <c r="G13" s="2"/>
      <c r="L13" s="704" t="s">
        <v>260</v>
      </c>
      <c r="M13" s="705"/>
      <c r="N13" s="705"/>
      <c r="O13" s="705"/>
      <c r="P13" s="706"/>
      <c r="Q13" s="93"/>
      <c r="R13" s="503"/>
      <c r="S13" s="93"/>
      <c r="T13" s="93"/>
    </row>
    <row r="14" spans="2:21" ht="16.5" customHeight="1" thickBot="1">
      <c r="B14" s="381" t="s">
        <v>44</v>
      </c>
      <c r="C14" s="382" t="s">
        <v>45</v>
      </c>
      <c r="D14" s="382" t="s">
        <v>46</v>
      </c>
      <c r="E14" s="383" t="s">
        <v>47</v>
      </c>
      <c r="F14" s="382" t="s">
        <v>48</v>
      </c>
      <c r="G14" s="384" t="s">
        <v>49</v>
      </c>
      <c r="L14" s="707"/>
      <c r="M14" s="708"/>
      <c r="N14" s="708"/>
      <c r="O14" s="708"/>
      <c r="P14" s="709"/>
      <c r="Q14" s="93"/>
      <c r="R14" s="503"/>
      <c r="S14" s="93"/>
      <c r="T14" s="93"/>
    </row>
    <row r="15" spans="2:21" ht="16.5" customHeight="1">
      <c r="B15" s="579" t="s">
        <v>50</v>
      </c>
      <c r="C15" s="385" t="s">
        <v>261</v>
      </c>
      <c r="D15" s="386">
        <f>G4</f>
        <v>0</v>
      </c>
      <c r="E15" s="387">
        <v>0</v>
      </c>
      <c r="F15" s="388">
        <f>D15*E15</f>
        <v>0</v>
      </c>
      <c r="G15" s="389" t="e">
        <f>F15*1/F25</f>
        <v>#DIV/0!</v>
      </c>
      <c r="L15" s="707"/>
      <c r="M15" s="708"/>
      <c r="N15" s="708"/>
      <c r="O15" s="708"/>
      <c r="P15" s="709"/>
      <c r="Q15" s="93"/>
      <c r="R15" s="503"/>
      <c r="S15" s="93"/>
      <c r="T15" s="93"/>
      <c r="U15" s="93"/>
    </row>
    <row r="16" spans="2:21" ht="16.5" customHeight="1" thickBot="1">
      <c r="B16" s="581"/>
      <c r="C16" s="390" t="s">
        <v>52</v>
      </c>
      <c r="D16" s="409">
        <v>0</v>
      </c>
      <c r="E16" s="391">
        <v>0</v>
      </c>
      <c r="F16" s="392">
        <f>D16*E16</f>
        <v>0</v>
      </c>
      <c r="G16" s="393" t="e">
        <f>F16*1/F25</f>
        <v>#DIV/0!</v>
      </c>
      <c r="L16" s="707"/>
      <c r="M16" s="708"/>
      <c r="N16" s="708"/>
      <c r="O16" s="708"/>
      <c r="P16" s="709"/>
      <c r="Q16" s="93"/>
      <c r="R16" s="503"/>
      <c r="S16" s="93"/>
      <c r="T16" s="93"/>
      <c r="U16" s="93"/>
    </row>
    <row r="17" spans="1:18" ht="16.5">
      <c r="B17" s="719" t="s">
        <v>57</v>
      </c>
      <c r="C17" s="385" t="s">
        <v>58</v>
      </c>
      <c r="D17" s="394">
        <v>1</v>
      </c>
      <c r="E17" s="387">
        <v>0</v>
      </c>
      <c r="F17" s="388">
        <f t="shared" ref="F17:F23" si="0">D17*E17</f>
        <v>0</v>
      </c>
      <c r="G17" s="395" t="e">
        <f>F17*1/F25</f>
        <v>#DIV/0!</v>
      </c>
      <c r="L17" s="707"/>
      <c r="M17" s="708"/>
      <c r="N17" s="708"/>
      <c r="O17" s="708"/>
      <c r="P17" s="709"/>
      <c r="R17" s="503"/>
    </row>
    <row r="18" spans="1:18" ht="16.5">
      <c r="B18" s="720"/>
      <c r="C18" s="191" t="s">
        <v>60</v>
      </c>
      <c r="D18" s="436">
        <v>0</v>
      </c>
      <c r="E18" s="226">
        <v>0</v>
      </c>
      <c r="F18" s="3">
        <f t="shared" si="0"/>
        <v>0</v>
      </c>
      <c r="G18" s="396" t="e">
        <f>F18*1/F25</f>
        <v>#DIV/0!</v>
      </c>
      <c r="L18" s="707"/>
      <c r="M18" s="708"/>
      <c r="N18" s="708"/>
      <c r="O18" s="708"/>
      <c r="P18" s="709"/>
      <c r="R18" s="503"/>
    </row>
    <row r="19" spans="1:18" ht="17.25" thickBot="1">
      <c r="B19" s="721"/>
      <c r="C19" s="390" t="s">
        <v>61</v>
      </c>
      <c r="D19" s="409">
        <v>0</v>
      </c>
      <c r="E19" s="391">
        <v>0</v>
      </c>
      <c r="F19" s="392">
        <f t="shared" si="0"/>
        <v>0</v>
      </c>
      <c r="G19" s="393" t="e">
        <f>F19*1/F25</f>
        <v>#DIV/0!</v>
      </c>
      <c r="L19" s="710"/>
      <c r="M19" s="711"/>
      <c r="N19" s="711"/>
      <c r="O19" s="711"/>
      <c r="P19" s="712"/>
      <c r="R19" s="503"/>
    </row>
    <row r="20" spans="1:18" ht="29.25" thickBot="1">
      <c r="B20" s="397" t="s">
        <v>62</v>
      </c>
      <c r="C20" s="398" t="s">
        <v>63</v>
      </c>
      <c r="D20" s="399">
        <v>1</v>
      </c>
      <c r="E20" s="400">
        <v>0</v>
      </c>
      <c r="F20" s="401">
        <f t="shared" si="0"/>
        <v>0</v>
      </c>
      <c r="G20" s="402" t="e">
        <f>F20*1/F25</f>
        <v>#DIV/0!</v>
      </c>
      <c r="R20" s="503"/>
    </row>
    <row r="21" spans="1:18" ht="17.25" thickBot="1">
      <c r="B21" s="397" t="s">
        <v>64</v>
      </c>
      <c r="C21" s="404"/>
      <c r="D21" s="399">
        <v>1</v>
      </c>
      <c r="E21" s="400">
        <v>0</v>
      </c>
      <c r="F21" s="401">
        <f t="shared" si="0"/>
        <v>0</v>
      </c>
      <c r="G21" s="402" t="e">
        <f>F21*1/F25</f>
        <v>#DIV/0!</v>
      </c>
      <c r="R21" s="503"/>
    </row>
    <row r="22" spans="1:18" ht="17.25" thickBot="1">
      <c r="B22" s="397" t="s">
        <v>65</v>
      </c>
      <c r="C22" s="404"/>
      <c r="D22" s="399">
        <v>1</v>
      </c>
      <c r="E22" s="400">
        <v>0</v>
      </c>
      <c r="F22" s="401">
        <f t="shared" si="0"/>
        <v>0</v>
      </c>
      <c r="G22" s="402" t="e">
        <f>F22*1/F25</f>
        <v>#DIV/0!</v>
      </c>
      <c r="R22" s="503"/>
    </row>
    <row r="23" spans="1:18" ht="17.25" thickBot="1">
      <c r="B23" s="397" t="s">
        <v>66</v>
      </c>
      <c r="C23" s="404"/>
      <c r="D23" s="399"/>
      <c r="E23" s="400">
        <v>0</v>
      </c>
      <c r="F23" s="401">
        <f t="shared" si="0"/>
        <v>0</v>
      </c>
      <c r="G23" s="402" t="e">
        <f>F23*1/F25</f>
        <v>#DIV/0!</v>
      </c>
      <c r="R23" s="503"/>
    </row>
    <row r="24" spans="1:18" ht="17.25" thickBot="1">
      <c r="B24" s="397" t="s">
        <v>67</v>
      </c>
      <c r="C24" s="404"/>
      <c r="D24" s="399"/>
      <c r="E24" s="400">
        <v>0</v>
      </c>
      <c r="F24" s="401">
        <f>D24*E24</f>
        <v>0</v>
      </c>
      <c r="G24" s="402" t="e">
        <f>F24*1/F25</f>
        <v>#DIV/0!</v>
      </c>
      <c r="R24" s="503"/>
    </row>
    <row r="25" spans="1:18" ht="15.75" thickBot="1">
      <c r="B25" s="278"/>
      <c r="C25" s="405" t="s">
        <v>68</v>
      </c>
      <c r="D25" s="405">
        <f>SUM(D15:D24)</f>
        <v>4</v>
      </c>
      <c r="E25" s="407">
        <f>SUM(E15:E24)</f>
        <v>0</v>
      </c>
      <c r="F25" s="407">
        <f>SUM(F15:F24)</f>
        <v>0</v>
      </c>
      <c r="G25" s="408" t="e">
        <f>SUM(G15:G24)</f>
        <v>#DIV/0!</v>
      </c>
      <c r="R25" s="503"/>
    </row>
    <row r="26" spans="1:18">
      <c r="R26" s="503"/>
    </row>
    <row r="27" spans="1:18">
      <c r="R27" s="503"/>
    </row>
    <row r="28" spans="1:18" ht="15.75" thickBot="1">
      <c r="R28" s="503"/>
    </row>
    <row r="29" spans="1:18" ht="15.75" thickBot="1">
      <c r="A29" s="782"/>
      <c r="B29" s="783"/>
      <c r="C29" s="783"/>
      <c r="D29" s="783"/>
      <c r="E29" s="783"/>
      <c r="F29" s="783"/>
      <c r="G29" s="783"/>
      <c r="H29" s="783"/>
      <c r="I29" s="783"/>
      <c r="J29" s="783"/>
      <c r="K29" s="783"/>
      <c r="L29" s="783"/>
      <c r="M29" s="783"/>
      <c r="N29" s="783"/>
      <c r="O29" s="783"/>
      <c r="P29" s="783"/>
      <c r="Q29" s="784"/>
      <c r="R29" s="504"/>
    </row>
  </sheetData>
  <sheetProtection password="E869" sheet="1" objects="1" scenarios="1"/>
  <mergeCells count="16">
    <mergeCell ref="J9:M10"/>
    <mergeCell ref="H8:J8"/>
    <mergeCell ref="R1:R29"/>
    <mergeCell ref="A29:Q29"/>
    <mergeCell ref="I5:K7"/>
    <mergeCell ref="B2:K2"/>
    <mergeCell ref="C8:F8"/>
    <mergeCell ref="M4:P7"/>
    <mergeCell ref="C7:F7"/>
    <mergeCell ref="E13:F13"/>
    <mergeCell ref="B15:B16"/>
    <mergeCell ref="B17:B19"/>
    <mergeCell ref="C4:F4"/>
    <mergeCell ref="C5:F5"/>
    <mergeCell ref="C6:F6"/>
    <mergeCell ref="L13:P19"/>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W70"/>
  <sheetViews>
    <sheetView topLeftCell="A4" zoomScale="75" zoomScaleNormal="75" workbookViewId="0">
      <selection activeCell="B65" sqref="B65"/>
    </sheetView>
  </sheetViews>
  <sheetFormatPr defaultColWidth="11.42578125" defaultRowHeight="15"/>
  <cols>
    <col min="2" max="2" width="19" customWidth="1"/>
    <col min="3" max="3" width="14.5703125" customWidth="1"/>
    <col min="4" max="4" width="15.140625" customWidth="1"/>
    <col min="5" max="5" width="14.7109375" customWidth="1"/>
    <col min="6" max="6" width="14.28515625" customWidth="1"/>
    <col min="7" max="7" width="13" customWidth="1"/>
    <col min="8" max="8" width="16.140625" customWidth="1"/>
    <col min="9" max="9" width="17.85546875" customWidth="1"/>
    <col min="10" max="10" width="13.140625" bestFit="1" customWidth="1"/>
    <col min="11" max="11" width="13.140625" customWidth="1"/>
    <col min="12" max="14" width="13.140625" bestFit="1" customWidth="1"/>
    <col min="15" max="15" width="15.28515625" customWidth="1"/>
    <col min="17" max="17" width="11.85546875" bestFit="1" customWidth="1"/>
  </cols>
  <sheetData>
    <row r="1" spans="2:23" ht="19.5" thickBot="1">
      <c r="B1" s="31"/>
      <c r="C1" s="31"/>
      <c r="D1" s="31"/>
      <c r="E1" s="31"/>
      <c r="F1" s="31"/>
      <c r="G1" s="31"/>
      <c r="H1" s="31"/>
      <c r="I1" s="31"/>
      <c r="J1" s="31"/>
      <c r="K1" s="31"/>
      <c r="L1" s="31"/>
      <c r="W1" s="502"/>
    </row>
    <row r="2" spans="2:23" ht="19.5" thickBot="1">
      <c r="B2" s="722" t="s">
        <v>262</v>
      </c>
      <c r="C2" s="723"/>
      <c r="D2" s="723"/>
      <c r="E2" s="723"/>
      <c r="F2" s="723"/>
      <c r="G2" s="723"/>
      <c r="H2" s="723"/>
      <c r="I2" s="723"/>
      <c r="J2" s="723"/>
      <c r="K2" s="723"/>
      <c r="L2" s="724"/>
      <c r="W2" s="503"/>
    </row>
    <row r="3" spans="2:23" ht="16.5" thickBot="1">
      <c r="N3" s="691" t="s">
        <v>72</v>
      </c>
      <c r="O3" s="692"/>
      <c r="P3" s="692"/>
      <c r="Q3" s="693"/>
      <c r="W3" s="503"/>
    </row>
    <row r="4" spans="2:23" ht="47.25" thickBot="1">
      <c r="E4" s="250" t="s">
        <v>70</v>
      </c>
      <c r="G4" s="250" t="s">
        <v>70</v>
      </c>
      <c r="I4" s="250" t="s">
        <v>70</v>
      </c>
      <c r="N4" s="41" t="s">
        <v>27</v>
      </c>
      <c r="W4" s="503"/>
    </row>
    <row r="5" spans="2:23" ht="15" customHeight="1">
      <c r="B5" s="608" t="s">
        <v>71</v>
      </c>
      <c r="C5" s="609"/>
      <c r="D5" s="609"/>
      <c r="E5" s="609"/>
      <c r="F5" s="609"/>
      <c r="G5" s="609"/>
      <c r="H5" s="609"/>
      <c r="I5" s="609"/>
      <c r="J5" s="609"/>
      <c r="K5" s="609"/>
      <c r="L5" s="610"/>
      <c r="N5" s="735" t="s">
        <v>263</v>
      </c>
      <c r="O5" s="736"/>
      <c r="P5" s="736"/>
      <c r="Q5" s="736"/>
      <c r="R5" s="736"/>
      <c r="S5" s="736"/>
      <c r="T5" s="737"/>
      <c r="W5" s="503"/>
    </row>
    <row r="6" spans="2:23" ht="75.75" thickBot="1">
      <c r="B6" s="242" t="s">
        <v>44</v>
      </c>
      <c r="C6" s="243" t="s">
        <v>73</v>
      </c>
      <c r="D6" s="287" t="s">
        <v>74</v>
      </c>
      <c r="E6" s="252" t="s">
        <v>75</v>
      </c>
      <c r="F6" s="251" t="s">
        <v>76</v>
      </c>
      <c r="G6" s="251" t="s">
        <v>77</v>
      </c>
      <c r="H6" s="251" t="s">
        <v>228</v>
      </c>
      <c r="I6" s="287" t="s">
        <v>79</v>
      </c>
      <c r="J6" s="251" t="s">
        <v>80</v>
      </c>
      <c r="K6" s="287" t="s">
        <v>81</v>
      </c>
      <c r="L6" s="288" t="s">
        <v>82</v>
      </c>
      <c r="N6" s="738"/>
      <c r="O6" s="739"/>
      <c r="P6" s="739"/>
      <c r="Q6" s="739"/>
      <c r="R6" s="739"/>
      <c r="S6" s="739"/>
      <c r="T6" s="740"/>
      <c r="W6" s="503"/>
    </row>
    <row r="7" spans="2:23" ht="15.75" thickBot="1">
      <c r="B7" s="192" t="s">
        <v>83</v>
      </c>
      <c r="C7" s="253">
        <f>'Inversiones Ceba'!D15</f>
        <v>0</v>
      </c>
      <c r="D7" s="412">
        <f>I7/40/1000</f>
        <v>0</v>
      </c>
      <c r="E7" s="255">
        <v>0</v>
      </c>
      <c r="F7" s="104">
        <f>C7*D7*E7</f>
        <v>0</v>
      </c>
      <c r="G7" s="255">
        <v>0</v>
      </c>
      <c r="H7" s="104">
        <f>F7*G7</f>
        <v>0</v>
      </c>
      <c r="I7" s="256">
        <v>0</v>
      </c>
      <c r="J7" s="104">
        <f>C7*E7*G7/1000</f>
        <v>0</v>
      </c>
      <c r="K7" s="99">
        <f>J7/40</f>
        <v>0</v>
      </c>
      <c r="L7" s="105">
        <f>I7*K7</f>
        <v>0</v>
      </c>
      <c r="N7" s="738"/>
      <c r="O7" s="739"/>
      <c r="P7" s="739"/>
      <c r="Q7" s="739"/>
      <c r="R7" s="739"/>
      <c r="S7" s="739"/>
      <c r="T7" s="740"/>
      <c r="W7" s="503"/>
    </row>
    <row r="8" spans="2:23">
      <c r="B8" s="193" t="s">
        <v>230</v>
      </c>
      <c r="C8" s="33">
        <f>'Inversiones Ceba'!D15</f>
        <v>0</v>
      </c>
      <c r="D8" s="133">
        <f>I8/40/1000</f>
        <v>0</v>
      </c>
      <c r="E8" s="227">
        <v>0</v>
      </c>
      <c r="F8" s="6">
        <f>C8*D8*E8</f>
        <v>0</v>
      </c>
      <c r="G8" s="227">
        <v>0</v>
      </c>
      <c r="H8" s="4">
        <f>F8*G8</f>
        <v>0</v>
      </c>
      <c r="I8" s="256">
        <v>0</v>
      </c>
      <c r="J8" s="4">
        <f>C8*E8*G8/1000</f>
        <v>0</v>
      </c>
      <c r="K8" s="4">
        <f>J8/40</f>
        <v>0</v>
      </c>
      <c r="L8" s="230">
        <f>I8*K8</f>
        <v>0</v>
      </c>
      <c r="N8" s="738"/>
      <c r="O8" s="739"/>
      <c r="P8" s="739"/>
      <c r="Q8" s="739"/>
      <c r="R8" s="739"/>
      <c r="S8" s="739"/>
      <c r="T8" s="740"/>
      <c r="W8" s="503"/>
    </row>
    <row r="9" spans="2:23" ht="15.75" thickBot="1">
      <c r="B9" s="193" t="s">
        <v>86</v>
      </c>
      <c r="C9" s="33">
        <f>'Inversiones Ceba'!D15</f>
        <v>0</v>
      </c>
      <c r="D9" s="55">
        <v>0</v>
      </c>
      <c r="E9" s="227">
        <v>0</v>
      </c>
      <c r="F9" s="6">
        <f>C9*D9*E9</f>
        <v>0</v>
      </c>
      <c r="G9" s="227">
        <v>0</v>
      </c>
      <c r="H9" s="4">
        <f>F9*G9</f>
        <v>0</v>
      </c>
      <c r="I9" s="227">
        <v>0</v>
      </c>
      <c r="J9" s="4">
        <f>C9*E9*G9/1000</f>
        <v>0</v>
      </c>
      <c r="K9" s="4">
        <f>J9/50</f>
        <v>0</v>
      </c>
      <c r="L9" s="230">
        <f>I9*K9</f>
        <v>0</v>
      </c>
      <c r="N9" s="741"/>
      <c r="O9" s="742"/>
      <c r="P9" s="742"/>
      <c r="Q9" s="742"/>
      <c r="R9" s="742"/>
      <c r="S9" s="742"/>
      <c r="T9" s="743"/>
      <c r="W9" s="503"/>
    </row>
    <row r="10" spans="2:23">
      <c r="B10" s="193" t="s">
        <v>87</v>
      </c>
      <c r="C10" s="33">
        <f>'Inversiones Ceba'!D15</f>
        <v>0</v>
      </c>
      <c r="D10" s="133">
        <f>I10/30/1000</f>
        <v>0</v>
      </c>
      <c r="E10" s="227">
        <v>0</v>
      </c>
      <c r="F10" s="6">
        <f>C10*D10*E10</f>
        <v>0</v>
      </c>
      <c r="G10" s="227">
        <v>0</v>
      </c>
      <c r="H10" s="4">
        <f>F10*G10</f>
        <v>0</v>
      </c>
      <c r="I10" s="256">
        <v>0</v>
      </c>
      <c r="J10" s="4">
        <f>C10*E10*G10/1000</f>
        <v>0</v>
      </c>
      <c r="K10" s="4">
        <f>J10/30</f>
        <v>0</v>
      </c>
      <c r="L10" s="230">
        <f>I10*K10</f>
        <v>0</v>
      </c>
      <c r="W10" s="503"/>
    </row>
    <row r="11" spans="2:23" ht="27.75" thickBot="1">
      <c r="B11" s="199" t="s">
        <v>67</v>
      </c>
      <c r="C11" s="75">
        <f>'Inversiones Ceba'!D15</f>
        <v>0</v>
      </c>
      <c r="D11" s="265"/>
      <c r="E11" s="258">
        <v>0</v>
      </c>
      <c r="F11" s="26">
        <f>C11*D11*E11</f>
        <v>0</v>
      </c>
      <c r="G11" s="258">
        <v>0</v>
      </c>
      <c r="H11" s="26">
        <f>F11*G11</f>
        <v>0</v>
      </c>
      <c r="I11" s="258">
        <v>0</v>
      </c>
      <c r="J11" s="26">
        <f>C11*E11*G11/1000</f>
        <v>0</v>
      </c>
      <c r="K11" s="26"/>
      <c r="L11" s="130">
        <f>I11*K11</f>
        <v>0</v>
      </c>
      <c r="N11" s="127" t="s">
        <v>27</v>
      </c>
      <c r="O11" s="127"/>
      <c r="P11" s="127"/>
      <c r="Q11" s="127"/>
      <c r="R11" s="127"/>
      <c r="S11" s="127"/>
      <c r="T11" s="127"/>
      <c r="U11" s="127"/>
      <c r="W11" s="503"/>
    </row>
    <row r="12" spans="2:23" ht="24" customHeight="1" thickBot="1">
      <c r="B12" s="278" t="s">
        <v>88</v>
      </c>
      <c r="C12" s="220">
        <f>'Inversiones Ceba'!D15</f>
        <v>0</v>
      </c>
      <c r="D12" s="218">
        <f t="shared" ref="D12:L12" si="0">SUM(D7:D11)</f>
        <v>0</v>
      </c>
      <c r="E12" s="217">
        <f t="shared" si="0"/>
        <v>0</v>
      </c>
      <c r="F12" s="219">
        <f t="shared" si="0"/>
        <v>0</v>
      </c>
      <c r="G12" s="217">
        <f t="shared" si="0"/>
        <v>0</v>
      </c>
      <c r="H12" s="219">
        <f t="shared" si="0"/>
        <v>0</v>
      </c>
      <c r="I12" s="219">
        <f t="shared" si="0"/>
        <v>0</v>
      </c>
      <c r="J12" s="219">
        <f t="shared" si="0"/>
        <v>0</v>
      </c>
      <c r="K12" s="279">
        <f t="shared" si="0"/>
        <v>0</v>
      </c>
      <c r="L12" s="221">
        <f t="shared" si="0"/>
        <v>0</v>
      </c>
      <c r="N12" s="132" t="s">
        <v>27</v>
      </c>
      <c r="O12" s="132"/>
      <c r="P12" s="132"/>
      <c r="Q12" s="132"/>
      <c r="R12" s="132"/>
      <c r="S12" s="127"/>
      <c r="T12" s="127"/>
      <c r="W12" s="503"/>
    </row>
    <row r="13" spans="2:23" ht="15.75" thickBot="1">
      <c r="N13" s="744" t="s">
        <v>231</v>
      </c>
      <c r="O13" s="745"/>
      <c r="P13" s="745"/>
      <c r="Q13" s="745"/>
      <c r="R13" s="745"/>
      <c r="S13" s="745"/>
      <c r="T13" s="746"/>
      <c r="W13" s="503"/>
    </row>
    <row r="14" spans="2:23" ht="45" customHeight="1" thickBot="1">
      <c r="D14" s="597" t="s">
        <v>70</v>
      </c>
      <c r="E14" s="598"/>
      <c r="J14" s="795" t="s">
        <v>70</v>
      </c>
      <c r="K14" s="796"/>
      <c r="N14" s="747"/>
      <c r="O14" s="748"/>
      <c r="P14" s="748"/>
      <c r="Q14" s="748"/>
      <c r="R14" s="748"/>
      <c r="S14" s="748"/>
      <c r="T14" s="749"/>
      <c r="W14" s="503"/>
    </row>
    <row r="15" spans="2:23" ht="15.75" thickBot="1">
      <c r="B15" s="605" t="s">
        <v>90</v>
      </c>
      <c r="C15" s="606"/>
      <c r="D15" s="606"/>
      <c r="E15" s="606"/>
      <c r="F15" s="607"/>
      <c r="I15" s="613" t="s">
        <v>91</v>
      </c>
      <c r="J15" s="614"/>
      <c r="K15" s="614"/>
      <c r="L15" s="615"/>
      <c r="N15" s="747"/>
      <c r="O15" s="748"/>
      <c r="P15" s="748"/>
      <c r="Q15" s="748"/>
      <c r="R15" s="748"/>
      <c r="S15" s="748"/>
      <c r="T15" s="749"/>
      <c r="W15" s="503"/>
    </row>
    <row r="16" spans="2:23" ht="45.75" thickBot="1">
      <c r="B16" s="285" t="s">
        <v>44</v>
      </c>
      <c r="C16" s="286" t="s">
        <v>73</v>
      </c>
      <c r="D16" s="286" t="s">
        <v>92</v>
      </c>
      <c r="E16" s="287" t="s">
        <v>93</v>
      </c>
      <c r="F16" s="291" t="s">
        <v>94</v>
      </c>
      <c r="I16" s="280" t="s">
        <v>44</v>
      </c>
      <c r="J16" s="281" t="s">
        <v>95</v>
      </c>
      <c r="K16" s="282" t="s">
        <v>96</v>
      </c>
      <c r="L16" s="284" t="s">
        <v>94</v>
      </c>
      <c r="N16" s="747"/>
      <c r="O16" s="748"/>
      <c r="P16" s="748"/>
      <c r="Q16" s="748"/>
      <c r="R16" s="748"/>
      <c r="S16" s="748"/>
      <c r="T16" s="749"/>
      <c r="W16" s="503"/>
    </row>
    <row r="17" spans="2:23" ht="27" customHeight="1" thickBot="1">
      <c r="B17" s="192" t="s">
        <v>97</v>
      </c>
      <c r="C17" s="253">
        <f>'Inversiones Ceba'!D15</f>
        <v>0</v>
      </c>
      <c r="D17" s="256">
        <v>0</v>
      </c>
      <c r="E17" s="255">
        <v>2</v>
      </c>
      <c r="F17" s="105">
        <f t="shared" ref="F17:F22" si="1">C17*D17*E17</f>
        <v>0</v>
      </c>
      <c r="I17" s="341" t="s">
        <v>98</v>
      </c>
      <c r="J17" s="256">
        <v>0</v>
      </c>
      <c r="K17" s="255">
        <v>0</v>
      </c>
      <c r="L17" s="338">
        <f>J17*K17</f>
        <v>0</v>
      </c>
      <c r="N17" s="750"/>
      <c r="O17" s="751"/>
      <c r="P17" s="751"/>
      <c r="Q17" s="751"/>
      <c r="R17" s="751"/>
      <c r="S17" s="751"/>
      <c r="T17" s="752"/>
      <c r="W17" s="503"/>
    </row>
    <row r="18" spans="2:23" ht="27">
      <c r="B18" s="193" t="s">
        <v>99</v>
      </c>
      <c r="C18" s="33">
        <f>'Inversiones Ceba'!D15</f>
        <v>0</v>
      </c>
      <c r="D18" s="229">
        <v>0</v>
      </c>
      <c r="E18" s="227">
        <v>2</v>
      </c>
      <c r="F18" s="101">
        <f t="shared" si="1"/>
        <v>0</v>
      </c>
      <c r="I18" s="272" t="s">
        <v>100</v>
      </c>
      <c r="J18" s="229">
        <v>0</v>
      </c>
      <c r="K18" s="227">
        <v>0</v>
      </c>
      <c r="L18" s="237">
        <f>J18*K18</f>
        <v>0</v>
      </c>
      <c r="N18" s="127" t="s">
        <v>27</v>
      </c>
      <c r="W18" s="503"/>
    </row>
    <row r="19" spans="2:23" ht="27.75" thickBot="1">
      <c r="B19" s="193" t="s">
        <v>101</v>
      </c>
      <c r="C19" s="33">
        <f>'Inversiones Ceba'!D15</f>
        <v>0</v>
      </c>
      <c r="D19" s="229">
        <v>0</v>
      </c>
      <c r="E19" s="227">
        <v>2</v>
      </c>
      <c r="F19" s="101">
        <f t="shared" si="1"/>
        <v>0</v>
      </c>
      <c r="I19" s="272" t="s">
        <v>102</v>
      </c>
      <c r="J19" s="229">
        <v>0</v>
      </c>
      <c r="K19" s="227">
        <v>0</v>
      </c>
      <c r="L19" s="237">
        <f>J19*K19</f>
        <v>0</v>
      </c>
      <c r="N19" s="127" t="s">
        <v>27</v>
      </c>
      <c r="W19" s="503"/>
    </row>
    <row r="20" spans="2:23">
      <c r="B20" s="193" t="s">
        <v>107</v>
      </c>
      <c r="C20" s="33">
        <f>'Inversiones Ceba'!D15</f>
        <v>0</v>
      </c>
      <c r="D20" s="229">
        <v>0</v>
      </c>
      <c r="E20" s="227">
        <v>3</v>
      </c>
      <c r="F20" s="101">
        <f t="shared" si="1"/>
        <v>0</v>
      </c>
      <c r="I20" s="193" t="s">
        <v>105</v>
      </c>
      <c r="J20" s="229">
        <v>0</v>
      </c>
      <c r="K20" s="227">
        <v>0</v>
      </c>
      <c r="L20" s="237">
        <f>J20*K20</f>
        <v>0</v>
      </c>
      <c r="N20" s="735" t="s">
        <v>264</v>
      </c>
      <c r="O20" s="736"/>
      <c r="P20" s="736"/>
      <c r="Q20" s="736"/>
      <c r="R20" s="736"/>
      <c r="S20" s="736"/>
      <c r="T20" s="737"/>
      <c r="W20" s="503"/>
    </row>
    <row r="21" spans="2:23" ht="30" thickBot="1">
      <c r="B21" s="232" t="s">
        <v>108</v>
      </c>
      <c r="C21" s="33">
        <f>'Inversiones Ceba'!D15</f>
        <v>0</v>
      </c>
      <c r="D21" s="229">
        <v>0</v>
      </c>
      <c r="E21" s="227">
        <v>6</v>
      </c>
      <c r="F21" s="101">
        <f>C21*D21*E21</f>
        <v>0</v>
      </c>
      <c r="I21" s="199" t="s">
        <v>67</v>
      </c>
      <c r="J21" s="238">
        <v>0</v>
      </c>
      <c r="K21" s="258">
        <v>0</v>
      </c>
      <c r="L21" s="239">
        <f>J21*K21</f>
        <v>0</v>
      </c>
      <c r="N21" s="738"/>
      <c r="O21" s="739"/>
      <c r="P21" s="739"/>
      <c r="Q21" s="739"/>
      <c r="R21" s="739"/>
      <c r="S21" s="739"/>
      <c r="T21" s="740"/>
      <c r="W21" s="503"/>
    </row>
    <row r="22" spans="2:23" ht="58.5" thickBot="1">
      <c r="B22" s="292" t="s">
        <v>109</v>
      </c>
      <c r="C22" s="75">
        <f>'Inversiones Ceba'!D15</f>
        <v>0</v>
      </c>
      <c r="D22" s="238">
        <v>0</v>
      </c>
      <c r="E22" s="258">
        <v>6</v>
      </c>
      <c r="F22" s="103">
        <f t="shared" si="1"/>
        <v>0</v>
      </c>
      <c r="I22" s="278" t="s">
        <v>88</v>
      </c>
      <c r="J22" s="339">
        <f>SUM(J17:J21)</f>
        <v>0</v>
      </c>
      <c r="K22" s="217"/>
      <c r="L22" s="340">
        <f>SUM(L17:L21)</f>
        <v>0</v>
      </c>
      <c r="N22" s="738"/>
      <c r="O22" s="739"/>
      <c r="P22" s="739"/>
      <c r="Q22" s="739"/>
      <c r="R22" s="739"/>
      <c r="S22" s="739"/>
      <c r="T22" s="740"/>
      <c r="W22" s="503"/>
    </row>
    <row r="23" spans="2:23" ht="15.75" thickBot="1">
      <c r="B23" s="278" t="s">
        <v>88</v>
      </c>
      <c r="C23" s="217"/>
      <c r="D23" s="219">
        <f>SUM(D17:D22)</f>
        <v>0</v>
      </c>
      <c r="E23" s="217"/>
      <c r="F23" s="221">
        <f>SUM(F17:F22)</f>
        <v>0</v>
      </c>
      <c r="N23" s="738"/>
      <c r="O23" s="739"/>
      <c r="P23" s="739"/>
      <c r="Q23" s="739"/>
      <c r="R23" s="739"/>
      <c r="S23" s="739"/>
      <c r="T23" s="740"/>
      <c r="W23" s="503"/>
    </row>
    <row r="24" spans="2:23" ht="15.75" thickBot="1">
      <c r="N24" s="738"/>
      <c r="O24" s="739"/>
      <c r="P24" s="739"/>
      <c r="Q24" s="739"/>
      <c r="R24" s="739"/>
      <c r="S24" s="739"/>
      <c r="T24" s="740"/>
      <c r="W24" s="503"/>
    </row>
    <row r="25" spans="2:23" ht="30" customHeight="1" thickBot="1">
      <c r="C25" s="733" t="s">
        <v>70</v>
      </c>
      <c r="D25" s="734"/>
      <c r="I25" s="733" t="s">
        <v>70</v>
      </c>
      <c r="J25" s="734"/>
      <c r="N25" s="741"/>
      <c r="O25" s="742"/>
      <c r="P25" s="742"/>
      <c r="Q25" s="742"/>
      <c r="R25" s="742"/>
      <c r="S25" s="742"/>
      <c r="T25" s="743"/>
      <c r="W25" s="503"/>
    </row>
    <row r="26" spans="2:23">
      <c r="B26" s="605" t="s">
        <v>110</v>
      </c>
      <c r="C26" s="606"/>
      <c r="D26" s="606"/>
      <c r="E26" s="607"/>
      <c r="H26" s="605" t="s">
        <v>111</v>
      </c>
      <c r="I26" s="606"/>
      <c r="J26" s="606"/>
      <c r="K26" s="607"/>
      <c r="W26" s="503"/>
    </row>
    <row r="27" spans="2:23" ht="15.75" thickBot="1">
      <c r="B27" s="285" t="s">
        <v>44</v>
      </c>
      <c r="C27" s="286" t="s">
        <v>113</v>
      </c>
      <c r="D27" s="286" t="s">
        <v>114</v>
      </c>
      <c r="E27" s="290" t="s">
        <v>115</v>
      </c>
      <c r="H27" s="285" t="s">
        <v>44</v>
      </c>
      <c r="I27" s="286" t="s">
        <v>113</v>
      </c>
      <c r="J27" s="286" t="s">
        <v>114</v>
      </c>
      <c r="K27" s="290" t="s">
        <v>115</v>
      </c>
      <c r="W27" s="503"/>
    </row>
    <row r="28" spans="2:23" ht="43.5">
      <c r="B28" s="259" t="s">
        <v>235</v>
      </c>
      <c r="C28" s="255">
        <v>12</v>
      </c>
      <c r="D28" s="256">
        <v>0</v>
      </c>
      <c r="E28" s="105">
        <f>C28*D28</f>
        <v>0</v>
      </c>
      <c r="H28" s="259" t="s">
        <v>117</v>
      </c>
      <c r="I28" s="255">
        <v>12</v>
      </c>
      <c r="J28" s="256">
        <v>0</v>
      </c>
      <c r="K28" s="105">
        <f>I28*J28</f>
        <v>0</v>
      </c>
      <c r="W28" s="503"/>
    </row>
    <row r="29" spans="2:23">
      <c r="B29" s="193" t="s">
        <v>118</v>
      </c>
      <c r="C29" s="227">
        <v>12</v>
      </c>
      <c r="D29" s="229">
        <v>0</v>
      </c>
      <c r="E29" s="101">
        <f>C29*D29</f>
        <v>0</v>
      </c>
      <c r="H29" s="260" t="s">
        <v>119</v>
      </c>
      <c r="I29" s="227">
        <v>12</v>
      </c>
      <c r="J29" s="229">
        <v>0</v>
      </c>
      <c r="K29" s="101">
        <f>I29*J29</f>
        <v>0</v>
      </c>
      <c r="W29" s="503"/>
    </row>
    <row r="30" spans="2:23">
      <c r="B30" s="193" t="s">
        <v>120</v>
      </c>
      <c r="C30" s="227">
        <v>12</v>
      </c>
      <c r="D30" s="229">
        <v>0</v>
      </c>
      <c r="E30" s="101">
        <f>C30*D30</f>
        <v>0</v>
      </c>
      <c r="H30" s="260" t="s">
        <v>121</v>
      </c>
      <c r="I30" s="227">
        <v>12</v>
      </c>
      <c r="J30" s="229">
        <v>0</v>
      </c>
      <c r="K30" s="101">
        <f>I30*J30</f>
        <v>0</v>
      </c>
      <c r="W30" s="503"/>
    </row>
    <row r="31" spans="2:23" ht="43.5">
      <c r="B31" s="232" t="s">
        <v>122</v>
      </c>
      <c r="C31" s="227">
        <v>6</v>
      </c>
      <c r="D31" s="229">
        <v>0</v>
      </c>
      <c r="E31" s="101">
        <f>C31*D31</f>
        <v>0</v>
      </c>
      <c r="H31" s="261" t="s">
        <v>123</v>
      </c>
      <c r="I31" s="227">
        <v>12</v>
      </c>
      <c r="J31" s="229">
        <v>0</v>
      </c>
      <c r="K31" s="101">
        <f>I31*J31</f>
        <v>0</v>
      </c>
      <c r="W31" s="503"/>
    </row>
    <row r="32" spans="2:23" ht="15.75" thickBot="1">
      <c r="B32" s="199" t="s">
        <v>124</v>
      </c>
      <c r="C32" s="258">
        <v>4</v>
      </c>
      <c r="D32" s="238">
        <v>0</v>
      </c>
      <c r="E32" s="103">
        <f>C32*D32</f>
        <v>0</v>
      </c>
      <c r="H32" s="262"/>
      <c r="I32" s="258">
        <v>0</v>
      </c>
      <c r="J32" s="258">
        <v>0</v>
      </c>
      <c r="K32" s="130">
        <f>I32*J32</f>
        <v>0</v>
      </c>
      <c r="W32" s="503"/>
    </row>
    <row r="33" spans="2:23" ht="15.75" thickBot="1">
      <c r="B33" s="278" t="s">
        <v>88</v>
      </c>
      <c r="C33" s="217"/>
      <c r="D33" s="219">
        <f>SUM(D28:D32)</f>
        <v>0</v>
      </c>
      <c r="E33" s="221">
        <f>SUM(E28:E32)</f>
        <v>0</v>
      </c>
      <c r="H33" s="278" t="s">
        <v>88</v>
      </c>
      <c r="I33" s="217"/>
      <c r="J33" s="219">
        <f>SUM(J28:J32)</f>
        <v>0</v>
      </c>
      <c r="K33" s="221">
        <f>SUM(K28:K32)</f>
        <v>0</v>
      </c>
      <c r="W33" s="503"/>
    </row>
    <row r="34" spans="2:23">
      <c r="W34" s="503"/>
    </row>
    <row r="35" spans="2:23" ht="15.75" thickBot="1">
      <c r="W35" s="503"/>
    </row>
    <row r="36" spans="2:23">
      <c r="B36" s="605" t="s">
        <v>125</v>
      </c>
      <c r="C36" s="606"/>
      <c r="D36" s="606"/>
      <c r="E36" s="607"/>
      <c r="H36" s="599" t="s">
        <v>265</v>
      </c>
      <c r="I36" s="600"/>
      <c r="J36" s="600"/>
      <c r="K36" s="600"/>
      <c r="L36" s="600"/>
      <c r="M36" s="600"/>
      <c r="N36" s="600"/>
      <c r="O36" s="600"/>
      <c r="P36" s="600"/>
      <c r="Q36" s="600"/>
      <c r="R36" s="600"/>
      <c r="S36" s="600"/>
      <c r="T36" s="600"/>
      <c r="U36" s="601"/>
      <c r="W36" s="503"/>
    </row>
    <row r="37" spans="2:23" ht="15.75" thickBot="1">
      <c r="B37" s="285" t="s">
        <v>44</v>
      </c>
      <c r="C37" s="286" t="s">
        <v>113</v>
      </c>
      <c r="D37" s="286" t="s">
        <v>114</v>
      </c>
      <c r="E37" s="290" t="s">
        <v>115</v>
      </c>
      <c r="H37" s="285" t="s">
        <v>44</v>
      </c>
      <c r="I37" s="286" t="s">
        <v>127</v>
      </c>
      <c r="J37" s="286" t="s">
        <v>128</v>
      </c>
      <c r="K37" s="286" t="s">
        <v>129</v>
      </c>
      <c r="L37" s="286" t="s">
        <v>130</v>
      </c>
      <c r="M37" s="286" t="s">
        <v>131</v>
      </c>
      <c r="N37" s="286" t="s">
        <v>132</v>
      </c>
      <c r="O37" s="286" t="s">
        <v>133</v>
      </c>
      <c r="P37" s="286" t="s">
        <v>134</v>
      </c>
      <c r="Q37" s="286" t="s">
        <v>135</v>
      </c>
      <c r="R37" s="286" t="s">
        <v>136</v>
      </c>
      <c r="S37" s="286" t="s">
        <v>137</v>
      </c>
      <c r="T37" s="286" t="s">
        <v>138</v>
      </c>
      <c r="U37" s="288" t="s">
        <v>236</v>
      </c>
      <c r="W37" s="503"/>
    </row>
    <row r="38" spans="2:23">
      <c r="B38" s="192" t="s">
        <v>139</v>
      </c>
      <c r="C38" s="263">
        <v>12</v>
      </c>
      <c r="D38" s="104">
        <f>E38/C38</f>
        <v>0</v>
      </c>
      <c r="E38" s="105">
        <f>L12</f>
        <v>0</v>
      </c>
      <c r="H38" s="192" t="s">
        <v>139</v>
      </c>
      <c r="I38" s="104">
        <f>E38/12</f>
        <v>0</v>
      </c>
      <c r="J38" s="104">
        <f>E38/12</f>
        <v>0</v>
      </c>
      <c r="K38" s="104">
        <f>E38/12</f>
        <v>0</v>
      </c>
      <c r="L38" s="104">
        <f>E38/12</f>
        <v>0</v>
      </c>
      <c r="M38" s="104">
        <f>E38/12</f>
        <v>0</v>
      </c>
      <c r="N38" s="104">
        <f>E38/12</f>
        <v>0</v>
      </c>
      <c r="O38" s="104">
        <f>E38/12</f>
        <v>0</v>
      </c>
      <c r="P38" s="104">
        <f>E38/12</f>
        <v>0</v>
      </c>
      <c r="Q38" s="104">
        <f>E38/12</f>
        <v>0</v>
      </c>
      <c r="R38" s="104">
        <f>E38/12</f>
        <v>0</v>
      </c>
      <c r="S38" s="104">
        <f>E38/12</f>
        <v>0</v>
      </c>
      <c r="T38" s="104">
        <f>E38/12</f>
        <v>0</v>
      </c>
      <c r="U38" s="105">
        <f>SUM(I38:T38)</f>
        <v>0</v>
      </c>
      <c r="W38" s="503"/>
    </row>
    <row r="39" spans="2:23">
      <c r="B39" s="193" t="s">
        <v>140</v>
      </c>
      <c r="C39" s="55">
        <v>12</v>
      </c>
      <c r="D39" s="6">
        <f>E39/C39</f>
        <v>0</v>
      </c>
      <c r="E39" s="101">
        <f>F23</f>
        <v>0</v>
      </c>
      <c r="H39" s="193" t="s">
        <v>140</v>
      </c>
      <c r="I39" s="6">
        <f>E39*8.24/100</f>
        <v>0</v>
      </c>
      <c r="J39" s="6">
        <f>E39*8.24/100</f>
        <v>0</v>
      </c>
      <c r="K39" s="6">
        <f>E39*8.24/100</f>
        <v>0</v>
      </c>
      <c r="L39" s="6">
        <f>E39*8.24/100</f>
        <v>0</v>
      </c>
      <c r="M39" s="43">
        <f>E39*8.8/100</f>
        <v>0</v>
      </c>
      <c r="N39" s="6">
        <f>E39*8.24/100</f>
        <v>0</v>
      </c>
      <c r="O39" s="6">
        <f>E39*8.24/100</f>
        <v>0</v>
      </c>
      <c r="P39" s="6">
        <f>E39*8.24/100</f>
        <v>0</v>
      </c>
      <c r="Q39" s="6">
        <f>E39*8.24/100</f>
        <v>0</v>
      </c>
      <c r="R39" s="6">
        <f>E39*8.24/100</f>
        <v>0</v>
      </c>
      <c r="S39" s="43">
        <f>E39*8.8/100</f>
        <v>0</v>
      </c>
      <c r="T39" s="6">
        <f>E39*8.24/100</f>
        <v>0</v>
      </c>
      <c r="U39" s="101">
        <f>SUM(I39:T39)</f>
        <v>0</v>
      </c>
      <c r="W39" s="503"/>
    </row>
    <row r="40" spans="2:23">
      <c r="B40" s="193" t="s">
        <v>141</v>
      </c>
      <c r="C40" s="55">
        <v>12</v>
      </c>
      <c r="D40" s="6">
        <f>E40/C40</f>
        <v>0</v>
      </c>
      <c r="E40" s="101">
        <f>E33</f>
        <v>0</v>
      </c>
      <c r="H40" s="272" t="s">
        <v>141</v>
      </c>
      <c r="I40" s="6">
        <f>E40*8.1/100</f>
        <v>0</v>
      </c>
      <c r="J40" s="6">
        <f>E40*8.1/100</f>
        <v>0</v>
      </c>
      <c r="K40" s="6">
        <f>E40*8.1/100</f>
        <v>0</v>
      </c>
      <c r="L40" s="6">
        <f>E40*8.1/100</f>
        <v>0</v>
      </c>
      <c r="M40" s="6">
        <f>E40*9.5/100</f>
        <v>0</v>
      </c>
      <c r="N40" s="6">
        <f>E40*8.1/100</f>
        <v>0</v>
      </c>
      <c r="O40" s="6">
        <f>E40*8.1/100</f>
        <v>0</v>
      </c>
      <c r="P40" s="6">
        <f>E40*8.1/100</f>
        <v>0</v>
      </c>
      <c r="Q40" s="6">
        <f>E40*8.1/100</f>
        <v>0</v>
      </c>
      <c r="R40" s="6">
        <f>E40*8.1/100</f>
        <v>0</v>
      </c>
      <c r="S40" s="6">
        <f>E40*9.5/100</f>
        <v>0</v>
      </c>
      <c r="T40" s="6">
        <f>E40*8.1/100</f>
        <v>0</v>
      </c>
      <c r="U40" s="101">
        <f>SUM(I40:T40)</f>
        <v>0</v>
      </c>
      <c r="W40" s="503"/>
    </row>
    <row r="41" spans="2:23">
      <c r="B41" s="193" t="s">
        <v>143</v>
      </c>
      <c r="C41" s="55">
        <v>12</v>
      </c>
      <c r="D41" s="6">
        <f>E41/C41</f>
        <v>0</v>
      </c>
      <c r="E41" s="101">
        <f>K33</f>
        <v>0</v>
      </c>
      <c r="H41" s="193" t="s">
        <v>143</v>
      </c>
      <c r="I41" s="6">
        <f>E41/12</f>
        <v>0</v>
      </c>
      <c r="J41" s="6">
        <f>E41/12</f>
        <v>0</v>
      </c>
      <c r="K41" s="6">
        <f>E41/12</f>
        <v>0</v>
      </c>
      <c r="L41" s="6">
        <f>E41/12</f>
        <v>0</v>
      </c>
      <c r="M41" s="6">
        <f>E41/12</f>
        <v>0</v>
      </c>
      <c r="N41" s="6">
        <f>E41/12</f>
        <v>0</v>
      </c>
      <c r="O41" s="6">
        <f>E41/12</f>
        <v>0</v>
      </c>
      <c r="P41" s="6">
        <f>E41/12</f>
        <v>0</v>
      </c>
      <c r="Q41" s="6">
        <f>E41/12</f>
        <v>0</v>
      </c>
      <c r="R41" s="6">
        <f>E41/12</f>
        <v>0</v>
      </c>
      <c r="S41" s="6">
        <f>E41/12</f>
        <v>0</v>
      </c>
      <c r="T41" s="6">
        <f>E41/12</f>
        <v>0</v>
      </c>
      <c r="U41" s="101">
        <f>SUM(I41:T41)</f>
        <v>0</v>
      </c>
      <c r="W41" s="503"/>
    </row>
    <row r="42" spans="2:23" ht="43.5" thickBot="1">
      <c r="B42" s="264" t="s">
        <v>145</v>
      </c>
      <c r="C42" s="265">
        <v>12</v>
      </c>
      <c r="D42" s="102">
        <f>E42*C42</f>
        <v>0</v>
      </c>
      <c r="E42" s="103">
        <f>L22</f>
        <v>0</v>
      </c>
      <c r="H42" s="264" t="s">
        <v>145</v>
      </c>
      <c r="I42" s="102">
        <f>E42/12</f>
        <v>0</v>
      </c>
      <c r="J42" s="102">
        <f>E42/12</f>
        <v>0</v>
      </c>
      <c r="K42" s="102">
        <f>E42/12</f>
        <v>0</v>
      </c>
      <c r="L42" s="102">
        <f>E42/12</f>
        <v>0</v>
      </c>
      <c r="M42" s="102">
        <f>E42/12</f>
        <v>0</v>
      </c>
      <c r="N42" s="102">
        <f>E42/12</f>
        <v>0</v>
      </c>
      <c r="O42" s="102">
        <f>E42/12</f>
        <v>0</v>
      </c>
      <c r="P42" s="102">
        <f>E42/12</f>
        <v>0</v>
      </c>
      <c r="Q42" s="102">
        <f>E42/12</f>
        <v>0</v>
      </c>
      <c r="R42" s="102">
        <f>E42/12</f>
        <v>0</v>
      </c>
      <c r="S42" s="102">
        <f>E42/12</f>
        <v>0</v>
      </c>
      <c r="T42" s="102">
        <f>E42/12</f>
        <v>0</v>
      </c>
      <c r="U42" s="103">
        <f>SUM(I42:T42)</f>
        <v>0</v>
      </c>
      <c r="W42" s="503"/>
    </row>
    <row r="43" spans="2:23" ht="15.75" thickBot="1">
      <c r="B43" s="278" t="s">
        <v>146</v>
      </c>
      <c r="C43" s="217">
        <v>12</v>
      </c>
      <c r="D43" s="219">
        <f>E43/C43</f>
        <v>0</v>
      </c>
      <c r="E43" s="221">
        <f>E38+E39+E40+E41+E42</f>
        <v>0</v>
      </c>
      <c r="H43" s="343" t="s">
        <v>146</v>
      </c>
      <c r="I43" s="344">
        <f t="shared" ref="I43:U43" si="2">SUM(I38:I42)</f>
        <v>0</v>
      </c>
      <c r="J43" s="344">
        <f t="shared" si="2"/>
        <v>0</v>
      </c>
      <c r="K43" s="344">
        <f t="shared" si="2"/>
        <v>0</v>
      </c>
      <c r="L43" s="344">
        <f t="shared" si="2"/>
        <v>0</v>
      </c>
      <c r="M43" s="344">
        <f t="shared" si="2"/>
        <v>0</v>
      </c>
      <c r="N43" s="344">
        <f t="shared" si="2"/>
        <v>0</v>
      </c>
      <c r="O43" s="344">
        <f t="shared" si="2"/>
        <v>0</v>
      </c>
      <c r="P43" s="344">
        <f t="shared" si="2"/>
        <v>0</v>
      </c>
      <c r="Q43" s="344">
        <f t="shared" si="2"/>
        <v>0</v>
      </c>
      <c r="R43" s="344">
        <f t="shared" si="2"/>
        <v>0</v>
      </c>
      <c r="S43" s="344">
        <f t="shared" si="2"/>
        <v>0</v>
      </c>
      <c r="T43" s="344">
        <f t="shared" si="2"/>
        <v>0</v>
      </c>
      <c r="U43" s="345">
        <f t="shared" si="2"/>
        <v>0</v>
      </c>
      <c r="W43" s="503"/>
    </row>
    <row r="44" spans="2:23" ht="15.75" thickBot="1">
      <c r="H44" s="346" t="s">
        <v>147</v>
      </c>
      <c r="I44" s="347" t="e">
        <f>I43*100/U43</f>
        <v>#DIV/0!</v>
      </c>
      <c r="J44" s="347" t="e">
        <f>J43*100/U43</f>
        <v>#DIV/0!</v>
      </c>
      <c r="K44" s="347" t="e">
        <f>K43*100/U43</f>
        <v>#DIV/0!</v>
      </c>
      <c r="L44" s="347" t="e">
        <f>L43*100/U43</f>
        <v>#DIV/0!</v>
      </c>
      <c r="M44" s="347" t="e">
        <f>M43*100/U43</f>
        <v>#DIV/0!</v>
      </c>
      <c r="N44" s="347" t="e">
        <f>N43*100/U43</f>
        <v>#DIV/0!</v>
      </c>
      <c r="O44" s="347" t="e">
        <f>O43*100/U43</f>
        <v>#DIV/0!</v>
      </c>
      <c r="P44" s="347" t="e">
        <f>P43*100/U43</f>
        <v>#DIV/0!</v>
      </c>
      <c r="Q44" s="347" t="e">
        <f>Q43*100/U43</f>
        <v>#DIV/0!</v>
      </c>
      <c r="R44" s="347" t="e">
        <f>R43*100/U43</f>
        <v>#DIV/0!</v>
      </c>
      <c r="S44" s="347" t="e">
        <f>S43*100/U43</f>
        <v>#DIV/0!</v>
      </c>
      <c r="T44" s="347" t="e">
        <f>T43*100/U43</f>
        <v>#DIV/0!</v>
      </c>
      <c r="U44" s="348" t="e">
        <f>U43*100/U43</f>
        <v>#DIV/0!</v>
      </c>
      <c r="W44" s="503"/>
    </row>
    <row r="45" spans="2:23" ht="15.75" thickBot="1">
      <c r="W45" s="503"/>
    </row>
    <row r="46" spans="2:23" ht="31.5" thickBot="1">
      <c r="E46" s="413" t="s">
        <v>148</v>
      </c>
      <c r="F46" s="314">
        <v>0.1</v>
      </c>
      <c r="G46" s="315">
        <v>0.1</v>
      </c>
      <c r="H46" s="315">
        <v>0.1</v>
      </c>
      <c r="I46" s="315">
        <v>0.1</v>
      </c>
      <c r="J46" s="315">
        <v>0.1</v>
      </c>
      <c r="K46" s="315">
        <v>0.1</v>
      </c>
      <c r="L46" s="315">
        <v>0.1</v>
      </c>
      <c r="M46" s="315">
        <v>0.1</v>
      </c>
      <c r="N46" s="315">
        <v>0.1</v>
      </c>
      <c r="O46" s="316">
        <v>0.1</v>
      </c>
      <c r="P46" s="40" t="s">
        <v>10</v>
      </c>
      <c r="Q46" s="661" t="s">
        <v>149</v>
      </c>
      <c r="R46" s="662"/>
      <c r="S46" s="662"/>
      <c r="T46" s="663"/>
      <c r="W46" s="503"/>
    </row>
    <row r="47" spans="2:23" ht="15.75" thickBot="1">
      <c r="B47" s="582" t="s">
        <v>150</v>
      </c>
      <c r="C47" s="583"/>
      <c r="D47" s="584"/>
      <c r="E47" s="317" t="s">
        <v>151</v>
      </c>
      <c r="F47" s="318" t="s">
        <v>152</v>
      </c>
      <c r="G47" s="318" t="s">
        <v>153</v>
      </c>
      <c r="H47" s="318" t="s">
        <v>154</v>
      </c>
      <c r="I47" s="318" t="s">
        <v>155</v>
      </c>
      <c r="J47" s="319" t="s">
        <v>156</v>
      </c>
      <c r="K47" s="318" t="s">
        <v>157</v>
      </c>
      <c r="L47" s="319" t="s">
        <v>158</v>
      </c>
      <c r="M47" s="318" t="s">
        <v>159</v>
      </c>
      <c r="N47" s="319" t="s">
        <v>160</v>
      </c>
      <c r="O47" s="320" t="s">
        <v>161</v>
      </c>
      <c r="Q47" s="664"/>
      <c r="R47" s="665"/>
      <c r="S47" s="665"/>
      <c r="T47" s="666"/>
      <c r="W47" s="503"/>
    </row>
    <row r="48" spans="2:23" ht="15.75" thickBot="1">
      <c r="B48" s="625" t="s">
        <v>237</v>
      </c>
      <c r="C48" s="626"/>
      <c r="D48" s="627"/>
      <c r="E48" s="321"/>
      <c r="F48" s="322">
        <f>'Inversiones Ceba'!D15</f>
        <v>0</v>
      </c>
      <c r="G48" s="322">
        <f>F48</f>
        <v>0</v>
      </c>
      <c r="H48" s="323">
        <f>F48</f>
        <v>0</v>
      </c>
      <c r="I48" s="323">
        <f>F48</f>
        <v>0</v>
      </c>
      <c r="J48" s="324">
        <f>F48</f>
        <v>0</v>
      </c>
      <c r="K48" s="322">
        <f>J48</f>
        <v>0</v>
      </c>
      <c r="L48" s="323">
        <f>J48</f>
        <v>0</v>
      </c>
      <c r="M48" s="323">
        <f>J48</f>
        <v>0</v>
      </c>
      <c r="N48" s="324">
        <f>J48</f>
        <v>0</v>
      </c>
      <c r="O48" s="414">
        <f>K48</f>
        <v>0</v>
      </c>
      <c r="Q48" s="667"/>
      <c r="R48" s="668"/>
      <c r="S48" s="668"/>
      <c r="T48" s="669"/>
      <c r="W48" s="503"/>
    </row>
    <row r="49" spans="2:23">
      <c r="B49" s="628" t="s">
        <v>163</v>
      </c>
      <c r="C49" s="629"/>
      <c r="D49" s="630"/>
      <c r="E49" s="12"/>
      <c r="F49" s="14">
        <f>'Inversiones Ceba'!F25</f>
        <v>0</v>
      </c>
      <c r="G49" s="14"/>
      <c r="H49" s="14"/>
      <c r="I49" s="14"/>
      <c r="J49" s="14"/>
      <c r="K49" s="14"/>
      <c r="L49" s="14"/>
      <c r="M49" s="14"/>
      <c r="N49" s="14"/>
      <c r="O49" s="335"/>
      <c r="W49" s="503"/>
    </row>
    <row r="50" spans="2:23">
      <c r="B50" s="628" t="s">
        <v>164</v>
      </c>
      <c r="C50" s="629"/>
      <c r="D50" s="630"/>
      <c r="E50" s="10"/>
      <c r="F50" s="14">
        <f>E39</f>
        <v>0</v>
      </c>
      <c r="G50" s="14">
        <f t="shared" ref="G50:O52" si="3">F50*(1+F$46)</f>
        <v>0</v>
      </c>
      <c r="H50" s="14">
        <f t="shared" si="3"/>
        <v>0</v>
      </c>
      <c r="I50" s="14">
        <f t="shared" si="3"/>
        <v>0</v>
      </c>
      <c r="J50" s="14">
        <f t="shared" si="3"/>
        <v>0</v>
      </c>
      <c r="K50" s="14">
        <f t="shared" si="3"/>
        <v>0</v>
      </c>
      <c r="L50" s="14">
        <f t="shared" si="3"/>
        <v>0</v>
      </c>
      <c r="M50" s="14">
        <f t="shared" si="3"/>
        <v>0</v>
      </c>
      <c r="N50" s="14">
        <f t="shared" si="3"/>
        <v>0</v>
      </c>
      <c r="O50" s="335">
        <f t="shared" si="3"/>
        <v>0</v>
      </c>
      <c r="W50" s="503"/>
    </row>
    <row r="51" spans="2:23">
      <c r="B51" s="628" t="s">
        <v>165</v>
      </c>
      <c r="C51" s="629"/>
      <c r="D51" s="630"/>
      <c r="E51" s="12"/>
      <c r="F51" s="15">
        <f>E40</f>
        <v>0</v>
      </c>
      <c r="G51" s="14">
        <f t="shared" si="3"/>
        <v>0</v>
      </c>
      <c r="H51" s="14">
        <f t="shared" si="3"/>
        <v>0</v>
      </c>
      <c r="I51" s="14">
        <f t="shared" si="3"/>
        <v>0</v>
      </c>
      <c r="J51" s="14">
        <f t="shared" si="3"/>
        <v>0</v>
      </c>
      <c r="K51" s="14">
        <f t="shared" si="3"/>
        <v>0</v>
      </c>
      <c r="L51" s="14">
        <f t="shared" si="3"/>
        <v>0</v>
      </c>
      <c r="M51" s="14">
        <f t="shared" si="3"/>
        <v>0</v>
      </c>
      <c r="N51" s="14">
        <f t="shared" si="3"/>
        <v>0</v>
      </c>
      <c r="O51" s="335">
        <f t="shared" si="3"/>
        <v>0</v>
      </c>
      <c r="W51" s="503"/>
    </row>
    <row r="52" spans="2:23">
      <c r="B52" s="628" t="s">
        <v>166</v>
      </c>
      <c r="C52" s="629"/>
      <c r="D52" s="630"/>
      <c r="E52" s="12"/>
      <c r="F52" s="14">
        <f>E41</f>
        <v>0</v>
      </c>
      <c r="G52" s="14">
        <f t="shared" si="3"/>
        <v>0</v>
      </c>
      <c r="H52" s="14">
        <f t="shared" si="3"/>
        <v>0</v>
      </c>
      <c r="I52" s="14">
        <f t="shared" si="3"/>
        <v>0</v>
      </c>
      <c r="J52" s="14">
        <f t="shared" si="3"/>
        <v>0</v>
      </c>
      <c r="K52" s="14">
        <f t="shared" si="3"/>
        <v>0</v>
      </c>
      <c r="L52" s="14">
        <f t="shared" si="3"/>
        <v>0</v>
      </c>
      <c r="M52" s="14">
        <f t="shared" si="3"/>
        <v>0</v>
      </c>
      <c r="N52" s="14">
        <f t="shared" si="3"/>
        <v>0</v>
      </c>
      <c r="O52" s="335">
        <f t="shared" si="3"/>
        <v>0</v>
      </c>
      <c r="W52" s="503"/>
    </row>
    <row r="53" spans="2:23">
      <c r="B53" s="628" t="s">
        <v>167</v>
      </c>
      <c r="C53" s="629"/>
      <c r="D53" s="630"/>
      <c r="E53" s="12"/>
      <c r="F53" s="14">
        <f>E42</f>
        <v>0</v>
      </c>
      <c r="G53" s="11">
        <f>F53*(1+F$46)</f>
        <v>0</v>
      </c>
      <c r="H53" s="11">
        <f>G53*(1+F$46)</f>
        <v>0</v>
      </c>
      <c r="I53" s="11">
        <f>H53*(1+F$46)</f>
        <v>0</v>
      </c>
      <c r="J53" s="11">
        <f>I53*(1+F$46)</f>
        <v>0</v>
      </c>
      <c r="K53" s="11">
        <f>J53*(1+F$46)</f>
        <v>0</v>
      </c>
      <c r="L53" s="11">
        <f>K53*(1+F$46)</f>
        <v>0</v>
      </c>
      <c r="M53" s="11">
        <f>L53*(1+F$46)</f>
        <v>0</v>
      </c>
      <c r="N53" s="11">
        <f>M53*(1+F$46)</f>
        <v>0</v>
      </c>
      <c r="O53" s="327">
        <f>N53*(1+F$46)</f>
        <v>0</v>
      </c>
      <c r="W53" s="503"/>
    </row>
    <row r="54" spans="2:23">
      <c r="B54" s="628" t="s">
        <v>145</v>
      </c>
      <c r="C54" s="629"/>
      <c r="D54" s="630"/>
      <c r="E54" s="12"/>
      <c r="F54" s="11">
        <f>E42</f>
        <v>0</v>
      </c>
      <c r="G54" s="11">
        <f>F54*(1+F$46)</f>
        <v>0</v>
      </c>
      <c r="H54" s="11">
        <f>G54*(1+F$46)</f>
        <v>0</v>
      </c>
      <c r="I54" s="11">
        <f>H54*(1+F$46)</f>
        <v>0</v>
      </c>
      <c r="J54" s="20">
        <f>I54*(1+F$46)</f>
        <v>0</v>
      </c>
      <c r="K54" s="11">
        <f>J54*(1+F$46)</f>
        <v>0</v>
      </c>
      <c r="L54" s="11">
        <f>K54*(1+F$46)</f>
        <v>0</v>
      </c>
      <c r="M54" s="11">
        <f>L54*(1+F$46)</f>
        <v>0</v>
      </c>
      <c r="N54" s="20">
        <f>M54*(1+F$46)</f>
        <v>0</v>
      </c>
      <c r="O54" s="327">
        <f>N54*(1+F$46)</f>
        <v>0</v>
      </c>
      <c r="W54" s="503"/>
    </row>
    <row r="55" spans="2:23">
      <c r="B55" s="628"/>
      <c r="C55" s="629"/>
      <c r="D55" s="630"/>
      <c r="E55" s="12"/>
      <c r="F55" s="11"/>
      <c r="G55" s="11"/>
      <c r="H55" s="11"/>
      <c r="I55" s="11"/>
      <c r="J55" s="20"/>
      <c r="K55" s="20"/>
      <c r="L55" s="20"/>
      <c r="M55" s="20"/>
      <c r="N55" s="20"/>
      <c r="O55" s="327"/>
      <c r="W55" s="503"/>
    </row>
    <row r="56" spans="2:23">
      <c r="B56" s="628"/>
      <c r="C56" s="629"/>
      <c r="D56" s="630"/>
      <c r="E56" s="12"/>
      <c r="F56" s="11"/>
      <c r="G56" s="11"/>
      <c r="H56" s="11"/>
      <c r="I56" s="11"/>
      <c r="J56" s="20"/>
      <c r="K56" s="20"/>
      <c r="L56" s="20"/>
      <c r="M56" s="20"/>
      <c r="N56" s="20"/>
      <c r="O56" s="327"/>
      <c r="W56" s="503"/>
    </row>
    <row r="57" spans="2:23" ht="15.75" thickBot="1">
      <c r="B57" s="637"/>
      <c r="C57" s="638"/>
      <c r="D57" s="639"/>
      <c r="E57" s="329"/>
      <c r="F57" s="330"/>
      <c r="G57" s="330"/>
      <c r="H57" s="330"/>
      <c r="I57" s="330"/>
      <c r="J57" s="331"/>
      <c r="K57" s="331"/>
      <c r="L57" s="331"/>
      <c r="M57" s="331"/>
      <c r="N57" s="331"/>
      <c r="O57" s="333"/>
      <c r="W57" s="503"/>
    </row>
    <row r="58" spans="2:23">
      <c r="B58" s="640" t="s">
        <v>168</v>
      </c>
      <c r="C58" s="641"/>
      <c r="D58" s="642"/>
      <c r="E58" s="305"/>
      <c r="F58" s="306">
        <f t="shared" ref="F58:O58" si="4">SUM(F49:F57)</f>
        <v>0</v>
      </c>
      <c r="G58" s="306">
        <f t="shared" si="4"/>
        <v>0</v>
      </c>
      <c r="H58" s="306">
        <f t="shared" si="4"/>
        <v>0</v>
      </c>
      <c r="I58" s="306">
        <f t="shared" si="4"/>
        <v>0</v>
      </c>
      <c r="J58" s="307">
        <f t="shared" si="4"/>
        <v>0</v>
      </c>
      <c r="K58" s="307">
        <f t="shared" si="4"/>
        <v>0</v>
      </c>
      <c r="L58" s="307">
        <f t="shared" si="4"/>
        <v>0</v>
      </c>
      <c r="M58" s="307">
        <f t="shared" si="4"/>
        <v>0</v>
      </c>
      <c r="N58" s="307">
        <f t="shared" si="4"/>
        <v>0</v>
      </c>
      <c r="O58" s="308">
        <f t="shared" si="4"/>
        <v>0</v>
      </c>
      <c r="W58" s="503"/>
    </row>
    <row r="59" spans="2:23" ht="15.75" thickBot="1">
      <c r="B59" s="634" t="s">
        <v>266</v>
      </c>
      <c r="C59" s="635"/>
      <c r="D59" s="636"/>
      <c r="E59" s="352"/>
      <c r="F59" s="353" t="e">
        <f t="shared" ref="F59:O59" si="5">F58/F48</f>
        <v>#DIV/0!</v>
      </c>
      <c r="G59" s="353" t="e">
        <f t="shared" si="5"/>
        <v>#DIV/0!</v>
      </c>
      <c r="H59" s="353" t="e">
        <f t="shared" si="5"/>
        <v>#DIV/0!</v>
      </c>
      <c r="I59" s="353" t="e">
        <f t="shared" si="5"/>
        <v>#DIV/0!</v>
      </c>
      <c r="J59" s="354" t="e">
        <f t="shared" si="5"/>
        <v>#DIV/0!</v>
      </c>
      <c r="K59" s="354" t="e">
        <f t="shared" si="5"/>
        <v>#DIV/0!</v>
      </c>
      <c r="L59" s="354" t="e">
        <f t="shared" si="5"/>
        <v>#DIV/0!</v>
      </c>
      <c r="M59" s="354" t="e">
        <f t="shared" si="5"/>
        <v>#DIV/0!</v>
      </c>
      <c r="N59" s="354" t="e">
        <f t="shared" si="5"/>
        <v>#DIV/0!</v>
      </c>
      <c r="O59" s="415" t="e">
        <f t="shared" si="5"/>
        <v>#DIV/0!</v>
      </c>
      <c r="W59" s="503"/>
    </row>
    <row r="60" spans="2:23">
      <c r="W60" s="503"/>
    </row>
    <row r="61" spans="2:23">
      <c r="W61" s="503"/>
    </row>
    <row r="62" spans="2:23">
      <c r="W62" s="503"/>
    </row>
    <row r="63" spans="2:23" ht="27" customHeight="1">
      <c r="B63" s="797" t="s">
        <v>238</v>
      </c>
      <c r="C63" s="798" t="s">
        <v>239</v>
      </c>
      <c r="D63" s="798"/>
      <c r="E63" s="798"/>
      <c r="F63" s="798"/>
      <c r="W63" s="503"/>
    </row>
    <row r="64" spans="2:23" ht="38.25" customHeight="1">
      <c r="B64" s="797"/>
      <c r="C64" s="5" t="s">
        <v>240</v>
      </c>
      <c r="D64" s="5" t="s">
        <v>241</v>
      </c>
      <c r="E64" s="5" t="s">
        <v>242</v>
      </c>
      <c r="F64" s="5" t="s">
        <v>243</v>
      </c>
      <c r="W64" s="503"/>
    </row>
    <row r="65" spans="1:23">
      <c r="A65" s="5" t="s">
        <v>73</v>
      </c>
      <c r="B65" s="32">
        <f>'Inversiones Ceba'!D15</f>
        <v>0</v>
      </c>
      <c r="C65" s="4">
        <f>B65/100*50</f>
        <v>0</v>
      </c>
      <c r="D65" s="33">
        <f>B65/100*26</f>
        <v>0</v>
      </c>
      <c r="E65" s="33">
        <f>B65/100*12</f>
        <v>0</v>
      </c>
      <c r="F65" s="33">
        <f>B65/100*12</f>
        <v>0</v>
      </c>
      <c r="W65" s="503"/>
    </row>
    <row r="66" spans="1:23" ht="38.25">
      <c r="A66" s="5" t="s">
        <v>244</v>
      </c>
      <c r="B66" s="22">
        <f>'Inversiones Ceba'!G7</f>
        <v>0</v>
      </c>
      <c r="C66" s="4">
        <f>B66+40</f>
        <v>40</v>
      </c>
      <c r="D66" s="4">
        <f>C66+40</f>
        <v>80</v>
      </c>
      <c r="E66" s="4">
        <f>D66+40</f>
        <v>120</v>
      </c>
      <c r="F66" s="4">
        <f>E66+40</f>
        <v>160</v>
      </c>
      <c r="W66" s="503"/>
    </row>
    <row r="67" spans="1:23">
      <c r="W67" s="503"/>
    </row>
    <row r="68" spans="1:23">
      <c r="W68" s="503"/>
    </row>
    <row r="69" spans="1:23" ht="15.75" thickBot="1">
      <c r="W69" s="503"/>
    </row>
    <row r="70" spans="1:23" ht="15.75" thickBot="1">
      <c r="A70" s="499"/>
      <c r="B70" s="500"/>
      <c r="C70" s="500"/>
      <c r="D70" s="500"/>
      <c r="E70" s="500"/>
      <c r="F70" s="500"/>
      <c r="G70" s="500"/>
      <c r="H70" s="500"/>
      <c r="I70" s="500"/>
      <c r="J70" s="500"/>
      <c r="K70" s="500"/>
      <c r="L70" s="500"/>
      <c r="M70" s="500"/>
      <c r="N70" s="500"/>
      <c r="O70" s="500"/>
      <c r="P70" s="500"/>
      <c r="Q70" s="500"/>
      <c r="R70" s="500"/>
      <c r="S70" s="500"/>
      <c r="T70" s="500"/>
      <c r="U70" s="500"/>
      <c r="V70" s="501"/>
      <c r="W70" s="504"/>
    </row>
  </sheetData>
  <sheetProtection password="E869" sheet="1" objects="1" scenarios="1"/>
  <mergeCells count="34">
    <mergeCell ref="W1:W70"/>
    <mergeCell ref="A70:V70"/>
    <mergeCell ref="B2:L2"/>
    <mergeCell ref="B63:B64"/>
    <mergeCell ref="C63:F63"/>
    <mergeCell ref="B52:D52"/>
    <mergeCell ref="B36:E36"/>
    <mergeCell ref="B47:D47"/>
    <mergeCell ref="B48:D48"/>
    <mergeCell ref="B49:D49"/>
    <mergeCell ref="B50:D50"/>
    <mergeCell ref="B51:D51"/>
    <mergeCell ref="B59:D59"/>
    <mergeCell ref="B56:D56"/>
    <mergeCell ref="B57:D57"/>
    <mergeCell ref="C25:D25"/>
    <mergeCell ref="N3:Q3"/>
    <mergeCell ref="B5:L5"/>
    <mergeCell ref="B15:F15"/>
    <mergeCell ref="B26:E26"/>
    <mergeCell ref="H26:K26"/>
    <mergeCell ref="N13:T17"/>
    <mergeCell ref="N5:T9"/>
    <mergeCell ref="N20:T25"/>
    <mergeCell ref="D14:E14"/>
    <mergeCell ref="I15:L15"/>
    <mergeCell ref="J14:K14"/>
    <mergeCell ref="B54:D54"/>
    <mergeCell ref="B55:D55"/>
    <mergeCell ref="I25:J25"/>
    <mergeCell ref="Q46:T48"/>
    <mergeCell ref="B58:D58"/>
    <mergeCell ref="H36:U36"/>
    <mergeCell ref="B53:D53"/>
  </mergeCells>
  <pageMargins left="0.70866141732283472" right="0.70866141732283472" top="0.74803149606299213" bottom="0.74803149606299213" header="0.31496062992125984" footer="0.31496062992125984"/>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7912b74-821a-4119-aad9-e1c9b233eb5e">
      <UserInfo>
        <DisplayName>Jorge Leonardo Rodríguez Corrales</DisplayName>
        <AccountId>503</AccountId>
        <AccountType/>
      </UserInfo>
    </SharedWithUsers>
    <Categoría_x0020_POP1 xmlns="a7912b74-821a-4119-aad9-e1c9b233eb5e">Carnica</Categoría_x0020_POP1>
    <Subcategoría_x0020_Planes_x0020_POP xmlns="a7912b74-821a-4119-aad9-e1c9b233eb5e">Resumen Ejecutivo</Subcategoría_x0020_Planes_x0020_POP>
    <VariationsItemGroupID xmlns="http://schemas.microsoft.com/sharepoint/v3">1c3aab9e-60ef-464c-80fa-f765eaf768dd</VariationsItemGroupID>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9B0C05D9FB6D443B2B3FB850B8E4652" ma:contentTypeVersion="5" ma:contentTypeDescription="Crear nuevo documento." ma:contentTypeScope="" ma:versionID="d5bed7b93273edf15d24a92f0559d6d6">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46b31edc1567121b54889e76c18a3d8"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Subcategoría_x0020_Planes_x0020_POP"/>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restriction>
      </xsd:simpleType>
    </xsd:element>
    <xsd:element name="Subcategoría_x0020_Planes_x0020_POP" ma:index="9" ma:displayName="Subcategoría Planes POP" ma:format="Dropdown" ma:internalName="Subcategor_x00ed_a_x0020_Planes_x0020_POP">
      <xsd:simpleType>
        <xsd:restriction base="dms:Choice">
          <xsd:enumeration value="Antioquia"/>
          <xsd:enumeration value="Antioquia, Eje Cafetero y Valle del Cauca"/>
          <xsd:enumeration value="Boletín de Prensa"/>
          <xsd:enumeration value="Boletín de seguimiento"/>
          <xsd:enumeration value="Boyacá"/>
          <xsd:enumeration value="Nariño y Cauca"/>
          <xsd:enumeration value="Cundinamarca"/>
          <xsd:enumeration value="Eje Cafetero - Valle del Cauca"/>
          <xsd:enumeration value="Región Altiplano Cundiboyacense"/>
          <xsd:enumeration value="Región Amazonía"/>
          <xsd:enumeration value="Región Andina"/>
          <xsd:enumeration value="Región Antioquia"/>
          <xsd:enumeration value="Región Boyacá"/>
          <xsd:enumeration value="Región Caribe Húmedo"/>
          <xsd:enumeration value="Región Caribe Seco"/>
          <xsd:enumeration value="Región Cauca y Nariño"/>
          <xsd:enumeration value="Región Centro Sur"/>
          <xsd:enumeration value="Región Costa Pacífica"/>
          <xsd:enumeration value="Región Cundinamarca y Bogotá"/>
          <xsd:enumeration value="Región Magdalena Medio"/>
          <xsd:enumeration value="Región Nororiente"/>
          <xsd:enumeration value="Región Norte y Oriente de Antioquia"/>
          <xsd:enumeration value="Región Oriente (Santanderes)"/>
          <xsd:enumeration value="Región Orinoquía"/>
          <xsd:enumeration value="Región Suroccidente"/>
          <xsd:enumeration value="Región Suroriente"/>
          <xsd:enumeration value="Región Tolima, Valle y Caldas"/>
          <xsd:enumeration value="Resumen Ejecutivo"/>
          <xsd:enumeration value="Santander y Norte de Santander"/>
          <xsd:enumeration value="Tolima, Valle del Cauca y Caldas"/>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B62D51-8C46-4F14-BE82-A9AE9FE657B9}"/>
</file>

<file path=customXml/itemProps2.xml><?xml version="1.0" encoding="utf-8"?>
<ds:datastoreItem xmlns:ds="http://schemas.openxmlformats.org/officeDocument/2006/customXml" ds:itemID="{30184A3D-315A-4592-B4D8-5032ED3538DA}"/>
</file>

<file path=customXml/itemProps3.xml><?xml version="1.0" encoding="utf-8"?>
<ds:datastoreItem xmlns:ds="http://schemas.openxmlformats.org/officeDocument/2006/customXml" ds:itemID="{5CEFF474-60DA-49BA-B6ED-2DED15525BB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Herramienta de costos</dc:title>
  <dc:subject/>
  <dc:creator>Usuario</dc:creator>
  <cp:keywords/>
  <dc:description/>
  <cp:lastModifiedBy>Fidel Antonio Londoño Stipanovic</cp:lastModifiedBy>
  <cp:revision/>
  <dcterms:created xsi:type="dcterms:W3CDTF">2022-06-30T23:12:54Z</dcterms:created>
  <dcterms:modified xsi:type="dcterms:W3CDTF">2023-01-17T20:29:22Z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0x01010029B0C05D9FB6D443B2B3FB850B8E4652</vt:lpwstr>
  </property>
  <property fmtid="{D5CDD505-2E9C-101B-9397-08002B2CF9AE}" pid="3" name="MediaServiceImageTags">
    <vt:lpwstr/>
  </property>
</Properties>
</file>