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11.xml" ContentType="application/vnd.openxmlformats-officedocument.drawing+xml"/>
  <Override PartName="/xl/worksheets/sheet11.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20.xml" ContentType="application/vnd.openxmlformats-officedocument.spreadsheetml.worksheet+xml"/>
  <Override PartName="/xl/worksheets/sheet22.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5.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custom.xml" ContentType="application/vnd.openxmlformats-officedocument.custom-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Password="8F3F" lockStructure="1" lockWindows="1"/>
  <bookViews>
    <workbookView xWindow="-120" yWindow="-120" windowWidth="20730" windowHeight="11160" tabRatio="742" firstSheet="3" activeTab="6"/>
  </bookViews>
  <sheets>
    <sheet name="Instructivo" sheetId="31" r:id="rId1"/>
    <sheet name="Directrices  Generales " sheetId="32" r:id="rId2"/>
    <sheet name="Glosario Categoría Costos" sheetId="30" r:id="rId3"/>
    <sheet name="Categorias de Costos lácteo " sheetId="1" r:id="rId4"/>
    <sheet name="Portafolio_Cadena_Láctea" sheetId="4" r:id="rId5"/>
    <sheet name="Estimación de Costos Anualizada" sheetId="27" r:id="rId6"/>
    <sheet name="Estimación a Corto, Med y Largo" sheetId="28" r:id="rId7"/>
    <sheet name="P1" sheetId="3" r:id="rId8"/>
    <sheet name="P2" sheetId="8" r:id="rId9"/>
    <sheet name="P3" sheetId="9" r:id="rId10"/>
    <sheet name="P4" sheetId="11" r:id="rId11"/>
    <sheet name="P5" sheetId="12" r:id="rId12"/>
    <sheet name="P6" sheetId="13" r:id="rId13"/>
    <sheet name="P7" sheetId="14" r:id="rId14"/>
    <sheet name="P8" sheetId="15" r:id="rId15"/>
    <sheet name="P9" sheetId="20" r:id="rId16"/>
    <sheet name="P10" sheetId="21" r:id="rId17"/>
    <sheet name="P11" sheetId="29" r:id="rId18"/>
    <sheet name="P12" sheetId="22" r:id="rId19"/>
    <sheet name="P13" sheetId="23" r:id="rId20"/>
    <sheet name="P14" sheetId="24" r:id="rId21"/>
    <sheet name="P15" sheetId="16" r:id="rId22"/>
    <sheet name="P16" sheetId="17" r:id="rId23"/>
    <sheet name="P17" sheetId="18" r:id="rId24"/>
    <sheet name="P18" sheetId="19"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#N/A</definedName>
    <definedName name="\b">#N/A</definedName>
    <definedName name="_____hhh444" localSheetId="3">#REF!</definedName>
    <definedName name="_____hhh444" localSheetId="1">#REF!</definedName>
    <definedName name="_____hhh444" localSheetId="6">#REF!</definedName>
    <definedName name="_____hhh444" localSheetId="5">#REF!</definedName>
    <definedName name="_____hhh444" localSheetId="2">#REF!</definedName>
    <definedName name="_____hhh444" localSheetId="17">#REF!</definedName>
    <definedName name="_____hhh444" localSheetId="18">#REF!</definedName>
    <definedName name="_____hhh444" localSheetId="19">#REF!</definedName>
    <definedName name="_____hhh444" localSheetId="20">#REF!</definedName>
    <definedName name="_____hhh444" localSheetId="4">#REF!</definedName>
    <definedName name="_____hhh444">#REF!</definedName>
    <definedName name="___hhh444" localSheetId="3">#REF!</definedName>
    <definedName name="___hhh444" localSheetId="1">#REF!</definedName>
    <definedName name="___hhh444" localSheetId="2">#REF!</definedName>
    <definedName name="___hhh444" localSheetId="17">#REF!</definedName>
    <definedName name="___hhh444" localSheetId="18">#REF!</definedName>
    <definedName name="___hhh444" localSheetId="19">#REF!</definedName>
    <definedName name="___hhh444" localSheetId="20">#REF!</definedName>
    <definedName name="___hhh444" localSheetId="4">#REF!</definedName>
    <definedName name="___hhh444">#REF!</definedName>
    <definedName name="_xlnm._FilterDatabase" localSheetId="6" hidden="1">'Estimación a Corto, Med y Largo'!$A$5:$BN$71</definedName>
    <definedName name="_xlnm._FilterDatabase" localSheetId="5" hidden="1">'Estimación de Costos Anualizada'!$A$4:$CF$69</definedName>
    <definedName name="_xlnm._FilterDatabase" localSheetId="4" hidden="1">Portafolio_Cadena_Láctea!$A$1:$AA$263</definedName>
    <definedName name="_hhh444" localSheetId="3">#REF!</definedName>
    <definedName name="_hhh444" localSheetId="1">#REF!</definedName>
    <definedName name="_hhh444" localSheetId="6">#REF!</definedName>
    <definedName name="_hhh444" localSheetId="5">#REF!</definedName>
    <definedName name="_hhh444" localSheetId="2">#REF!</definedName>
    <definedName name="_hhh444" localSheetId="17">#REF!</definedName>
    <definedName name="_hhh444" localSheetId="18">#REF!</definedName>
    <definedName name="_hhh444" localSheetId="19">#REF!</definedName>
    <definedName name="_hhh444" localSheetId="20">#REF!</definedName>
    <definedName name="_hhh444" localSheetId="4">#REF!</definedName>
    <definedName name="_hhh444">#REF!</definedName>
    <definedName name="A_impresión_IM" localSheetId="2">#REF!</definedName>
    <definedName name="A_impresión_IM" localSheetId="4">#REF!</definedName>
    <definedName name="A_impresión_IM">#REF!</definedName>
    <definedName name="aaa" localSheetId="2">#REF!</definedName>
    <definedName name="aaa" localSheetId="4">#REF!</definedName>
    <definedName name="aaa">#REF!</definedName>
    <definedName name="abuela" localSheetId="2">#REF!</definedName>
    <definedName name="abuela" localSheetId="4">#REF!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#REF!</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3">#REF!</definedName>
    <definedName name="centro" localSheetId="1">#REF!</definedName>
    <definedName name="centro" localSheetId="6">#REF!</definedName>
    <definedName name="centro" localSheetId="5">#REF!</definedName>
    <definedName name="centro" localSheetId="2">#REF!</definedName>
    <definedName name="centro" localSheetId="17">#REF!</definedName>
    <definedName name="centro" localSheetId="18">#REF!</definedName>
    <definedName name="centro" localSheetId="19">#REF!</definedName>
    <definedName name="centro" localSheetId="20">#REF!</definedName>
    <definedName name="centro" localSheetId="4">#REF!</definedName>
    <definedName name="centro">#REF!</definedName>
    <definedName name="contestar" localSheetId="3">#REF!</definedName>
    <definedName name="contestar" localSheetId="1">#REF!</definedName>
    <definedName name="contestar" localSheetId="2">#REF!</definedName>
    <definedName name="contestar" localSheetId="17">#REF!</definedName>
    <definedName name="contestar" localSheetId="18">#REF!</definedName>
    <definedName name="contestar" localSheetId="19">#REF!</definedName>
    <definedName name="contestar" localSheetId="20">#REF!</definedName>
    <definedName name="contestar" localSheetId="4">#REF!</definedName>
    <definedName name="contestar">#REF!</definedName>
    <definedName name="cuadro2a" localSheetId="3">#REF!</definedName>
    <definedName name="cuadro2a" localSheetId="1">#REF!</definedName>
    <definedName name="cuadro2a" localSheetId="2">#REF!</definedName>
    <definedName name="cuadro2a" localSheetId="17">#REF!</definedName>
    <definedName name="cuadro2a" localSheetId="18">#REF!</definedName>
    <definedName name="cuadro2a" localSheetId="19">#REF!</definedName>
    <definedName name="cuadro2a" localSheetId="20">#REF!</definedName>
    <definedName name="cuadro2a" localSheetId="4">#REF!</definedName>
    <definedName name="cuadro2a">#REF!</definedName>
    <definedName name="CULTIVOS">[1]Hoja1!$AK$1:$AK$99</definedName>
    <definedName name="desconocido" localSheetId="3">#REF!</definedName>
    <definedName name="desconocido" localSheetId="1">#REF!</definedName>
    <definedName name="desconocido" localSheetId="6">#REF!</definedName>
    <definedName name="desconocido" localSheetId="5">#REF!</definedName>
    <definedName name="desconocido" localSheetId="2">#REF!</definedName>
    <definedName name="desconocido" localSheetId="17">#REF!</definedName>
    <definedName name="desconocido" localSheetId="18">#REF!</definedName>
    <definedName name="desconocido" localSheetId="19">#REF!</definedName>
    <definedName name="desconocido" localSheetId="20">#REF!</definedName>
    <definedName name="desconocido" localSheetId="4">#REF!</definedName>
    <definedName name="desconocido">#REF!</definedName>
    <definedName name="Desespero" localSheetId="3">#REF!</definedName>
    <definedName name="Desespero" localSheetId="1">#REF!</definedName>
    <definedName name="Desespero" localSheetId="2">#REF!</definedName>
    <definedName name="Desespero" localSheetId="17">#REF!</definedName>
    <definedName name="Desespero" localSheetId="18">#REF!</definedName>
    <definedName name="Desespero" localSheetId="19">#REF!</definedName>
    <definedName name="Desespero" localSheetId="20">#REF!</definedName>
    <definedName name="Desespero" localSheetId="4">#REF!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6">#REF!</definedName>
    <definedName name="Extraordinario" localSheetId="5">#REF!</definedName>
    <definedName name="Extraordinario" localSheetId="2">#REF!</definedName>
    <definedName name="Extraordinario" localSheetId="17">#REF!</definedName>
    <definedName name="Extraordinario" localSheetId="18">#REF!</definedName>
    <definedName name="Extraordinario" localSheetId="19">#REF!</definedName>
    <definedName name="Extraordinario" localSheetId="20">#REF!</definedName>
    <definedName name="Extraordinario" localSheetId="4">#REF!</definedName>
    <definedName name="Extraordinario">#REF!</definedName>
    <definedName name="FECHA" localSheetId="3">#REF!</definedName>
    <definedName name="FECHA" localSheetId="1">#REF!</definedName>
    <definedName name="FECHA" localSheetId="2">#REF!</definedName>
    <definedName name="FECHA" localSheetId="17">#REF!</definedName>
    <definedName name="FECHA" localSheetId="18">#REF!</definedName>
    <definedName name="FECHA" localSheetId="19">#REF!</definedName>
    <definedName name="FECHA" localSheetId="20">#REF!</definedName>
    <definedName name="FECHA" localSheetId="4">#REF!</definedName>
    <definedName name="FECHA">#REF!</definedName>
    <definedName name="ffffddddd" localSheetId="3">#REF!</definedName>
    <definedName name="ffffddddd" localSheetId="1">#REF!</definedName>
    <definedName name="ffffddddd" localSheetId="2">#REF!</definedName>
    <definedName name="ffffddddd" localSheetId="17">#REF!</definedName>
    <definedName name="ffffddddd" localSheetId="18">#REF!</definedName>
    <definedName name="ffffddddd" localSheetId="19">#REF!</definedName>
    <definedName name="ffffddddd" localSheetId="20">#REF!</definedName>
    <definedName name="ffffddddd" localSheetId="4">#REF!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3">[2]Datos!$E$4:$E$6</definedName>
    <definedName name="Lista1" localSheetId="1">[3]Datos!$E$4:$E$6</definedName>
    <definedName name="Lista1" localSheetId="0">[4]Datos!$E$4:$E$6</definedName>
    <definedName name="Lista1" localSheetId="17">[2]Datos!$E$4:$E$6</definedName>
    <definedName name="Lista1" localSheetId="20">[2]Datos!$E$4:$E$6</definedName>
    <definedName name="Lista1" localSheetId="4">[3]Datos!$E$4:$E$6</definedName>
    <definedName name="Lista1">[2]Datos!$E$4:$E$6</definedName>
    <definedName name="Logico">[5]Configuracion!$A$4:$A$5</definedName>
    <definedName name="Mamada" localSheetId="3">#REF!</definedName>
    <definedName name="Mamada" localSheetId="1">#REF!</definedName>
    <definedName name="Mamada" localSheetId="6">#REF!</definedName>
    <definedName name="Mamada" localSheetId="5">#REF!</definedName>
    <definedName name="Mamada" localSheetId="2">#REF!</definedName>
    <definedName name="Mamada" localSheetId="17">#REF!</definedName>
    <definedName name="Mamada" localSheetId="18">#REF!</definedName>
    <definedName name="Mamada" localSheetId="19">#REF!</definedName>
    <definedName name="Mamada" localSheetId="20">#REF!</definedName>
    <definedName name="Mamada" localSheetId="4">#REF!</definedName>
    <definedName name="Mamada">#REF!</definedName>
    <definedName name="manera" localSheetId="3">#REF!</definedName>
    <definedName name="manera" localSheetId="1">#REF!</definedName>
    <definedName name="manera" localSheetId="2">#REF!</definedName>
    <definedName name="manera" localSheetId="17">#REF!</definedName>
    <definedName name="manera" localSheetId="18">#REF!</definedName>
    <definedName name="manera" localSheetId="19">#REF!</definedName>
    <definedName name="manera" localSheetId="20">#REF!</definedName>
    <definedName name="manera" localSheetId="4">#REF!</definedName>
    <definedName name="manera">#REF!</definedName>
    <definedName name="marina" localSheetId="3">#REF!</definedName>
    <definedName name="marina" localSheetId="1">#REF!</definedName>
    <definedName name="marina" localSheetId="2">#REF!</definedName>
    <definedName name="marina" localSheetId="17">#REF!</definedName>
    <definedName name="marina" localSheetId="18">#REF!</definedName>
    <definedName name="marina" localSheetId="19">#REF!</definedName>
    <definedName name="marina" localSheetId="20">#REF!</definedName>
    <definedName name="marina" localSheetId="4">#REF!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4">[6]COD!$A$1:$B$275</definedName>
    <definedName name="paises">[7]COD!$A$1:$B$275</definedName>
    <definedName name="pasara" localSheetId="3">#REF!</definedName>
    <definedName name="pasara" localSheetId="1">#REF!</definedName>
    <definedName name="pasara" localSheetId="6">#REF!</definedName>
    <definedName name="pasara" localSheetId="5">#REF!</definedName>
    <definedName name="pasara" localSheetId="2">#REF!</definedName>
    <definedName name="pasara" localSheetId="17">#REF!</definedName>
    <definedName name="pasara" localSheetId="18">#REF!</definedName>
    <definedName name="pasara" localSheetId="19">#REF!</definedName>
    <definedName name="pasara" localSheetId="20">#REF!</definedName>
    <definedName name="pasara" localSheetId="4">#REF!</definedName>
    <definedName name="pasara">#REF!</definedName>
    <definedName name="pastor" localSheetId="3">#REF!</definedName>
    <definedName name="pastor" localSheetId="1">#REF!</definedName>
    <definedName name="pastor" localSheetId="2">#REF!</definedName>
    <definedName name="pastor" localSheetId="17">#REF!</definedName>
    <definedName name="pastor" localSheetId="18">#REF!</definedName>
    <definedName name="pastor" localSheetId="19">#REF!</definedName>
    <definedName name="pastor" localSheetId="20">#REF!</definedName>
    <definedName name="pastor" localSheetId="4">#REF!</definedName>
    <definedName name="pastor">#REF!</definedName>
    <definedName name="pensando" localSheetId="3">#REF!</definedName>
    <definedName name="pensando" localSheetId="1">#REF!</definedName>
    <definedName name="pensando" localSheetId="2">#REF!</definedName>
    <definedName name="pensando" localSheetId="17">#REF!</definedName>
    <definedName name="pensando" localSheetId="18">#REF!</definedName>
    <definedName name="pensando" localSheetId="19">#REF!</definedName>
    <definedName name="pensando" localSheetId="20">#REF!</definedName>
    <definedName name="pensando" localSheetId="4">#REF!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 localSheetId="4">#REF!</definedName>
    <definedName name="PRODUCCION">#REF!</definedName>
    <definedName name="PROGRAMAS" localSheetId="4">'[8]SECTORES,PROGRAMAS Y SUBPROGRAM'!$C$4:$D$166</definedName>
    <definedName name="PROGRAMAS">'[9]SECTORES,PROGRAMAS Y SUBPROGRAM'!$C$4:$D$166</definedName>
    <definedName name="puntilla" localSheetId="6">#REF!</definedName>
    <definedName name="puntilla" localSheetId="5">#REF!</definedName>
    <definedName name="puntilla" localSheetId="2">#REF!</definedName>
    <definedName name="puntilla" localSheetId="17">#REF!</definedName>
    <definedName name="puntilla" localSheetId="18">#REF!</definedName>
    <definedName name="puntilla" localSheetId="19">#REF!</definedName>
    <definedName name="puntilla" localSheetId="20">#REF!</definedName>
    <definedName name="puntilla" localSheetId="4">#REF!</definedName>
    <definedName name="puntilla">#REF!</definedName>
    <definedName name="quizas" localSheetId="2">#REF!</definedName>
    <definedName name="quizas" localSheetId="17">#REF!</definedName>
    <definedName name="quizas" localSheetId="18">#REF!</definedName>
    <definedName name="quizas" localSheetId="19">#REF!</definedName>
    <definedName name="quizas" localSheetId="20">#REF!</definedName>
    <definedName name="quizas" localSheetId="4">#REF!</definedName>
    <definedName name="quizas">#REF!</definedName>
    <definedName name="Rama1" localSheetId="2">#REF!</definedName>
    <definedName name="Rama1" localSheetId="17">#REF!</definedName>
    <definedName name="Rama1" localSheetId="18">#REF!</definedName>
    <definedName name="Rama1" localSheetId="19">#REF!</definedName>
    <definedName name="Rama1" localSheetId="20">#REF!</definedName>
    <definedName name="Rama1" localSheetId="4">#REF!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6">#REF!</definedName>
    <definedName name="RENDIMIENTO" localSheetId="5">#REF!</definedName>
    <definedName name="RENDIMIENTO" localSheetId="2">#REF!</definedName>
    <definedName name="RENDIMIENTO" localSheetId="17">#REF!</definedName>
    <definedName name="RENDIMIENTO" localSheetId="18">#REF!</definedName>
    <definedName name="RENDIMIENTO" localSheetId="19">#REF!</definedName>
    <definedName name="RENDIMIENTO" localSheetId="20">#REF!</definedName>
    <definedName name="RENDIMIENTO" localSheetId="4">#REF!</definedName>
    <definedName name="RENDIMIENTO">#REF!</definedName>
    <definedName name="Ruta_Critica_1" localSheetId="2">#REF!</definedName>
    <definedName name="Ruta_Critica_1" localSheetId="17">#REF!</definedName>
    <definedName name="Ruta_Critica_1" localSheetId="4">#REF!</definedName>
    <definedName name="Ruta_Critica_1">#REF!</definedName>
    <definedName name="santa" localSheetId="3">#REF!</definedName>
    <definedName name="santa" localSheetId="1">#REF!</definedName>
    <definedName name="santa" localSheetId="2">#REF!</definedName>
    <definedName name="santa" localSheetId="17">#REF!</definedName>
    <definedName name="santa" localSheetId="18">#REF!</definedName>
    <definedName name="santa" localSheetId="19">#REF!</definedName>
    <definedName name="santa" localSheetId="20">#REF!</definedName>
    <definedName name="santa" localSheetId="4">#REF!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6">#REF!</definedName>
    <definedName name="Sector3" localSheetId="5">#REF!</definedName>
    <definedName name="Sector3" localSheetId="2">#REF!</definedName>
    <definedName name="Sector3" localSheetId="17">#REF!</definedName>
    <definedName name="Sector3" localSheetId="18">#REF!</definedName>
    <definedName name="Sector3" localSheetId="19">#REF!</definedName>
    <definedName name="Sector3" localSheetId="20">#REF!</definedName>
    <definedName name="Sector3" localSheetId="4">#REF!</definedName>
    <definedName name="Sector3">#REF!</definedName>
    <definedName name="Sector4" localSheetId="3">#REF!</definedName>
    <definedName name="Sector4" localSheetId="1">#REF!</definedName>
    <definedName name="Sector4" localSheetId="2">#REF!</definedName>
    <definedName name="Sector4" localSheetId="17">#REF!</definedName>
    <definedName name="Sector4" localSheetId="18">#REF!</definedName>
    <definedName name="Sector4" localSheetId="19">#REF!</definedName>
    <definedName name="Sector4" localSheetId="20">#REF!</definedName>
    <definedName name="Sector4" localSheetId="4">#REF!</definedName>
    <definedName name="Sector4">#REF!</definedName>
    <definedName name="SECTORES">[9]!SECTOR[[#All],[Codigo ]:[Nombre ]]</definedName>
    <definedName name="septico" localSheetId="3">#REF!</definedName>
    <definedName name="septico" localSheetId="1">#REF!</definedName>
    <definedName name="septico" localSheetId="6">#REF!</definedName>
    <definedName name="septico" localSheetId="5">#REF!</definedName>
    <definedName name="septico" localSheetId="2">#REF!</definedName>
    <definedName name="septico" localSheetId="17">#REF!</definedName>
    <definedName name="septico" localSheetId="18">#REF!</definedName>
    <definedName name="septico" localSheetId="19">#REF!</definedName>
    <definedName name="septico" localSheetId="20">#REF!</definedName>
    <definedName name="septico" localSheetId="4">#REF!</definedName>
    <definedName name="septico">#REF!</definedName>
    <definedName name="suerte" localSheetId="2">#REF!</definedName>
    <definedName name="suerte" localSheetId="17">#REF!</definedName>
    <definedName name="suerte" localSheetId="18">#REF!</definedName>
    <definedName name="suerte" localSheetId="19">#REF!</definedName>
    <definedName name="suerte" localSheetId="20">#REF!</definedName>
    <definedName name="suerte" localSheetId="4">#REF!</definedName>
    <definedName name="suerte">#REF!</definedName>
    <definedName name="Tabla_asignación" localSheetId="2">#REF!</definedName>
    <definedName name="Tabla_asignación" localSheetId="4">#REF!</definedName>
    <definedName name="Tabla_asignación">#REF!</definedName>
    <definedName name="Tabla_Recursos" localSheetId="2">#REF!</definedName>
    <definedName name="Tabla_Recursos">#REF!</definedName>
    <definedName name="tendre" localSheetId="2">#REF!</definedName>
    <definedName name="tendre" localSheetId="17">#REF!</definedName>
    <definedName name="tendre" localSheetId="18">#REF!</definedName>
    <definedName name="tendre" localSheetId="19">#REF!</definedName>
    <definedName name="tendre" localSheetId="20">#REF!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3">#REF!,#REF!</definedName>
    <definedName name="_xlnm.Print_Titles" localSheetId="1">#REF!,#REF!</definedName>
    <definedName name="_xlnm.Print_Titles" localSheetId="6">#REF!,#REF!</definedName>
    <definedName name="_xlnm.Print_Titles" localSheetId="5">#REF!,#REF!</definedName>
    <definedName name="_xlnm.Print_Titles" localSheetId="2">#REF!,#REF!</definedName>
    <definedName name="_xlnm.Print_Titles" localSheetId="17">#REF!,#REF!</definedName>
    <definedName name="_xlnm.Print_Titles" localSheetId="18">#REF!,#REF!</definedName>
    <definedName name="_xlnm.Print_Titles" localSheetId="19">#REF!,#REF!</definedName>
    <definedName name="_xlnm.Print_Titles" localSheetId="20">#REF!,#REF!</definedName>
    <definedName name="_xlnm.Print_Titles" localSheetId="4">#REF!,#REF!</definedName>
    <definedName name="_xlnm.Print_Titles">#REF!,#REF!</definedName>
    <definedName name="Ton">[13]Parámetros!$B$4</definedName>
    <definedName name="Totaldepto" localSheetId="3">#REF!</definedName>
    <definedName name="Totaldepto" localSheetId="1">#REF!</definedName>
    <definedName name="Totaldepto" localSheetId="6">#REF!</definedName>
    <definedName name="Totaldepto" localSheetId="5">#REF!</definedName>
    <definedName name="Totaldepto" localSheetId="2">#REF!</definedName>
    <definedName name="Totaldepto" localSheetId="17">#REF!</definedName>
    <definedName name="Totaldepto" localSheetId="18">#REF!</definedName>
    <definedName name="Totaldepto" localSheetId="19">#REF!</definedName>
    <definedName name="Totaldepto" localSheetId="20">#REF!</definedName>
    <definedName name="Totaldepto" localSheetId="4">#REF!</definedName>
    <definedName name="Totaldepto">#REF!</definedName>
    <definedName name="Transaccion1" localSheetId="3">#REF!</definedName>
    <definedName name="Transaccion1" localSheetId="1">#REF!</definedName>
    <definedName name="Transaccion1" localSheetId="2">#REF!</definedName>
    <definedName name="Transaccion1" localSheetId="17">#REF!</definedName>
    <definedName name="Transaccion1" localSheetId="18">#REF!</definedName>
    <definedName name="Transaccion1" localSheetId="19">#REF!</definedName>
    <definedName name="Transaccion1" localSheetId="20">#REF!</definedName>
    <definedName name="Transaccion1" localSheetId="4">#REF!</definedName>
    <definedName name="Transaccion1">#REF!</definedName>
    <definedName name="Valoracion1" localSheetId="3">#REF!</definedName>
    <definedName name="Valoracion1" localSheetId="1">#REF!</definedName>
    <definedName name="Valoracion1" localSheetId="2">#REF!</definedName>
    <definedName name="Valoracion1" localSheetId="17">#REF!</definedName>
    <definedName name="Valoracion1" localSheetId="18">#REF!</definedName>
    <definedName name="Valoracion1" localSheetId="19">#REF!</definedName>
    <definedName name="Valoracion1" localSheetId="20">#REF!</definedName>
    <definedName name="Valoracion1" localSheetId="4">#REF!</definedName>
    <definedName name="Valoracion1">#REF!</definedName>
    <definedName name="vives" localSheetId="2">#REF!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3" i="28" l="1"/>
  <c r="C63" i="28"/>
  <c r="F60" i="27"/>
  <c r="G60" i="27"/>
  <c r="H60" i="27"/>
  <c r="I60" i="27"/>
  <c r="J60" i="27"/>
  <c r="K60" i="27"/>
  <c r="L60" i="27"/>
  <c r="M60" i="27"/>
  <c r="N60" i="27"/>
  <c r="O60" i="27"/>
  <c r="P60" i="27"/>
  <c r="Q60" i="27"/>
  <c r="R60" i="27"/>
  <c r="S60" i="27"/>
  <c r="T60" i="27"/>
  <c r="U60" i="27"/>
  <c r="D60" i="27"/>
  <c r="E60" i="27"/>
  <c r="C60" i="27"/>
  <c r="U69" i="27"/>
  <c r="H55" i="24" l="1"/>
  <c r="A11" i="28" l="1"/>
  <c r="D10" i="28" l="1"/>
  <c r="Y8" i="8"/>
  <c r="E8" i="8"/>
  <c r="H29" i="12"/>
  <c r="H77" i="29"/>
  <c r="H31" i="19"/>
  <c r="H30" i="19"/>
  <c r="Y11" i="21"/>
  <c r="Y10" i="15"/>
  <c r="Y11" i="13"/>
  <c r="Y12" i="11"/>
  <c r="Y9" i="9"/>
  <c r="Y11" i="3"/>
  <c r="H31" i="18"/>
  <c r="H30" i="18"/>
  <c r="C7" i="28"/>
  <c r="C8" i="28"/>
  <c r="C9" i="28"/>
  <c r="C13" i="28"/>
  <c r="C14" i="28"/>
  <c r="C15" i="28"/>
  <c r="C16" i="28"/>
  <c r="C17" i="28"/>
  <c r="C18" i="28"/>
  <c r="C19" i="28"/>
  <c r="C25" i="28"/>
  <c r="C26" i="28"/>
  <c r="C27" i="28"/>
  <c r="C28" i="28"/>
  <c r="C29" i="28"/>
  <c r="C30" i="28"/>
  <c r="C31" i="28"/>
  <c r="C32" i="28"/>
  <c r="C33" i="28"/>
  <c r="C34" i="28"/>
  <c r="C35" i="28"/>
  <c r="C36" i="28"/>
  <c r="C37" i="28"/>
  <c r="C38" i="28"/>
  <c r="C39" i="28"/>
  <c r="C40" i="28"/>
  <c r="C41" i="28"/>
  <c r="C43" i="28"/>
  <c r="C44" i="28"/>
  <c r="C46" i="28"/>
  <c r="C47" i="28"/>
  <c r="C48" i="28"/>
  <c r="C49" i="28"/>
  <c r="C50" i="28"/>
  <c r="C51" i="28"/>
  <c r="C52" i="28"/>
  <c r="C53" i="28"/>
  <c r="C54" i="28"/>
  <c r="C55" i="28"/>
  <c r="C56" i="28"/>
  <c r="C57" i="28"/>
  <c r="C62" i="28"/>
  <c r="C6" i="28"/>
  <c r="B10" i="3" l="1"/>
  <c r="H27" i="18" l="1"/>
  <c r="P8" i="8" l="1"/>
  <c r="E23" i="18"/>
  <c r="H23" i="18" s="1"/>
  <c r="E27" i="19"/>
  <c r="E26" i="19"/>
  <c r="E25" i="19"/>
  <c r="E24" i="19"/>
  <c r="E74" i="24"/>
  <c r="E73" i="24"/>
  <c r="E56" i="24"/>
  <c r="E57" i="24"/>
  <c r="H57" i="24" s="1"/>
  <c r="E55" i="24"/>
  <c r="E52" i="24"/>
  <c r="E76" i="12"/>
  <c r="E22" i="20"/>
  <c r="E67" i="29"/>
  <c r="H67" i="29" s="1"/>
  <c r="E65" i="29"/>
  <c r="H65" i="29" s="1"/>
  <c r="E60" i="29"/>
  <c r="E27" i="29"/>
  <c r="E25" i="29"/>
  <c r="H25" i="29" s="1"/>
  <c r="H56" i="24"/>
  <c r="H578" i="1"/>
  <c r="E49" i="23" s="1"/>
  <c r="H49" i="23" s="1"/>
  <c r="H29" i="23"/>
  <c r="E70" i="29"/>
  <c r="H70" i="29" s="1"/>
  <c r="B43" i="27"/>
  <c r="C43" i="27"/>
  <c r="G43" i="27"/>
  <c r="H43" i="27"/>
  <c r="I43" i="27"/>
  <c r="J43" i="27"/>
  <c r="L43" i="27"/>
  <c r="M43" i="27"/>
  <c r="N43" i="27"/>
  <c r="O43" i="27"/>
  <c r="Q43" i="27"/>
  <c r="R43" i="27"/>
  <c r="S43" i="27"/>
  <c r="T43" i="27"/>
  <c r="B44" i="27"/>
  <c r="C44" i="27"/>
  <c r="B42" i="27"/>
  <c r="G42" i="27"/>
  <c r="H42" i="27"/>
  <c r="J42" i="27"/>
  <c r="K42" i="27"/>
  <c r="M42" i="27"/>
  <c r="N42" i="27"/>
  <c r="P42" i="27"/>
  <c r="Q42" i="27"/>
  <c r="S42" i="27"/>
  <c r="T42" i="27"/>
  <c r="J155" i="4"/>
  <c r="J162" i="4"/>
  <c r="J167" i="4"/>
  <c r="I75" i="29"/>
  <c r="J75" i="29" s="1"/>
  <c r="K75" i="29" s="1"/>
  <c r="L75" i="29" s="1"/>
  <c r="M75" i="29" s="1"/>
  <c r="N75" i="29" s="1"/>
  <c r="O75" i="29" s="1"/>
  <c r="P75" i="29" s="1"/>
  <c r="Q75" i="29" s="1"/>
  <c r="R75" i="29" s="1"/>
  <c r="S75" i="29" s="1"/>
  <c r="T75" i="29" s="1"/>
  <c r="U75" i="29" s="1"/>
  <c r="V75" i="29" s="1"/>
  <c r="W75" i="29" s="1"/>
  <c r="X75" i="29" s="1"/>
  <c r="Y75" i="29" s="1"/>
  <c r="Z75" i="29" s="1"/>
  <c r="C60" i="29"/>
  <c r="H60" i="29" s="1"/>
  <c r="B52" i="29"/>
  <c r="B39" i="29"/>
  <c r="H27" i="29"/>
  <c r="H23" i="29"/>
  <c r="B14" i="29"/>
  <c r="E11" i="29"/>
  <c r="D11" i="29"/>
  <c r="E7" i="29"/>
  <c r="D7" i="29"/>
  <c r="D11" i="21" l="1"/>
  <c r="E11" i="21"/>
  <c r="F11" i="21"/>
  <c r="D11" i="20"/>
  <c r="E10" i="15"/>
  <c r="F10" i="15"/>
  <c r="D10" i="15"/>
  <c r="X7" i="13"/>
  <c r="X11" i="13"/>
  <c r="E12" i="11"/>
  <c r="F12" i="11"/>
  <c r="D12" i="11"/>
  <c r="E7" i="12"/>
  <c r="F7" i="12"/>
  <c r="D7" i="12"/>
  <c r="D12" i="12"/>
  <c r="E12" i="12"/>
  <c r="F12" i="12"/>
  <c r="B8" i="9"/>
  <c r="C62" i="27" l="1"/>
  <c r="D62" i="27"/>
  <c r="E62" i="27"/>
  <c r="F62" i="27"/>
  <c r="G62" i="27"/>
  <c r="H62" i="27"/>
  <c r="I62" i="27"/>
  <c r="J62" i="27"/>
  <c r="L62" i="27"/>
  <c r="M62" i="27"/>
  <c r="N62" i="27"/>
  <c r="O62" i="27"/>
  <c r="P62" i="27"/>
  <c r="Q62" i="27"/>
  <c r="R62" i="27"/>
  <c r="S62" i="27"/>
  <c r="T62" i="27"/>
  <c r="U62" i="27"/>
  <c r="C61" i="27"/>
  <c r="D61" i="27"/>
  <c r="F61" i="27"/>
  <c r="G61" i="27"/>
  <c r="I61" i="27"/>
  <c r="J61" i="27"/>
  <c r="L61" i="27"/>
  <c r="M61" i="27"/>
  <c r="O61" i="27"/>
  <c r="P61" i="27"/>
  <c r="R61" i="27"/>
  <c r="S61" i="27"/>
  <c r="U61" i="27"/>
  <c r="B59" i="27"/>
  <c r="G58" i="27"/>
  <c r="H58" i="27"/>
  <c r="J58" i="27"/>
  <c r="K58" i="27"/>
  <c r="M58" i="27"/>
  <c r="N58" i="27"/>
  <c r="P58" i="27"/>
  <c r="Q58" i="27"/>
  <c r="S58" i="27"/>
  <c r="T58" i="27"/>
  <c r="B53" i="27"/>
  <c r="C53" i="27"/>
  <c r="D53" i="27"/>
  <c r="B54" i="27"/>
  <c r="C54" i="27"/>
  <c r="O54" i="27"/>
  <c r="Q54" i="27"/>
  <c r="S54" i="27"/>
  <c r="U54" i="27"/>
  <c r="B55" i="27"/>
  <c r="C55" i="27"/>
  <c r="B56" i="27"/>
  <c r="C56" i="27"/>
  <c r="E56" i="27"/>
  <c r="G56" i="27"/>
  <c r="I56" i="27"/>
  <c r="K56" i="27"/>
  <c r="M56" i="27"/>
  <c r="O56" i="27"/>
  <c r="Q56" i="27"/>
  <c r="S56" i="27"/>
  <c r="U56" i="27"/>
  <c r="B52" i="27"/>
  <c r="C52" i="27"/>
  <c r="B50" i="27"/>
  <c r="C50" i="27"/>
  <c r="D50" i="27"/>
  <c r="B49" i="27"/>
  <c r="C49" i="27"/>
  <c r="B47" i="27"/>
  <c r="C47" i="27"/>
  <c r="D47" i="27"/>
  <c r="B46" i="27"/>
  <c r="D46" i="27"/>
  <c r="E46" i="27"/>
  <c r="G46" i="27"/>
  <c r="H46" i="27"/>
  <c r="J46" i="27"/>
  <c r="K46" i="27"/>
  <c r="M46" i="27"/>
  <c r="M45" i="27" s="1"/>
  <c r="N46" i="27"/>
  <c r="N45" i="27" s="1"/>
  <c r="P46" i="27"/>
  <c r="P45" i="27" s="1"/>
  <c r="Q46" i="27"/>
  <c r="Q45" i="27" s="1"/>
  <c r="S46" i="27"/>
  <c r="S45" i="27" s="1"/>
  <c r="T46" i="27"/>
  <c r="T45" i="27" s="1"/>
  <c r="B39" i="27"/>
  <c r="C39" i="27"/>
  <c r="B40" i="27"/>
  <c r="C40" i="27"/>
  <c r="D40" i="27"/>
  <c r="B38" i="27"/>
  <c r="C38" i="27"/>
  <c r="G35" i="27"/>
  <c r="H35" i="27"/>
  <c r="I35" i="27"/>
  <c r="J35" i="27"/>
  <c r="K35" i="27"/>
  <c r="L35" i="27"/>
  <c r="M35" i="27"/>
  <c r="N35" i="27"/>
  <c r="O35" i="27"/>
  <c r="P35" i="27"/>
  <c r="Q35" i="27"/>
  <c r="R35" i="27"/>
  <c r="S35" i="27"/>
  <c r="T35" i="27"/>
  <c r="U35" i="27"/>
  <c r="B36" i="27"/>
  <c r="C36" i="27"/>
  <c r="I36" i="27"/>
  <c r="K36" i="27"/>
  <c r="M36" i="27"/>
  <c r="N36" i="27"/>
  <c r="P36" i="27"/>
  <c r="Q36" i="27"/>
  <c r="S36" i="27"/>
  <c r="T36" i="27"/>
  <c r="B34" i="27"/>
  <c r="C34" i="27"/>
  <c r="B32" i="27"/>
  <c r="C32" i="27"/>
  <c r="B31" i="27"/>
  <c r="C31" i="27"/>
  <c r="I31" i="27"/>
  <c r="J31" i="27"/>
  <c r="L31" i="27"/>
  <c r="M31" i="27"/>
  <c r="O31" i="27"/>
  <c r="P31" i="27"/>
  <c r="R31" i="27"/>
  <c r="S31" i="27"/>
  <c r="U31" i="27"/>
  <c r="B29" i="27"/>
  <c r="B28" i="27" s="1"/>
  <c r="C29" i="27"/>
  <c r="C28" i="27" s="1"/>
  <c r="B26" i="27"/>
  <c r="U26" i="27"/>
  <c r="B27" i="27"/>
  <c r="U27" i="27"/>
  <c r="B25" i="27"/>
  <c r="U25" i="27"/>
  <c r="B21" i="27"/>
  <c r="C21" i="27"/>
  <c r="B22" i="27"/>
  <c r="C22" i="27"/>
  <c r="B23" i="27"/>
  <c r="C23" i="27"/>
  <c r="D23" i="27"/>
  <c r="B20" i="27"/>
  <c r="C20" i="27"/>
  <c r="B16" i="27"/>
  <c r="C16" i="27"/>
  <c r="B17" i="27"/>
  <c r="C17" i="27"/>
  <c r="B18" i="27"/>
  <c r="C18" i="27"/>
  <c r="D18" i="27"/>
  <c r="U18" i="27"/>
  <c r="B15" i="27"/>
  <c r="C15" i="27"/>
  <c r="B13" i="27"/>
  <c r="B12" i="27" s="1"/>
  <c r="C13" i="27"/>
  <c r="C12" i="27" s="1"/>
  <c r="B11" i="27"/>
  <c r="B10" i="27"/>
  <c r="B7" i="27"/>
  <c r="B8" i="27"/>
  <c r="B6" i="27"/>
  <c r="J258" i="4"/>
  <c r="J255" i="4"/>
  <c r="J247" i="4"/>
  <c r="J236" i="4"/>
  <c r="J232" i="4"/>
  <c r="J225" i="4"/>
  <c r="J219" i="4"/>
  <c r="J214" i="4"/>
  <c r="J210" i="4"/>
  <c r="J206" i="4"/>
  <c r="J203" i="4"/>
  <c r="J199" i="4"/>
  <c r="J195" i="4"/>
  <c r="J189" i="4"/>
  <c r="J183" i="4"/>
  <c r="J176" i="4"/>
  <c r="J174" i="4"/>
  <c r="J151" i="4"/>
  <c r="J146" i="4"/>
  <c r="J137" i="4"/>
  <c r="J135" i="4"/>
  <c r="J132" i="4"/>
  <c r="J128" i="4"/>
  <c r="J122" i="4"/>
  <c r="J117" i="4"/>
  <c r="J112" i="4"/>
  <c r="J107" i="4"/>
  <c r="J103" i="4"/>
  <c r="J96" i="4"/>
  <c r="J91" i="4"/>
  <c r="J85" i="4"/>
  <c r="J79" i="4"/>
  <c r="J75" i="4"/>
  <c r="J69" i="4"/>
  <c r="J59" i="4"/>
  <c r="J52" i="4"/>
  <c r="J46" i="4"/>
  <c r="J39" i="4"/>
  <c r="J33" i="4"/>
  <c r="J25" i="4"/>
  <c r="J18" i="4"/>
  <c r="J9" i="4"/>
  <c r="J2" i="4"/>
  <c r="B86" i="24"/>
  <c r="H74" i="24"/>
  <c r="H73" i="24"/>
  <c r="H52" i="24"/>
  <c r="B40" i="24"/>
  <c r="C34" i="24"/>
  <c r="C33" i="24"/>
  <c r="H26" i="24"/>
  <c r="F14" i="24"/>
  <c r="F8" i="24" s="1"/>
  <c r="E14" i="24"/>
  <c r="E8" i="24" s="1"/>
  <c r="D14" i="24"/>
  <c r="D8" i="24" s="1"/>
  <c r="B106" i="24"/>
  <c r="B63" i="24"/>
  <c r="B16" i="24"/>
  <c r="H45" i="23"/>
  <c r="H21" i="23"/>
  <c r="F11" i="23"/>
  <c r="E11" i="23"/>
  <c r="D11" i="23"/>
  <c r="B37" i="23"/>
  <c r="B13" i="23"/>
  <c r="F8" i="23"/>
  <c r="E8" i="23"/>
  <c r="D8" i="23"/>
  <c r="H46" i="22"/>
  <c r="H45" i="22"/>
  <c r="H44" i="22"/>
  <c r="H43" i="22"/>
  <c r="H42" i="22"/>
  <c r="H41" i="22"/>
  <c r="H40" i="22"/>
  <c r="H39" i="22"/>
  <c r="H38" i="22"/>
  <c r="H37" i="22"/>
  <c r="H36" i="22"/>
  <c r="B34" i="22"/>
  <c r="H25" i="22"/>
  <c r="H23" i="22"/>
  <c r="G12" i="22"/>
  <c r="X11" i="22"/>
  <c r="U47" i="27" s="1"/>
  <c r="W11" i="22"/>
  <c r="V11" i="22"/>
  <c r="U11" i="22"/>
  <c r="R47" i="27" s="1"/>
  <c r="T11" i="22"/>
  <c r="S11" i="22"/>
  <c r="R11" i="22"/>
  <c r="O47" i="27" s="1"/>
  <c r="Q11" i="22"/>
  <c r="P11" i="22"/>
  <c r="O11" i="22"/>
  <c r="L47" i="27" s="1"/>
  <c r="B15" i="22"/>
  <c r="G9" i="22"/>
  <c r="E9" i="22"/>
  <c r="D9" i="22"/>
  <c r="E85" i="21"/>
  <c r="H85" i="21" s="1"/>
  <c r="E83" i="21"/>
  <c r="H83" i="21" s="1"/>
  <c r="H81" i="21"/>
  <c r="E57" i="21"/>
  <c r="H57" i="21" s="1"/>
  <c r="E55" i="21"/>
  <c r="H55" i="21" s="1"/>
  <c r="E34" i="21"/>
  <c r="H53" i="21"/>
  <c r="E32" i="21"/>
  <c r="E31" i="21"/>
  <c r="H31" i="21" s="1"/>
  <c r="C32" i="21"/>
  <c r="H22" i="21"/>
  <c r="E26" i="21"/>
  <c r="H26" i="21" s="1"/>
  <c r="E24" i="21"/>
  <c r="H24" i="21" s="1"/>
  <c r="B10" i="21"/>
  <c r="B73" i="21" s="1"/>
  <c r="B9" i="21"/>
  <c r="B45" i="21" s="1"/>
  <c r="B8" i="21"/>
  <c r="B14" i="21" s="1"/>
  <c r="B4" i="21"/>
  <c r="F7" i="21"/>
  <c r="E7" i="21"/>
  <c r="D7" i="21"/>
  <c r="E21" i="20"/>
  <c r="H21" i="20" s="1"/>
  <c r="B10" i="20"/>
  <c r="B45" i="20" s="1"/>
  <c r="B9" i="20"/>
  <c r="B30" i="20" s="1"/>
  <c r="B8" i="20"/>
  <c r="B14" i="20" s="1"/>
  <c r="B4" i="20"/>
  <c r="D7" i="20"/>
  <c r="E54" i="15"/>
  <c r="H54" i="15" s="1"/>
  <c r="E29" i="15"/>
  <c r="C28" i="15"/>
  <c r="C27" i="15"/>
  <c r="E27" i="15"/>
  <c r="C24" i="15"/>
  <c r="B51" i="19"/>
  <c r="H43" i="19"/>
  <c r="B34" i="19"/>
  <c r="H27" i="19"/>
  <c r="H26" i="19"/>
  <c r="C25" i="19"/>
  <c r="H25" i="19" s="1"/>
  <c r="C24" i="19"/>
  <c r="H24" i="19" s="1"/>
  <c r="B14" i="19"/>
  <c r="H21" i="18"/>
  <c r="B12" i="18"/>
  <c r="D9" i="18"/>
  <c r="C9" i="18"/>
  <c r="D7" i="18"/>
  <c r="B26" i="17"/>
  <c r="B14" i="17"/>
  <c r="X11" i="17"/>
  <c r="V11" i="17"/>
  <c r="U11" i="17"/>
  <c r="S11" i="17"/>
  <c r="R11" i="17"/>
  <c r="P11" i="17"/>
  <c r="O11" i="17"/>
  <c r="M11" i="17"/>
  <c r="L11" i="17"/>
  <c r="J11" i="17"/>
  <c r="I11" i="17"/>
  <c r="G11" i="17"/>
  <c r="F11" i="17"/>
  <c r="D11" i="17"/>
  <c r="X8" i="17"/>
  <c r="V8" i="17"/>
  <c r="U8" i="17"/>
  <c r="S8" i="17"/>
  <c r="R8" i="17"/>
  <c r="P8" i="17"/>
  <c r="O8" i="17"/>
  <c r="M8" i="17"/>
  <c r="L8" i="17"/>
  <c r="J8" i="17"/>
  <c r="I8" i="17"/>
  <c r="G8" i="17"/>
  <c r="F8" i="17"/>
  <c r="D8" i="17"/>
  <c r="B9" i="16"/>
  <c r="B28" i="16" s="1"/>
  <c r="B8" i="16"/>
  <c r="B12" i="16" s="1"/>
  <c r="B4" i="16"/>
  <c r="H39" i="16"/>
  <c r="C32" i="16"/>
  <c r="C31" i="16"/>
  <c r="H19" i="16"/>
  <c r="D10" i="16"/>
  <c r="D7" i="16"/>
  <c r="M47" i="27" l="1"/>
  <c r="P9" i="22"/>
  <c r="P12" i="22"/>
  <c r="N47" i="27"/>
  <c r="Q9" i="22"/>
  <c r="Q12" i="22"/>
  <c r="V12" i="22"/>
  <c r="S47" i="27"/>
  <c r="W12" i="22"/>
  <c r="T47" i="27"/>
  <c r="S12" i="22"/>
  <c r="P47" i="27"/>
  <c r="T12" i="22"/>
  <c r="Q47" i="27"/>
  <c r="B9" i="27"/>
  <c r="B30" i="27"/>
  <c r="C51" i="27"/>
  <c r="B24" i="27"/>
  <c r="B48" i="27"/>
  <c r="C37" i="27"/>
  <c r="B45" i="27"/>
  <c r="D45" i="27"/>
  <c r="B5" i="27"/>
  <c r="B41" i="27"/>
  <c r="B19" i="27"/>
  <c r="C14" i="27"/>
  <c r="C30" i="27"/>
  <c r="B37" i="27"/>
  <c r="C19" i="27"/>
  <c r="U24" i="27"/>
  <c r="C48" i="27"/>
  <c r="B14" i="27"/>
  <c r="S9" i="22"/>
  <c r="T9" i="22"/>
  <c r="V9" i="22"/>
  <c r="W9" i="22"/>
  <c r="H32" i="21"/>
  <c r="E33" i="21"/>
  <c r="H33" i="21" s="1"/>
  <c r="H22" i="20"/>
  <c r="H27" i="15"/>
  <c r="H29" i="15"/>
  <c r="B9" i="15" l="1"/>
  <c r="B37" i="15" s="1"/>
  <c r="B8" i="15"/>
  <c r="B13" i="15" s="1"/>
  <c r="B4" i="15"/>
  <c r="E50" i="15"/>
  <c r="H50" i="15" s="1"/>
  <c r="E48" i="15"/>
  <c r="H48" i="15" s="1"/>
  <c r="H46" i="15"/>
  <c r="H23" i="15"/>
  <c r="E7" i="15"/>
  <c r="D7" i="15"/>
  <c r="H23" i="14"/>
  <c r="E32" i="14"/>
  <c r="H32" i="14" s="1"/>
  <c r="B8" i="14"/>
  <c r="B12" i="14" s="1"/>
  <c r="B4" i="14"/>
  <c r="E26" i="14"/>
  <c r="H26" i="14" s="1"/>
  <c r="E24" i="14"/>
  <c r="H24" i="14" s="1"/>
  <c r="E9" i="14"/>
  <c r="D9" i="14"/>
  <c r="E7" i="14"/>
  <c r="D7" i="14"/>
  <c r="E84" i="13"/>
  <c r="D447" i="1"/>
  <c r="F447" i="1" s="1"/>
  <c r="H447" i="1" s="1"/>
  <c r="D446" i="1"/>
  <c r="F446" i="1" s="1"/>
  <c r="H446" i="1" s="1"/>
  <c r="D445" i="1"/>
  <c r="F445" i="1" s="1"/>
  <c r="H445" i="1" s="1"/>
  <c r="E81" i="13"/>
  <c r="H81" i="13" s="1"/>
  <c r="H80" i="13"/>
  <c r="E59" i="13"/>
  <c r="H59" i="13" s="1"/>
  <c r="E57" i="13"/>
  <c r="H57" i="13" s="1"/>
  <c r="E56" i="13"/>
  <c r="H56" i="13" s="1"/>
  <c r="E55" i="13"/>
  <c r="H55" i="13" s="1"/>
  <c r="H54" i="13"/>
  <c r="E32" i="13"/>
  <c r="H32" i="13" s="1"/>
  <c r="H23" i="13"/>
  <c r="B10" i="13"/>
  <c r="B72" i="13" s="1"/>
  <c r="B9" i="13"/>
  <c r="B45" i="13" s="1"/>
  <c r="B8" i="13"/>
  <c r="B14" i="13" s="1"/>
  <c r="B4" i="13"/>
  <c r="E28" i="13"/>
  <c r="H28" i="13" s="1"/>
  <c r="E26" i="13"/>
  <c r="H26" i="13" s="1"/>
  <c r="E11" i="13"/>
  <c r="D11" i="13"/>
  <c r="E7" i="13"/>
  <c r="D7" i="13"/>
  <c r="E108" i="12"/>
  <c r="E103" i="12"/>
  <c r="H103" i="12" s="1"/>
  <c r="E101" i="12"/>
  <c r="H101" i="12" s="1"/>
  <c r="C45" i="11" l="1"/>
  <c r="C44" i="11"/>
  <c r="E65" i="12"/>
  <c r="E67" i="12"/>
  <c r="C67" i="12"/>
  <c r="H76" i="12"/>
  <c r="E75" i="12"/>
  <c r="H75" i="12" s="1"/>
  <c r="E71" i="12"/>
  <c r="H71" i="12" s="1"/>
  <c r="C45" i="12"/>
  <c r="C44" i="12"/>
  <c r="B11" i="12"/>
  <c r="B92" i="12" s="1"/>
  <c r="B10" i="12"/>
  <c r="B57" i="12" s="1"/>
  <c r="B9" i="12"/>
  <c r="B33" i="12" s="1"/>
  <c r="B8" i="12"/>
  <c r="B15" i="12" s="1"/>
  <c r="B4" i="12"/>
  <c r="C65" i="12"/>
  <c r="C43" i="12"/>
  <c r="E42" i="12"/>
  <c r="C42" i="12"/>
  <c r="C41" i="12"/>
  <c r="E24" i="12"/>
  <c r="H24" i="12" s="1"/>
  <c r="E85" i="11"/>
  <c r="H85" i="11" s="1"/>
  <c r="C80" i="11"/>
  <c r="C62" i="11"/>
  <c r="E46" i="11"/>
  <c r="H46" i="11" s="1"/>
  <c r="E44" i="11"/>
  <c r="C43" i="11"/>
  <c r="E27" i="11"/>
  <c r="H27" i="11" s="1"/>
  <c r="E25" i="11"/>
  <c r="H25" i="11" s="1"/>
  <c r="D281" i="1"/>
  <c r="C24" i="11"/>
  <c r="C22" i="11"/>
  <c r="E23" i="11"/>
  <c r="B11" i="11"/>
  <c r="B72" i="11" s="1"/>
  <c r="B10" i="11"/>
  <c r="B54" i="11" s="1"/>
  <c r="B9" i="11"/>
  <c r="B35" i="11" s="1"/>
  <c r="B8" i="11"/>
  <c r="B15" i="11" s="1"/>
  <c r="B4" i="11"/>
  <c r="E7" i="11"/>
  <c r="D7" i="11"/>
  <c r="E47" i="11" l="1"/>
  <c r="H47" i="11" s="1"/>
  <c r="E68" i="29"/>
  <c r="H68" i="29" s="1"/>
  <c r="E28" i="29"/>
  <c r="H28" i="29" s="1"/>
  <c r="E68" i="12"/>
  <c r="H68" i="12" s="1"/>
  <c r="E86" i="21"/>
  <c r="H86" i="21" s="1"/>
  <c r="E58" i="21"/>
  <c r="H58" i="21" s="1"/>
  <c r="E27" i="21"/>
  <c r="H27" i="21" s="1"/>
  <c r="E51" i="15"/>
  <c r="H51" i="15" s="1"/>
  <c r="E27" i="14"/>
  <c r="H27" i="14" s="1"/>
  <c r="E30" i="15"/>
  <c r="H30" i="15" s="1"/>
  <c r="E26" i="11"/>
  <c r="H26" i="11" s="1"/>
  <c r="E60" i="13"/>
  <c r="H60" i="13" s="1"/>
  <c r="E29" i="13"/>
  <c r="H29" i="13" s="1"/>
  <c r="E104" i="12"/>
  <c r="H104" i="12" s="1"/>
  <c r="H67" i="12"/>
  <c r="H65" i="12"/>
  <c r="H42" i="12"/>
  <c r="H44" i="11"/>
  <c r="H23" i="11"/>
  <c r="F7" i="15" l="1"/>
  <c r="F7" i="14"/>
  <c r="F9" i="14"/>
  <c r="H108" i="12"/>
  <c r="F7" i="11"/>
  <c r="B12" i="9" l="1"/>
  <c r="B4" i="9"/>
  <c r="H16" i="9"/>
  <c r="E9" i="9"/>
  <c r="D9" i="9"/>
  <c r="E7" i="9"/>
  <c r="D7" i="9"/>
  <c r="C48" i="3"/>
  <c r="H22" i="3"/>
  <c r="H19" i="3"/>
  <c r="H18" i="3"/>
  <c r="C124" i="1"/>
  <c r="E49" i="8"/>
  <c r="C49" i="8"/>
  <c r="E42" i="8"/>
  <c r="H42" i="8" s="1"/>
  <c r="C23" i="8"/>
  <c r="D280" i="1"/>
  <c r="E23" i="8" s="1"/>
  <c r="H22" i="8"/>
  <c r="H21" i="8"/>
  <c r="B9" i="8"/>
  <c r="B32" i="8" s="1"/>
  <c r="B8" i="8"/>
  <c r="B13" i="8" s="1"/>
  <c r="B4" i="8"/>
  <c r="H41" i="8"/>
  <c r="H18" i="8"/>
  <c r="H17" i="8"/>
  <c r="E10" i="8"/>
  <c r="D10" i="8"/>
  <c r="E7" i="8"/>
  <c r="D7" i="8"/>
  <c r="C68" i="3"/>
  <c r="H65" i="3"/>
  <c r="C62" i="3"/>
  <c r="C60" i="3"/>
  <c r="E66" i="3"/>
  <c r="H66" i="3" s="1"/>
  <c r="H45" i="3"/>
  <c r="C105" i="1"/>
  <c r="E40" i="3"/>
  <c r="H40" i="3" s="1"/>
  <c r="E39" i="3"/>
  <c r="H39" i="3" s="1"/>
  <c r="E23" i="3"/>
  <c r="H23" i="3" s="1"/>
  <c r="B55" i="3"/>
  <c r="B9" i="3"/>
  <c r="B34" i="3" s="1"/>
  <c r="B8" i="3"/>
  <c r="B14" i="3" s="1"/>
  <c r="B4" i="3"/>
  <c r="E11" i="3"/>
  <c r="D11" i="3"/>
  <c r="E7" i="3"/>
  <c r="D7" i="3"/>
  <c r="E23" i="19" l="1"/>
  <c r="H23" i="19" s="1"/>
  <c r="E113" i="24"/>
  <c r="H113" i="24" s="1"/>
  <c r="E95" i="24"/>
  <c r="H95" i="24" s="1"/>
  <c r="E53" i="24"/>
  <c r="H53" i="24" s="1"/>
  <c r="E66" i="29"/>
  <c r="H66" i="29" s="1"/>
  <c r="E26" i="29"/>
  <c r="H26" i="29" s="1"/>
  <c r="E57" i="19"/>
  <c r="H57" i="19" s="1"/>
  <c r="E40" i="19"/>
  <c r="H40" i="19" s="1"/>
  <c r="E20" i="19"/>
  <c r="H20" i="19" s="1"/>
  <c r="E18" i="18"/>
  <c r="H18" i="18" s="1"/>
  <c r="E34" i="16"/>
  <c r="H34" i="16" s="1"/>
  <c r="E17" i="16"/>
  <c r="H17" i="16" s="1"/>
  <c r="E109" i="24"/>
  <c r="H109" i="24" s="1"/>
  <c r="E91" i="24"/>
  <c r="H91" i="24" s="1"/>
  <c r="E70" i="24"/>
  <c r="H70" i="24" s="1"/>
  <c r="E47" i="24"/>
  <c r="H47" i="24" s="1"/>
  <c r="E23" i="24"/>
  <c r="H23" i="24" s="1"/>
  <c r="E42" i="23"/>
  <c r="H42" i="23" s="1"/>
  <c r="E18" i="23"/>
  <c r="H18" i="23" s="1"/>
  <c r="E20" i="22"/>
  <c r="H20" i="22" s="1"/>
  <c r="E62" i="29"/>
  <c r="H62" i="29" s="1"/>
  <c r="E44" i="29"/>
  <c r="H44" i="29" s="1"/>
  <c r="E21" i="29"/>
  <c r="H21" i="29" s="1"/>
  <c r="E17" i="14"/>
  <c r="H17" i="14" s="1"/>
  <c r="E19" i="13"/>
  <c r="H19" i="13" s="1"/>
  <c r="E20" i="12"/>
  <c r="H20" i="12" s="1"/>
  <c r="E20" i="11"/>
  <c r="H20" i="11" s="1"/>
  <c r="E17" i="9"/>
  <c r="H17" i="9" s="1"/>
  <c r="E20" i="21"/>
  <c r="H20" i="21" s="1"/>
  <c r="E51" i="20"/>
  <c r="H51" i="20" s="1"/>
  <c r="E18" i="15"/>
  <c r="H18" i="15" s="1"/>
  <c r="E19" i="20"/>
  <c r="H19" i="20" s="1"/>
  <c r="E79" i="21"/>
  <c r="H79" i="21" s="1"/>
  <c r="E36" i="20"/>
  <c r="H36" i="20" s="1"/>
  <c r="E51" i="21"/>
  <c r="H51" i="21" s="1"/>
  <c r="E43" i="15"/>
  <c r="H43" i="15" s="1"/>
  <c r="E56" i="21"/>
  <c r="H56" i="21" s="1"/>
  <c r="E84" i="21"/>
  <c r="H84" i="21" s="1"/>
  <c r="E28" i="15"/>
  <c r="H28" i="15" s="1"/>
  <c r="E25" i="21"/>
  <c r="H25" i="21" s="1"/>
  <c r="E49" i="15"/>
  <c r="H49" i="15" s="1"/>
  <c r="E25" i="14"/>
  <c r="H25" i="14" s="1"/>
  <c r="E42" i="3"/>
  <c r="H42" i="3" s="1"/>
  <c r="E78" i="13"/>
  <c r="H78" i="13" s="1"/>
  <c r="E51" i="13"/>
  <c r="H51" i="13" s="1"/>
  <c r="E98" i="12"/>
  <c r="H98" i="12" s="1"/>
  <c r="E63" i="12"/>
  <c r="H63" i="12" s="1"/>
  <c r="E60" i="11"/>
  <c r="H60" i="11" s="1"/>
  <c r="E39" i="12"/>
  <c r="H39" i="12" s="1"/>
  <c r="E78" i="11"/>
  <c r="H78" i="11" s="1"/>
  <c r="E41" i="11"/>
  <c r="H41" i="11" s="1"/>
  <c r="E102" i="12"/>
  <c r="H102" i="12" s="1"/>
  <c r="E27" i="13"/>
  <c r="H27" i="13" s="1"/>
  <c r="E58" i="13"/>
  <c r="H58" i="13" s="1"/>
  <c r="E45" i="11"/>
  <c r="H45" i="11" s="1"/>
  <c r="E66" i="12"/>
  <c r="H66" i="12" s="1"/>
  <c r="E25" i="12"/>
  <c r="H25" i="12" s="1"/>
  <c r="E43" i="12"/>
  <c r="H43" i="12" s="1"/>
  <c r="E60" i="3"/>
  <c r="H60" i="3" s="1"/>
  <c r="H23" i="8"/>
  <c r="E24" i="11"/>
  <c r="H24" i="11" s="1"/>
  <c r="E38" i="8"/>
  <c r="H38" i="8" s="1"/>
  <c r="C134" i="1"/>
  <c r="H49" i="8"/>
  <c r="C600" i="1"/>
  <c r="C601" i="1" s="1"/>
  <c r="E35" i="21" s="1"/>
  <c r="H35" i="21" s="1"/>
  <c r="C597" i="1"/>
  <c r="C598" i="1" s="1"/>
  <c r="F590" i="1"/>
  <c r="H590" i="1" s="1"/>
  <c r="F589" i="1"/>
  <c r="H589" i="1" s="1"/>
  <c r="F588" i="1"/>
  <c r="H588" i="1" s="1"/>
  <c r="H583" i="1"/>
  <c r="F583" i="1"/>
  <c r="E32" i="24" s="1"/>
  <c r="H32" i="24" s="1"/>
  <c r="H582" i="1"/>
  <c r="F582" i="1"/>
  <c r="E31" i="24" s="1"/>
  <c r="H31" i="24" s="1"/>
  <c r="D578" i="1"/>
  <c r="E578" i="1" s="1"/>
  <c r="D574" i="1"/>
  <c r="F574" i="1" s="1"/>
  <c r="H574" i="1" s="1"/>
  <c r="E28" i="23" s="1"/>
  <c r="H28" i="23" s="1"/>
  <c r="D573" i="1"/>
  <c r="F573" i="1" s="1"/>
  <c r="H573" i="1" s="1"/>
  <c r="E27" i="23" s="1"/>
  <c r="H27" i="23" s="1"/>
  <c r="D572" i="1"/>
  <c r="F572" i="1" s="1"/>
  <c r="H572" i="1" s="1"/>
  <c r="E26" i="23" s="1"/>
  <c r="H26" i="23" s="1"/>
  <c r="D566" i="1"/>
  <c r="E566" i="1" s="1"/>
  <c r="D565" i="1"/>
  <c r="E565" i="1" s="1"/>
  <c r="D564" i="1"/>
  <c r="E564" i="1" s="1"/>
  <c r="D558" i="1"/>
  <c r="D559" i="1" s="1"/>
  <c r="E559" i="1" s="1"/>
  <c r="D555" i="1"/>
  <c r="D554" i="1"/>
  <c r="C549" i="1"/>
  <c r="D532" i="1"/>
  <c r="E532" i="1" s="1"/>
  <c r="D531" i="1"/>
  <c r="E531" i="1" s="1"/>
  <c r="F531" i="1" s="1"/>
  <c r="E525" i="1"/>
  <c r="F525" i="1" s="1"/>
  <c r="E524" i="1"/>
  <c r="F524" i="1" s="1"/>
  <c r="I524" i="1" s="1"/>
  <c r="D520" i="1"/>
  <c r="F520" i="1" s="1"/>
  <c r="H520" i="1" s="1"/>
  <c r="D519" i="1"/>
  <c r="F519" i="1" s="1"/>
  <c r="H519" i="1" s="1"/>
  <c r="D518" i="1"/>
  <c r="F518" i="1" s="1"/>
  <c r="H518" i="1" s="1"/>
  <c r="B512" i="1"/>
  <c r="B511" i="1"/>
  <c r="C498" i="1"/>
  <c r="E493" i="1"/>
  <c r="C485" i="1"/>
  <c r="F484" i="1"/>
  <c r="F483" i="1"/>
  <c r="C472" i="1"/>
  <c r="F469" i="1"/>
  <c r="F470" i="1" s="1"/>
  <c r="F471" i="1" s="1"/>
  <c r="C466" i="1"/>
  <c r="C467" i="1" s="1"/>
  <c r="D440" i="1"/>
  <c r="D454" i="1" s="1"/>
  <c r="D439" i="1"/>
  <c r="D453" i="1" s="1"/>
  <c r="D438" i="1"/>
  <c r="F438" i="1" s="1"/>
  <c r="H438" i="1" s="1"/>
  <c r="E425" i="1"/>
  <c r="K425" i="1" s="1"/>
  <c r="E424" i="1"/>
  <c r="F424" i="1" s="1"/>
  <c r="D418" i="1"/>
  <c r="F418" i="1" s="1"/>
  <c r="D417" i="1"/>
  <c r="D432" i="1" s="1"/>
  <c r="F432" i="1" s="1"/>
  <c r="D416" i="1"/>
  <c r="F416" i="1" s="1"/>
  <c r="D410" i="1"/>
  <c r="F410" i="1" s="1"/>
  <c r="D409" i="1"/>
  <c r="F409" i="1" s="1"/>
  <c r="D408" i="1"/>
  <c r="F408" i="1" s="1"/>
  <c r="D403" i="1"/>
  <c r="F403" i="1" s="1"/>
  <c r="H403" i="1" s="1"/>
  <c r="D402" i="1"/>
  <c r="F402" i="1" s="1"/>
  <c r="D401" i="1"/>
  <c r="F401" i="1" s="1"/>
  <c r="F395" i="1"/>
  <c r="F394" i="1"/>
  <c r="E388" i="1"/>
  <c r="F389" i="1" s="1"/>
  <c r="G389" i="1" s="1"/>
  <c r="E387" i="1"/>
  <c r="F388" i="1" s="1"/>
  <c r="E383" i="1"/>
  <c r="C383" i="1"/>
  <c r="F382" i="1"/>
  <c r="D382" i="1"/>
  <c r="I403" i="1" s="1"/>
  <c r="F381" i="1"/>
  <c r="D381" i="1"/>
  <c r="F380" i="1"/>
  <c r="D380" i="1"/>
  <c r="I401" i="1" s="1"/>
  <c r="E363" i="1"/>
  <c r="D359" i="1"/>
  <c r="D356" i="1"/>
  <c r="D349" i="1"/>
  <c r="D333" i="1"/>
  <c r="D334" i="1" s="1"/>
  <c r="E334" i="1" s="1"/>
  <c r="E79" i="12" s="1"/>
  <c r="H79" i="12" s="1"/>
  <c r="E325" i="1"/>
  <c r="E324" i="1"/>
  <c r="E323" i="1"/>
  <c r="E322" i="1"/>
  <c r="E321" i="1"/>
  <c r="E320" i="1"/>
  <c r="E319" i="1"/>
  <c r="E318" i="1"/>
  <c r="D307" i="1"/>
  <c r="C295" i="1"/>
  <c r="E54" i="24" s="1"/>
  <c r="H54" i="24" s="1"/>
  <c r="D275" i="1"/>
  <c r="M274" i="1"/>
  <c r="C221" i="1" s="1"/>
  <c r="E69" i="29" s="1"/>
  <c r="H69" i="29" s="1"/>
  <c r="C270" i="1"/>
  <c r="C269" i="1"/>
  <c r="H264" i="1"/>
  <c r="C223" i="1" s="1"/>
  <c r="M262" i="1"/>
  <c r="M264" i="1" s="1"/>
  <c r="C220" i="1" s="1"/>
  <c r="E22" i="22" s="1"/>
  <c r="H22" i="22" s="1"/>
  <c r="H261" i="1"/>
  <c r="F261" i="1"/>
  <c r="H260" i="1"/>
  <c r="F260" i="1"/>
  <c r="C255" i="1"/>
  <c r="I139" i="1" s="1"/>
  <c r="L139" i="1" s="1"/>
  <c r="H254" i="1"/>
  <c r="G253" i="1"/>
  <c r="H253" i="1" s="1"/>
  <c r="H252" i="1"/>
  <c r="H251" i="1"/>
  <c r="H249" i="1"/>
  <c r="C247" i="1"/>
  <c r="C246" i="1"/>
  <c r="H244" i="1"/>
  <c r="H243" i="1"/>
  <c r="G242" i="1"/>
  <c r="H242" i="1" s="1"/>
  <c r="H241" i="1"/>
  <c r="N240" i="1"/>
  <c r="C224" i="1" s="1"/>
  <c r="C240" i="1"/>
  <c r="H239" i="1"/>
  <c r="C239" i="1"/>
  <c r="C234" i="1"/>
  <c r="C232" i="1"/>
  <c r="F219" i="1"/>
  <c r="J211" i="1"/>
  <c r="H211" i="1"/>
  <c r="F211" i="1"/>
  <c r="C210" i="1"/>
  <c r="E58" i="15" s="1"/>
  <c r="H58" i="15" s="1"/>
  <c r="C209" i="1"/>
  <c r="C208" i="1"/>
  <c r="C207" i="1"/>
  <c r="G240" i="1" s="1"/>
  <c r="H240" i="1" s="1"/>
  <c r="D202" i="1"/>
  <c r="C202" i="1"/>
  <c r="I176" i="1"/>
  <c r="F176" i="1"/>
  <c r="L174" i="1"/>
  <c r="L172" i="1"/>
  <c r="I172" i="1"/>
  <c r="F172" i="1"/>
  <c r="L171" i="1"/>
  <c r="I171" i="1"/>
  <c r="F171" i="1"/>
  <c r="L170" i="1"/>
  <c r="H168" i="1"/>
  <c r="F168" i="1"/>
  <c r="E168" i="1"/>
  <c r="I164" i="1"/>
  <c r="F163" i="1"/>
  <c r="R161" i="1"/>
  <c r="C131" i="1" s="1"/>
  <c r="E33" i="24" s="1"/>
  <c r="H33" i="24" s="1"/>
  <c r="L160" i="1"/>
  <c r="I160" i="1"/>
  <c r="I159" i="1"/>
  <c r="F159" i="1"/>
  <c r="L158" i="1"/>
  <c r="I158" i="1"/>
  <c r="F158" i="1"/>
  <c r="H155" i="1"/>
  <c r="F155" i="1"/>
  <c r="E155" i="1"/>
  <c r="R154" i="1"/>
  <c r="O154" i="1"/>
  <c r="R150" i="1" s="1"/>
  <c r="O153" i="1"/>
  <c r="O148" i="1"/>
  <c r="O155" i="1" s="1"/>
  <c r="B147" i="1"/>
  <c r="C144" i="1"/>
  <c r="C143" i="1" s="1"/>
  <c r="F140" i="1"/>
  <c r="C140" i="1"/>
  <c r="I138" i="1"/>
  <c r="L138" i="1" s="1"/>
  <c r="F138" i="1"/>
  <c r="C138" i="1"/>
  <c r="C132" i="1"/>
  <c r="B132" i="1"/>
  <c r="B131" i="1"/>
  <c r="C130" i="1"/>
  <c r="E34" i="24" s="1"/>
  <c r="H34" i="24" s="1"/>
  <c r="B130" i="1"/>
  <c r="C129" i="1"/>
  <c r="E44" i="12" s="1"/>
  <c r="H44" i="12" s="1"/>
  <c r="B129" i="1"/>
  <c r="C128" i="1"/>
  <c r="B128" i="1"/>
  <c r="C127" i="1"/>
  <c r="B127" i="1"/>
  <c r="B125" i="1"/>
  <c r="B124" i="1"/>
  <c r="B123" i="1"/>
  <c r="C114" i="1"/>
  <c r="C107" i="1"/>
  <c r="D101" i="1"/>
  <c r="C85" i="1"/>
  <c r="E63" i="1"/>
  <c r="G63" i="1" s="1"/>
  <c r="D63" i="1"/>
  <c r="E64" i="13" s="1"/>
  <c r="H64" i="13" s="1"/>
  <c r="E62" i="1"/>
  <c r="G62" i="1" s="1"/>
  <c r="D62" i="1"/>
  <c r="E61" i="1"/>
  <c r="G61" i="1" s="1"/>
  <c r="D61" i="1"/>
  <c r="E60" i="1"/>
  <c r="G60" i="1" s="1"/>
  <c r="D60" i="1"/>
  <c r="E59" i="1"/>
  <c r="G59" i="1" s="1"/>
  <c r="D59" i="1"/>
  <c r="E58" i="1"/>
  <c r="G58" i="1" s="1"/>
  <c r="D58" i="1"/>
  <c r="E57" i="1"/>
  <c r="G57" i="1" s="1"/>
  <c r="D57" i="1"/>
  <c r="E56" i="1"/>
  <c r="G56" i="1" s="1"/>
  <c r="D56" i="1"/>
  <c r="E55" i="1"/>
  <c r="G55" i="1" s="1"/>
  <c r="E25" i="18" s="1"/>
  <c r="H25" i="18" s="1"/>
  <c r="D55" i="1"/>
  <c r="E54" i="1"/>
  <c r="D54" i="1"/>
  <c r="E36" i="21" s="1"/>
  <c r="H36" i="21" s="1"/>
  <c r="E53" i="1"/>
  <c r="R156" i="1" s="1"/>
  <c r="D53" i="1"/>
  <c r="E52" i="1"/>
  <c r="D52" i="1"/>
  <c r="E51" i="1"/>
  <c r="G51" i="1" s="1"/>
  <c r="D51" i="1"/>
  <c r="E20" i="17" s="1"/>
  <c r="H20" i="17" s="1"/>
  <c r="E50" i="1"/>
  <c r="G50" i="1" s="1"/>
  <c r="D50" i="1"/>
  <c r="E49" i="1"/>
  <c r="D49" i="1"/>
  <c r="E48" i="1"/>
  <c r="G48" i="1" s="1"/>
  <c r="D48" i="1"/>
  <c r="E47" i="1"/>
  <c r="R147" i="1" s="1"/>
  <c r="D47" i="1"/>
  <c r="E46" i="1"/>
  <c r="G46" i="1" s="1"/>
  <c r="D46" i="1"/>
  <c r="E45" i="1"/>
  <c r="G45" i="1" s="1"/>
  <c r="E22" i="19" s="1"/>
  <c r="H22" i="19" s="1"/>
  <c r="D45" i="1"/>
  <c r="E28" i="19" s="1"/>
  <c r="H28" i="19" s="1"/>
  <c r="E44" i="1"/>
  <c r="G44" i="1" s="1"/>
  <c r="D44" i="1"/>
  <c r="E43" i="1"/>
  <c r="G43" i="1" s="1"/>
  <c r="D43" i="1"/>
  <c r="E42" i="1"/>
  <c r="D42" i="1"/>
  <c r="G41" i="1"/>
  <c r="D41" i="1"/>
  <c r="G40" i="1"/>
  <c r="D40" i="1"/>
  <c r="E37" i="16" l="1"/>
  <c r="H37" i="16" s="1"/>
  <c r="E68" i="24"/>
  <c r="H68" i="24" s="1"/>
  <c r="E45" i="24"/>
  <c r="H45" i="24" s="1"/>
  <c r="E21" i="24"/>
  <c r="H21" i="24" s="1"/>
  <c r="E44" i="19"/>
  <c r="H44" i="19" s="1"/>
  <c r="E26" i="22"/>
  <c r="H26" i="22" s="1"/>
  <c r="E45" i="19"/>
  <c r="H45" i="19" s="1"/>
  <c r="E47" i="22"/>
  <c r="H47" i="22" s="1"/>
  <c r="E27" i="22"/>
  <c r="H27" i="22" s="1"/>
  <c r="E40" i="16"/>
  <c r="H40" i="16" s="1"/>
  <c r="E114" i="24"/>
  <c r="H114" i="24" s="1"/>
  <c r="E96" i="24"/>
  <c r="H96" i="24" s="1"/>
  <c r="E75" i="24"/>
  <c r="H75" i="24" s="1"/>
  <c r="E50" i="24"/>
  <c r="H50" i="24" s="1"/>
  <c r="E27" i="24"/>
  <c r="H27" i="24" s="1"/>
  <c r="E32" i="29"/>
  <c r="H32" i="29" s="1"/>
  <c r="E22" i="18"/>
  <c r="H22" i="18" s="1"/>
  <c r="E31" i="17"/>
  <c r="H31" i="17" s="1"/>
  <c r="E47" i="23"/>
  <c r="H47" i="23" s="1"/>
  <c r="E23" i="23"/>
  <c r="H23" i="23" s="1"/>
  <c r="E46" i="29"/>
  <c r="H46" i="29" s="1"/>
  <c r="E24" i="18"/>
  <c r="H24" i="18" s="1"/>
  <c r="E25" i="23"/>
  <c r="H25" i="23" s="1"/>
  <c r="E47" i="29"/>
  <c r="H47" i="29" s="1"/>
  <c r="E59" i="19"/>
  <c r="H59" i="19" s="1"/>
  <c r="E20" i="16"/>
  <c r="H20" i="16" s="1"/>
  <c r="E28" i="24"/>
  <c r="H28" i="24" s="1"/>
  <c r="E48" i="23"/>
  <c r="H48" i="23" s="1"/>
  <c r="E41" i="16"/>
  <c r="H41" i="16" s="1"/>
  <c r="E24" i="23"/>
  <c r="H24" i="23" s="1"/>
  <c r="E28" i="22"/>
  <c r="H28" i="22" s="1"/>
  <c r="E36" i="16"/>
  <c r="H36" i="16" s="1"/>
  <c r="E67" i="24"/>
  <c r="H67" i="24" s="1"/>
  <c r="E44" i="24"/>
  <c r="H44" i="24" s="1"/>
  <c r="E20" i="24"/>
  <c r="H20" i="24" s="1"/>
  <c r="E77" i="24"/>
  <c r="H77" i="24" s="1"/>
  <c r="E30" i="24"/>
  <c r="H30" i="24" s="1"/>
  <c r="E46" i="23"/>
  <c r="H46" i="23" s="1"/>
  <c r="E22" i="23"/>
  <c r="H22" i="23" s="1"/>
  <c r="E24" i="22"/>
  <c r="H24" i="22" s="1"/>
  <c r="C125" i="1"/>
  <c r="E48" i="20" s="1"/>
  <c r="H48" i="20" s="1"/>
  <c r="E18" i="24"/>
  <c r="H18" i="24" s="1"/>
  <c r="E39" i="23"/>
  <c r="H39" i="23" s="1"/>
  <c r="E15" i="23"/>
  <c r="H15" i="23" s="1"/>
  <c r="E17" i="22"/>
  <c r="H17" i="22" s="1"/>
  <c r="E41" i="29"/>
  <c r="H41" i="29" s="1"/>
  <c r="E18" i="29"/>
  <c r="H18" i="29" s="1"/>
  <c r="E112" i="24"/>
  <c r="H112" i="24" s="1"/>
  <c r="E94" i="24"/>
  <c r="H94" i="24" s="1"/>
  <c r="E64" i="29"/>
  <c r="H64" i="29" s="1"/>
  <c r="E24" i="29"/>
  <c r="H24" i="29" s="1"/>
  <c r="E77" i="12"/>
  <c r="H77" i="12" s="1"/>
  <c r="E26" i="18"/>
  <c r="H26" i="18" s="1"/>
  <c r="H432" i="1"/>
  <c r="E74" i="12"/>
  <c r="H74" i="12" s="1"/>
  <c r="E98" i="24"/>
  <c r="H98" i="24" s="1"/>
  <c r="E78" i="24"/>
  <c r="H78" i="24" s="1"/>
  <c r="E99" i="24"/>
  <c r="H99" i="24" s="1"/>
  <c r="E79" i="24"/>
  <c r="H79" i="24" s="1"/>
  <c r="E100" i="24"/>
  <c r="H100" i="24" s="1"/>
  <c r="E80" i="24"/>
  <c r="H80" i="24" s="1"/>
  <c r="E58" i="19"/>
  <c r="H58" i="19" s="1"/>
  <c r="E41" i="19"/>
  <c r="H41" i="19" s="1"/>
  <c r="E21" i="19"/>
  <c r="H21" i="19" s="1"/>
  <c r="E19" i="18"/>
  <c r="H19" i="18" s="1"/>
  <c r="E30" i="17"/>
  <c r="H30" i="17" s="1"/>
  <c r="E19" i="17"/>
  <c r="H19" i="17" s="1"/>
  <c r="E35" i="16"/>
  <c r="H35" i="16" s="1"/>
  <c r="E18" i="16"/>
  <c r="H18" i="16" s="1"/>
  <c r="E110" i="24"/>
  <c r="H110" i="24" s="1"/>
  <c r="E92" i="24"/>
  <c r="H92" i="24" s="1"/>
  <c r="E71" i="24"/>
  <c r="H71" i="24" s="1"/>
  <c r="E48" i="24"/>
  <c r="H48" i="24" s="1"/>
  <c r="E24" i="24"/>
  <c r="H24" i="24" s="1"/>
  <c r="E43" i="23"/>
  <c r="H43" i="23" s="1"/>
  <c r="E19" i="23"/>
  <c r="H19" i="23" s="1"/>
  <c r="E21" i="22"/>
  <c r="H21" i="22" s="1"/>
  <c r="E63" i="29"/>
  <c r="H63" i="29" s="1"/>
  <c r="E45" i="29"/>
  <c r="H45" i="29" s="1"/>
  <c r="E22" i="29"/>
  <c r="H22" i="29" s="1"/>
  <c r="G564" i="1"/>
  <c r="E48" i="22" s="1"/>
  <c r="H48" i="22" s="1"/>
  <c r="E30" i="23"/>
  <c r="H30" i="23" s="1"/>
  <c r="E54" i="21"/>
  <c r="H54" i="21" s="1"/>
  <c r="E82" i="21"/>
  <c r="H82" i="21" s="1"/>
  <c r="E26" i="15"/>
  <c r="H26" i="15" s="1"/>
  <c r="E23" i="21"/>
  <c r="H23" i="21" s="1"/>
  <c r="G54" i="1"/>
  <c r="E37" i="21"/>
  <c r="H37" i="21" s="1"/>
  <c r="E48" i="3"/>
  <c r="H48" i="3" s="1"/>
  <c r="E45" i="12"/>
  <c r="H45" i="12" s="1"/>
  <c r="E47" i="15"/>
  <c r="H47" i="15" s="1"/>
  <c r="E24" i="13"/>
  <c r="H24" i="13" s="1"/>
  <c r="E57" i="15"/>
  <c r="H57" i="15" s="1"/>
  <c r="C512" i="1"/>
  <c r="E56" i="15"/>
  <c r="H56" i="15" s="1"/>
  <c r="E76" i="21"/>
  <c r="H76" i="21" s="1"/>
  <c r="E17" i="21"/>
  <c r="H17" i="21" s="1"/>
  <c r="E48" i="21"/>
  <c r="H48" i="21" s="1"/>
  <c r="E16" i="20"/>
  <c r="H16" i="20" s="1"/>
  <c r="E14" i="14"/>
  <c r="H14" i="14" s="1"/>
  <c r="E15" i="15"/>
  <c r="H15" i="15" s="1"/>
  <c r="E59" i="21"/>
  <c r="H59" i="21" s="1"/>
  <c r="E22" i="15"/>
  <c r="H22" i="15" s="1"/>
  <c r="E19" i="14"/>
  <c r="H19" i="14" s="1"/>
  <c r="H262" i="1"/>
  <c r="H263" i="1" s="1"/>
  <c r="E21" i="21"/>
  <c r="H21" i="21" s="1"/>
  <c r="E52" i="21"/>
  <c r="H52" i="21" s="1"/>
  <c r="E80" i="21"/>
  <c r="H80" i="21" s="1"/>
  <c r="E37" i="20"/>
  <c r="H37" i="20" s="1"/>
  <c r="E19" i="15"/>
  <c r="H19" i="15" s="1"/>
  <c r="E20" i="20"/>
  <c r="H20" i="20" s="1"/>
  <c r="E52" i="20"/>
  <c r="H52" i="20" s="1"/>
  <c r="E18" i="14"/>
  <c r="H18" i="14" s="1"/>
  <c r="E44" i="15"/>
  <c r="H44" i="15" s="1"/>
  <c r="E21" i="9"/>
  <c r="H21" i="9" s="1"/>
  <c r="E85" i="13"/>
  <c r="H84" i="13" s="1"/>
  <c r="E33" i="14"/>
  <c r="H33" i="14" s="1"/>
  <c r="F142" i="1"/>
  <c r="E54" i="20"/>
  <c r="H54" i="20" s="1"/>
  <c r="E89" i="21"/>
  <c r="H89" i="21" s="1"/>
  <c r="E40" i="20"/>
  <c r="H40" i="20" s="1"/>
  <c r="E22" i="12"/>
  <c r="H22" i="12" s="1"/>
  <c r="E20" i="15"/>
  <c r="H20" i="15" s="1"/>
  <c r="E88" i="21"/>
  <c r="H88" i="21" s="1"/>
  <c r="E53" i="20"/>
  <c r="H53" i="20" s="1"/>
  <c r="E39" i="20"/>
  <c r="H39" i="20" s="1"/>
  <c r="E65" i="21"/>
  <c r="H65" i="21" s="1"/>
  <c r="E23" i="20"/>
  <c r="H23" i="20" s="1"/>
  <c r="E34" i="14"/>
  <c r="H34" i="14" s="1"/>
  <c r="E59" i="15"/>
  <c r="H59" i="15" s="1"/>
  <c r="E88" i="13"/>
  <c r="E31" i="15"/>
  <c r="H31" i="15" s="1"/>
  <c r="E19" i="9"/>
  <c r="H19" i="9" s="1"/>
  <c r="D308" i="1"/>
  <c r="E63" i="13"/>
  <c r="H63" i="13" s="1"/>
  <c r="E82" i="13"/>
  <c r="H82" i="13" s="1"/>
  <c r="E22" i="13"/>
  <c r="H22" i="13" s="1"/>
  <c r="E107" i="12"/>
  <c r="H107" i="12" s="1"/>
  <c r="E64" i="11"/>
  <c r="H64" i="11" s="1"/>
  <c r="E70" i="12"/>
  <c r="H70" i="12" s="1"/>
  <c r="E110" i="12"/>
  <c r="H110" i="12" s="1"/>
  <c r="E36" i="13"/>
  <c r="H36" i="13" s="1"/>
  <c r="E65" i="13"/>
  <c r="H65" i="13" s="1"/>
  <c r="E26" i="12"/>
  <c r="H26" i="12" s="1"/>
  <c r="E47" i="3"/>
  <c r="H47" i="3" s="1"/>
  <c r="E81" i="12"/>
  <c r="H81" i="12" s="1"/>
  <c r="E19" i="8"/>
  <c r="H19" i="8" s="1"/>
  <c r="E79" i="13"/>
  <c r="H79" i="13" s="1"/>
  <c r="E52" i="13"/>
  <c r="H52" i="13" s="1"/>
  <c r="E20" i="13"/>
  <c r="H20" i="13" s="1"/>
  <c r="E61" i="11"/>
  <c r="H61" i="11" s="1"/>
  <c r="E99" i="12"/>
  <c r="H99" i="12" s="1"/>
  <c r="E40" i="12"/>
  <c r="H40" i="12" s="1"/>
  <c r="E21" i="12"/>
  <c r="H21" i="12" s="1"/>
  <c r="E42" i="11"/>
  <c r="H42" i="11" s="1"/>
  <c r="E79" i="11"/>
  <c r="H79" i="11" s="1"/>
  <c r="E64" i="12"/>
  <c r="H64" i="12" s="1"/>
  <c r="E48" i="11"/>
  <c r="H48" i="11" s="1"/>
  <c r="E50" i="12"/>
  <c r="H50" i="12" s="1"/>
  <c r="E65" i="11"/>
  <c r="H65" i="11" s="1"/>
  <c r="E48" i="13"/>
  <c r="H48" i="13" s="1"/>
  <c r="E16" i="13"/>
  <c r="H16" i="13" s="1"/>
  <c r="E75" i="13"/>
  <c r="H75" i="13" s="1"/>
  <c r="E38" i="11"/>
  <c r="H38" i="11" s="1"/>
  <c r="E17" i="12"/>
  <c r="H17" i="12" s="1"/>
  <c r="E95" i="12"/>
  <c r="H95" i="12" s="1"/>
  <c r="E57" i="11"/>
  <c r="H57" i="11" s="1"/>
  <c r="E36" i="12"/>
  <c r="H36" i="12" s="1"/>
  <c r="E33" i="13"/>
  <c r="H33" i="13" s="1"/>
  <c r="L257" i="1"/>
  <c r="M257" i="1" s="1"/>
  <c r="M258" i="1" s="1"/>
  <c r="C216" i="1" s="1"/>
  <c r="E25" i="13"/>
  <c r="H25" i="13" s="1"/>
  <c r="E22" i="11"/>
  <c r="H22" i="11" s="1"/>
  <c r="E41" i="12"/>
  <c r="H41" i="12" s="1"/>
  <c r="E80" i="11"/>
  <c r="H80" i="11" s="1"/>
  <c r="E62" i="11"/>
  <c r="H62" i="11" s="1"/>
  <c r="E23" i="12"/>
  <c r="H23" i="12" s="1"/>
  <c r="E43" i="11"/>
  <c r="H43" i="11" s="1"/>
  <c r="E100" i="12"/>
  <c r="H100" i="12" s="1"/>
  <c r="E43" i="3"/>
  <c r="H43" i="3" s="1"/>
  <c r="E39" i="8"/>
  <c r="H39" i="8" s="1"/>
  <c r="E17" i="11"/>
  <c r="H17" i="11" s="1"/>
  <c r="E14" i="9"/>
  <c r="H14" i="9" s="1"/>
  <c r="E25" i="3"/>
  <c r="H25" i="3" s="1"/>
  <c r="E50" i="8"/>
  <c r="H50" i="8" s="1"/>
  <c r="E28" i="11"/>
  <c r="H28" i="11" s="1"/>
  <c r="E24" i="8"/>
  <c r="H24" i="8" s="1"/>
  <c r="E71" i="3"/>
  <c r="H71" i="3" s="1"/>
  <c r="E46" i="3"/>
  <c r="H46" i="3" s="1"/>
  <c r="E43" i="8"/>
  <c r="H43" i="8" s="1"/>
  <c r="G250" i="1"/>
  <c r="H250" i="1" s="1"/>
  <c r="H255" i="1" s="1"/>
  <c r="C215" i="1" s="1"/>
  <c r="E29" i="29" s="1"/>
  <c r="H29" i="29" s="1"/>
  <c r="E21" i="3"/>
  <c r="H21" i="3" s="1"/>
  <c r="E46" i="8"/>
  <c r="H46" i="8" s="1"/>
  <c r="C242" i="1"/>
  <c r="C228" i="1" s="1"/>
  <c r="E30" i="29" s="1"/>
  <c r="H30" i="29" s="1"/>
  <c r="E21" i="11"/>
  <c r="H21" i="11" s="1"/>
  <c r="H401" i="1"/>
  <c r="E44" i="8"/>
  <c r="H44" i="8" s="1"/>
  <c r="H402" i="1"/>
  <c r="E45" i="8"/>
  <c r="H45" i="8" s="1"/>
  <c r="E64" i="3"/>
  <c r="H64" i="3" s="1"/>
  <c r="E68" i="3"/>
  <c r="H68" i="3" s="1"/>
  <c r="M285" i="1"/>
  <c r="F144" i="1"/>
  <c r="E35" i="8"/>
  <c r="H35" i="8" s="1"/>
  <c r="E57" i="3"/>
  <c r="H57" i="3" s="1"/>
  <c r="E15" i="8"/>
  <c r="H15" i="8" s="1"/>
  <c r="E62" i="3"/>
  <c r="H62" i="3" s="1"/>
  <c r="E44" i="3"/>
  <c r="H44" i="3" s="1"/>
  <c r="E40" i="8"/>
  <c r="H40" i="8" s="1"/>
  <c r="E69" i="3"/>
  <c r="E67" i="3"/>
  <c r="H67" i="3" s="1"/>
  <c r="E70" i="3"/>
  <c r="G42" i="1"/>
  <c r="F383" i="1"/>
  <c r="C235" i="1"/>
  <c r="C227" i="1" s="1"/>
  <c r="E31" i="29" s="1"/>
  <c r="H31" i="29" s="1"/>
  <c r="L176" i="1"/>
  <c r="C133" i="1"/>
  <c r="E37" i="3"/>
  <c r="H37" i="3" s="1"/>
  <c r="E16" i="3"/>
  <c r="H16" i="3" s="1"/>
  <c r="F145" i="1"/>
  <c r="D433" i="1"/>
  <c r="F433" i="1" s="1"/>
  <c r="F485" i="1"/>
  <c r="C490" i="1" s="1"/>
  <c r="C493" i="1" s="1"/>
  <c r="D431" i="1"/>
  <c r="F431" i="1" s="1"/>
  <c r="D383" i="1"/>
  <c r="E333" i="1"/>
  <c r="E78" i="12" s="1"/>
  <c r="H78" i="12" s="1"/>
  <c r="F263" i="1"/>
  <c r="C222" i="1" s="1"/>
  <c r="K424" i="1"/>
  <c r="H576" i="1"/>
  <c r="K209" i="1"/>
  <c r="E326" i="1"/>
  <c r="C249" i="1"/>
  <c r="C229" i="1" s="1"/>
  <c r="E29" i="14" s="1"/>
  <c r="H29" i="14" s="1"/>
  <c r="C477" i="1"/>
  <c r="G49" i="1"/>
  <c r="H521" i="1"/>
  <c r="E87" i="21" s="1"/>
  <c r="H87" i="21" s="1"/>
  <c r="C141" i="1"/>
  <c r="D360" i="1"/>
  <c r="I402" i="1"/>
  <c r="G565" i="1"/>
  <c r="E49" i="22" s="1"/>
  <c r="H49" i="22" s="1"/>
  <c r="D556" i="1"/>
  <c r="D557" i="1" s="1"/>
  <c r="F390" i="1"/>
  <c r="G388" i="1"/>
  <c r="H245" i="1"/>
  <c r="C214" i="1" s="1"/>
  <c r="I525" i="1"/>
  <c r="H525" i="1"/>
  <c r="R148" i="1"/>
  <c r="R158" i="1" s="1"/>
  <c r="H416" i="1"/>
  <c r="J416" i="1"/>
  <c r="E25" i="15" s="1"/>
  <c r="H25" i="15" s="1"/>
  <c r="I416" i="1"/>
  <c r="I531" i="1"/>
  <c r="H531" i="1"/>
  <c r="F532" i="1"/>
  <c r="K532" i="1"/>
  <c r="E57" i="29" s="1"/>
  <c r="H57" i="29" s="1"/>
  <c r="H408" i="1"/>
  <c r="J408" i="1"/>
  <c r="E83" i="11" s="1"/>
  <c r="L141" i="1"/>
  <c r="L148" i="1"/>
  <c r="D540" i="1"/>
  <c r="F540" i="1" s="1"/>
  <c r="G540" i="1" s="1"/>
  <c r="E59" i="29" s="1"/>
  <c r="H59" i="29" s="1"/>
  <c r="F453" i="1"/>
  <c r="H453" i="1" s="1"/>
  <c r="E21" i="14" s="1"/>
  <c r="H21" i="14" s="1"/>
  <c r="F454" i="1"/>
  <c r="H454" i="1" s="1"/>
  <c r="E22" i="14" s="1"/>
  <c r="H22" i="14" s="1"/>
  <c r="D541" i="1"/>
  <c r="F541" i="1" s="1"/>
  <c r="I424" i="1"/>
  <c r="H424" i="1"/>
  <c r="E48" i="12" s="1"/>
  <c r="H48" i="12" s="1"/>
  <c r="G47" i="1"/>
  <c r="I141" i="1"/>
  <c r="L156" i="1"/>
  <c r="F160" i="1"/>
  <c r="F425" i="1"/>
  <c r="F439" i="1"/>
  <c r="H439" i="1" s="1"/>
  <c r="E34" i="13" s="1"/>
  <c r="H34" i="13" s="1"/>
  <c r="K531" i="1"/>
  <c r="E56" i="29" s="1"/>
  <c r="H56" i="29" s="1"/>
  <c r="G566" i="1"/>
  <c r="E50" i="22" s="1"/>
  <c r="H50" i="22" s="1"/>
  <c r="F143" i="1"/>
  <c r="D452" i="1"/>
  <c r="H524" i="1"/>
  <c r="F559" i="1"/>
  <c r="G53" i="1"/>
  <c r="G52" i="1"/>
  <c r="F417" i="1"/>
  <c r="F440" i="1"/>
  <c r="H440" i="1" s="1"/>
  <c r="E75" i="11" l="1"/>
  <c r="H75" i="11" s="1"/>
  <c r="E40" i="15"/>
  <c r="H40" i="15" s="1"/>
  <c r="E33" i="20"/>
  <c r="H33" i="20" s="1"/>
  <c r="E60" i="12"/>
  <c r="H60" i="12" s="1"/>
  <c r="E71" i="29"/>
  <c r="H71" i="29" s="1"/>
  <c r="E21" i="16"/>
  <c r="H21" i="16" s="1"/>
  <c r="E111" i="24"/>
  <c r="H111" i="24" s="1"/>
  <c r="E93" i="24"/>
  <c r="H93" i="24" s="1"/>
  <c r="E72" i="24"/>
  <c r="H72" i="24" s="1"/>
  <c r="E49" i="24"/>
  <c r="H49" i="24" s="1"/>
  <c r="E44" i="23"/>
  <c r="H44" i="23" s="1"/>
  <c r="E20" i="23"/>
  <c r="H20" i="23" s="1"/>
  <c r="E20" i="9"/>
  <c r="H20" i="9" s="1"/>
  <c r="E42" i="16"/>
  <c r="H42" i="16" s="1"/>
  <c r="E115" i="24"/>
  <c r="H115" i="24" s="1"/>
  <c r="E97" i="24"/>
  <c r="H97" i="24" s="1"/>
  <c r="E76" i="24"/>
  <c r="H76" i="24" s="1"/>
  <c r="E51" i="24"/>
  <c r="H51" i="24" s="1"/>
  <c r="E29" i="24"/>
  <c r="H29" i="24" s="1"/>
  <c r="E33" i="29"/>
  <c r="H33" i="29" s="1"/>
  <c r="E55" i="19"/>
  <c r="H55" i="19" s="1"/>
  <c r="E38" i="19"/>
  <c r="H38" i="19" s="1"/>
  <c r="E18" i="19"/>
  <c r="H18" i="19" s="1"/>
  <c r="E16" i="18"/>
  <c r="H16" i="18" s="1"/>
  <c r="E29" i="17"/>
  <c r="H29" i="17" s="1"/>
  <c r="E17" i="17"/>
  <c r="H17" i="17" s="1"/>
  <c r="E32" i="16"/>
  <c r="H32" i="16" s="1"/>
  <c r="E15" i="16"/>
  <c r="H15" i="16" s="1"/>
  <c r="E89" i="24"/>
  <c r="H89" i="24" s="1"/>
  <c r="E66" i="24"/>
  <c r="H66" i="24" s="1"/>
  <c r="E43" i="24"/>
  <c r="H43" i="24" s="1"/>
  <c r="E19" i="24"/>
  <c r="H19" i="24" s="1"/>
  <c r="E40" i="23"/>
  <c r="H40" i="23" s="1"/>
  <c r="E16" i="23"/>
  <c r="H16" i="23" s="1"/>
  <c r="E18" i="22"/>
  <c r="H18" i="22" s="1"/>
  <c r="E55" i="29"/>
  <c r="H55" i="29" s="1"/>
  <c r="E42" i="29"/>
  <c r="H42" i="29" s="1"/>
  <c r="E19" i="29"/>
  <c r="H19" i="29" s="1"/>
  <c r="E20" i="8"/>
  <c r="H20" i="8" s="1"/>
  <c r="E42" i="19"/>
  <c r="H42" i="19" s="1"/>
  <c r="E20" i="18"/>
  <c r="H20" i="18" s="1"/>
  <c r="E25" i="24"/>
  <c r="H25" i="24" s="1"/>
  <c r="E31" i="14"/>
  <c r="H31" i="14" s="1"/>
  <c r="E38" i="16"/>
  <c r="H38" i="16" s="1"/>
  <c r="E54" i="19"/>
  <c r="H54" i="19" s="1"/>
  <c r="E37" i="19"/>
  <c r="H37" i="19" s="1"/>
  <c r="E17" i="19"/>
  <c r="H17" i="19" s="1"/>
  <c r="E15" i="18"/>
  <c r="H15" i="18" s="1"/>
  <c r="E28" i="17"/>
  <c r="H28" i="17" s="1"/>
  <c r="H33" i="17" s="1"/>
  <c r="E16" i="17"/>
  <c r="H16" i="17" s="1"/>
  <c r="E31" i="16"/>
  <c r="H31" i="16" s="1"/>
  <c r="E88" i="24"/>
  <c r="H88" i="24" s="1"/>
  <c r="E65" i="24"/>
  <c r="H65" i="24" s="1"/>
  <c r="E42" i="24"/>
  <c r="H42" i="24" s="1"/>
  <c r="E54" i="29"/>
  <c r="H54" i="29" s="1"/>
  <c r="H52" i="22"/>
  <c r="H11" i="22" s="1"/>
  <c r="E53" i="13"/>
  <c r="H53" i="13" s="1"/>
  <c r="E28" i="21"/>
  <c r="H28" i="21" s="1"/>
  <c r="E45" i="15"/>
  <c r="H45" i="15" s="1"/>
  <c r="C511" i="1"/>
  <c r="C513" i="1" s="1"/>
  <c r="E62" i="21" s="1"/>
  <c r="H62" i="21" s="1"/>
  <c r="E55" i="15"/>
  <c r="H55" i="15" s="1"/>
  <c r="D367" i="1"/>
  <c r="E83" i="13" s="1"/>
  <c r="H83" i="13" s="1"/>
  <c r="E21" i="13"/>
  <c r="H21" i="13" s="1"/>
  <c r="E21" i="15"/>
  <c r="H21" i="15" s="1"/>
  <c r="H87" i="13"/>
  <c r="H88" i="13"/>
  <c r="E64" i="21"/>
  <c r="H64" i="21" s="1"/>
  <c r="E29" i="21"/>
  <c r="H29" i="21" s="1"/>
  <c r="E52" i="15"/>
  <c r="H52" i="15" s="1"/>
  <c r="E28" i="14"/>
  <c r="H28" i="14" s="1"/>
  <c r="E66" i="21"/>
  <c r="H66" i="21" s="1"/>
  <c r="E89" i="13"/>
  <c r="H89" i="13" s="1"/>
  <c r="E35" i="14"/>
  <c r="H35" i="14" s="1"/>
  <c r="C123" i="1"/>
  <c r="E47" i="12"/>
  <c r="H47" i="12" s="1"/>
  <c r="E24" i="15"/>
  <c r="H24" i="15" s="1"/>
  <c r="E77" i="21"/>
  <c r="H77" i="21" s="1"/>
  <c r="E18" i="21"/>
  <c r="H18" i="21" s="1"/>
  <c r="E49" i="20"/>
  <c r="H49" i="20" s="1"/>
  <c r="E17" i="20"/>
  <c r="H17" i="20" s="1"/>
  <c r="E34" i="20"/>
  <c r="H34" i="20" s="1"/>
  <c r="E49" i="21"/>
  <c r="H49" i="21" s="1"/>
  <c r="E15" i="14"/>
  <c r="H15" i="14" s="1"/>
  <c r="E41" i="15"/>
  <c r="H41" i="15" s="1"/>
  <c r="E16" i="15"/>
  <c r="H16" i="15" s="1"/>
  <c r="E63" i="21"/>
  <c r="H63" i="21" s="1"/>
  <c r="E30" i="21"/>
  <c r="H30" i="21" s="1"/>
  <c r="E30" i="14"/>
  <c r="H30" i="14" s="1"/>
  <c r="E53" i="15"/>
  <c r="H53" i="15" s="1"/>
  <c r="E17" i="13"/>
  <c r="H17" i="13" s="1"/>
  <c r="E76" i="13"/>
  <c r="H76" i="13" s="1"/>
  <c r="E49" i="13"/>
  <c r="H49" i="13" s="1"/>
  <c r="E18" i="12"/>
  <c r="H18" i="12" s="1"/>
  <c r="E39" i="11"/>
  <c r="H39" i="11" s="1"/>
  <c r="E96" i="12"/>
  <c r="H96" i="12" s="1"/>
  <c r="E61" i="12"/>
  <c r="H61" i="12" s="1"/>
  <c r="E37" i="12"/>
  <c r="H37" i="12" s="1"/>
  <c r="E58" i="11"/>
  <c r="H58" i="11" s="1"/>
  <c r="E76" i="11"/>
  <c r="H76" i="11" s="1"/>
  <c r="E61" i="13"/>
  <c r="H61" i="13" s="1"/>
  <c r="E30" i="13"/>
  <c r="H30" i="13" s="1"/>
  <c r="E86" i="13"/>
  <c r="H85" i="13" s="1"/>
  <c r="E82" i="11"/>
  <c r="H82" i="11" s="1"/>
  <c r="E106" i="12"/>
  <c r="H106" i="12" s="1"/>
  <c r="E97" i="12"/>
  <c r="H97" i="12" s="1"/>
  <c r="H431" i="1"/>
  <c r="E73" i="12"/>
  <c r="H73" i="12" s="1"/>
  <c r="E87" i="13"/>
  <c r="H86" i="13" s="1"/>
  <c r="E31" i="13"/>
  <c r="H31" i="13" s="1"/>
  <c r="E62" i="13"/>
  <c r="H62" i="13" s="1"/>
  <c r="E63" i="11"/>
  <c r="H63" i="11" s="1"/>
  <c r="E46" i="12"/>
  <c r="H46" i="12" s="1"/>
  <c r="E81" i="11"/>
  <c r="H81" i="11" s="1"/>
  <c r="E105" i="12"/>
  <c r="H105" i="12" s="1"/>
  <c r="E69" i="12"/>
  <c r="H69" i="12" s="1"/>
  <c r="E37" i="13"/>
  <c r="H37" i="13" s="1"/>
  <c r="E66" i="13"/>
  <c r="H66" i="13" s="1"/>
  <c r="E111" i="12"/>
  <c r="H111" i="12" s="1"/>
  <c r="E27" i="12"/>
  <c r="H27" i="12" s="1"/>
  <c r="E82" i="12"/>
  <c r="H82" i="12" s="1"/>
  <c r="E72" i="3"/>
  <c r="H72" i="3" s="1"/>
  <c r="E66" i="11"/>
  <c r="H66" i="11" s="1"/>
  <c r="F326" i="1"/>
  <c r="E109" i="12"/>
  <c r="E72" i="12"/>
  <c r="H72" i="12" s="1"/>
  <c r="E35" i="13"/>
  <c r="H35" i="13" s="1"/>
  <c r="E26" i="3"/>
  <c r="H26" i="3" s="1"/>
  <c r="E51" i="8"/>
  <c r="H51" i="8" s="1"/>
  <c r="E29" i="11"/>
  <c r="H29" i="11" s="1"/>
  <c r="E25" i="8"/>
  <c r="H25" i="8" s="1"/>
  <c r="E18" i="11"/>
  <c r="H18" i="11" s="1"/>
  <c r="E15" i="9"/>
  <c r="H15" i="9" s="1"/>
  <c r="E48" i="8"/>
  <c r="H48" i="8" s="1"/>
  <c r="E47" i="8"/>
  <c r="H47" i="8" s="1"/>
  <c r="E58" i="3"/>
  <c r="H58" i="3" s="1"/>
  <c r="E36" i="8"/>
  <c r="H36" i="8" s="1"/>
  <c r="E16" i="8"/>
  <c r="H16" i="8" s="1"/>
  <c r="F146" i="1"/>
  <c r="C147" i="1" s="1"/>
  <c r="E63" i="3"/>
  <c r="H63" i="3" s="1"/>
  <c r="E24" i="3"/>
  <c r="H24" i="3" s="1"/>
  <c r="E38" i="3"/>
  <c r="H38" i="3" s="1"/>
  <c r="E17" i="3"/>
  <c r="H17" i="3" s="1"/>
  <c r="C499" i="1"/>
  <c r="C500" i="1" s="1"/>
  <c r="C501" i="1" s="1"/>
  <c r="C502" i="1" s="1"/>
  <c r="C504" i="1" s="1"/>
  <c r="F173" i="1"/>
  <c r="F178" i="1" s="1"/>
  <c r="I161" i="1"/>
  <c r="I425" i="1"/>
  <c r="H425" i="1"/>
  <c r="E49" i="12" s="1"/>
  <c r="H49" i="12" s="1"/>
  <c r="H532" i="1"/>
  <c r="I532" i="1"/>
  <c r="F452" i="1"/>
  <c r="H452" i="1" s="1"/>
  <c r="E20" i="14" s="1"/>
  <c r="H20" i="14" s="1"/>
  <c r="D539" i="1"/>
  <c r="F539" i="1" s="1"/>
  <c r="G539" i="1" s="1"/>
  <c r="E58" i="29" s="1"/>
  <c r="H58" i="29" s="1"/>
  <c r="F165" i="1"/>
  <c r="L161" i="1"/>
  <c r="E77" i="13" l="1"/>
  <c r="H77" i="13" s="1"/>
  <c r="E56" i="19"/>
  <c r="H56" i="19" s="1"/>
  <c r="H61" i="19" s="1"/>
  <c r="E10" i="19" s="1"/>
  <c r="E39" i="19"/>
  <c r="H39" i="19" s="1"/>
  <c r="E19" i="19"/>
  <c r="H19" i="19" s="1"/>
  <c r="E17" i="18"/>
  <c r="H17" i="18" s="1"/>
  <c r="E18" i="17"/>
  <c r="H18" i="17" s="1"/>
  <c r="H22" i="17" s="1"/>
  <c r="E9" i="17" s="1"/>
  <c r="E33" i="16"/>
  <c r="H33" i="16" s="1"/>
  <c r="H45" i="16" s="1"/>
  <c r="H44" i="16" s="1"/>
  <c r="E16" i="16"/>
  <c r="H16" i="16" s="1"/>
  <c r="H25" i="16" s="1"/>
  <c r="E8" i="16" s="1"/>
  <c r="E108" i="24"/>
  <c r="H108" i="24" s="1"/>
  <c r="H116" i="24" s="1"/>
  <c r="G13" i="24" s="1"/>
  <c r="E90" i="24"/>
  <c r="H90" i="24" s="1"/>
  <c r="E69" i="24"/>
  <c r="H69" i="24" s="1"/>
  <c r="E46" i="24"/>
  <c r="H46" i="24" s="1"/>
  <c r="E22" i="24"/>
  <c r="H22" i="24" s="1"/>
  <c r="E41" i="23"/>
  <c r="H41" i="23" s="1"/>
  <c r="E17" i="23"/>
  <c r="H17" i="23" s="1"/>
  <c r="E19" i="22"/>
  <c r="H19" i="22" s="1"/>
  <c r="H30" i="22" s="1"/>
  <c r="E61" i="29"/>
  <c r="H61" i="29" s="1"/>
  <c r="H74" i="29" s="1"/>
  <c r="E43" i="29"/>
  <c r="H43" i="29" s="1"/>
  <c r="H49" i="29" s="1"/>
  <c r="E20" i="29"/>
  <c r="H20" i="29" s="1"/>
  <c r="H35" i="29" s="1"/>
  <c r="F8" i="29" s="1"/>
  <c r="E16" i="14"/>
  <c r="H16" i="14" s="1"/>
  <c r="H37" i="14" s="1"/>
  <c r="E18" i="13"/>
  <c r="H18" i="13" s="1"/>
  <c r="H40" i="13" s="1"/>
  <c r="E19" i="12"/>
  <c r="H19" i="12" s="1"/>
  <c r="G8" i="12" s="1"/>
  <c r="D20" i="27" s="1"/>
  <c r="E19" i="11"/>
  <c r="H19" i="11" s="1"/>
  <c r="E47" i="27"/>
  <c r="I11" i="22"/>
  <c r="H12" i="22"/>
  <c r="H9" i="22"/>
  <c r="H60" i="24"/>
  <c r="H59" i="24"/>
  <c r="H10" i="24" s="1"/>
  <c r="H82" i="24"/>
  <c r="H83" i="24"/>
  <c r="J11" i="24" s="1"/>
  <c r="H102" i="24"/>
  <c r="H103" i="24"/>
  <c r="K12" i="24" s="1"/>
  <c r="N10" i="17"/>
  <c r="K62" i="27" s="1"/>
  <c r="E10" i="17"/>
  <c r="J8" i="19"/>
  <c r="H47" i="19"/>
  <c r="E9" i="19" s="1"/>
  <c r="H48" i="19"/>
  <c r="G9" i="19" s="1"/>
  <c r="H91" i="13"/>
  <c r="F10" i="13" s="1"/>
  <c r="H38" i="14"/>
  <c r="J8" i="14" s="1"/>
  <c r="H31" i="11"/>
  <c r="G8" i="11" s="1"/>
  <c r="H8" i="11" s="1"/>
  <c r="H92" i="13"/>
  <c r="H10" i="13" s="1"/>
  <c r="E50" i="13"/>
  <c r="H50" i="13" s="1"/>
  <c r="H69" i="13" s="1"/>
  <c r="F9" i="13" s="1"/>
  <c r="E41" i="3"/>
  <c r="H41" i="3" s="1"/>
  <c r="E59" i="3"/>
  <c r="H59" i="3" s="1"/>
  <c r="E78" i="21"/>
  <c r="H78" i="21" s="1"/>
  <c r="H91" i="21" s="1"/>
  <c r="H10" i="21" s="1"/>
  <c r="E18" i="20"/>
  <c r="H18" i="20" s="1"/>
  <c r="H25" i="20" s="1"/>
  <c r="N8" i="20" s="1"/>
  <c r="E50" i="20"/>
  <c r="H50" i="20" s="1"/>
  <c r="H55" i="20" s="1"/>
  <c r="G10" i="20" s="1"/>
  <c r="E17" i="15"/>
  <c r="H17" i="15" s="1"/>
  <c r="H33" i="15" s="1"/>
  <c r="G8" i="15" s="1"/>
  <c r="E19" i="21"/>
  <c r="H19" i="21" s="1"/>
  <c r="E35" i="20"/>
  <c r="H35" i="20" s="1"/>
  <c r="H41" i="20" s="1"/>
  <c r="E50" i="21"/>
  <c r="H50" i="21" s="1"/>
  <c r="E42" i="15"/>
  <c r="H42" i="15" s="1"/>
  <c r="H61" i="15" s="1"/>
  <c r="G9" i="15" s="1"/>
  <c r="E77" i="11"/>
  <c r="H77" i="11" s="1"/>
  <c r="H88" i="11" s="1"/>
  <c r="J11" i="11" s="1"/>
  <c r="G18" i="27" s="1"/>
  <c r="E40" i="11"/>
  <c r="H40" i="11" s="1"/>
  <c r="H51" i="11" s="1"/>
  <c r="G9" i="11" s="1"/>
  <c r="H113" i="12"/>
  <c r="H114" i="12" s="1"/>
  <c r="E37" i="8"/>
  <c r="H37" i="8" s="1"/>
  <c r="H53" i="8" s="1"/>
  <c r="E38" i="12"/>
  <c r="H38" i="12" s="1"/>
  <c r="H53" i="12" s="1"/>
  <c r="G9" i="12" s="1"/>
  <c r="D21" i="27" s="1"/>
  <c r="C506" i="1"/>
  <c r="E60" i="21"/>
  <c r="E59" i="11"/>
  <c r="H59" i="11" s="1"/>
  <c r="H69" i="11" s="1"/>
  <c r="G10" i="11" s="1"/>
  <c r="H8" i="14"/>
  <c r="S8" i="14"/>
  <c r="G8" i="14"/>
  <c r="E62" i="12"/>
  <c r="H62" i="12" s="1"/>
  <c r="H86" i="12" s="1"/>
  <c r="H87" i="12" s="1"/>
  <c r="U10" i="12" s="1"/>
  <c r="F23" i="27"/>
  <c r="H27" i="8"/>
  <c r="F7" i="9"/>
  <c r="F9" i="9"/>
  <c r="H51" i="3"/>
  <c r="H9" i="3" s="1"/>
  <c r="E7" i="27" s="1"/>
  <c r="H50" i="3"/>
  <c r="C126" i="1"/>
  <c r="C505" i="1"/>
  <c r="C156" i="1"/>
  <c r="C181" i="1"/>
  <c r="C171" i="1"/>
  <c r="C167" i="1"/>
  <c r="C161" i="1"/>
  <c r="C174" i="1"/>
  <c r="C191" i="1"/>
  <c r="I173" i="1"/>
  <c r="I178" i="1" s="1"/>
  <c r="C177" i="1" s="1"/>
  <c r="I166" i="1"/>
  <c r="H8" i="12" l="1"/>
  <c r="C22" i="28"/>
  <c r="H41" i="13"/>
  <c r="I8" i="14"/>
  <c r="F10" i="19"/>
  <c r="B68" i="27"/>
  <c r="H8" i="18"/>
  <c r="G10" i="29"/>
  <c r="D44" i="27" s="1"/>
  <c r="C45" i="28" s="1"/>
  <c r="I74" i="29"/>
  <c r="B58" i="27"/>
  <c r="E10" i="16"/>
  <c r="F8" i="16"/>
  <c r="E7" i="16"/>
  <c r="D11" i="19"/>
  <c r="D7" i="19"/>
  <c r="H9" i="19"/>
  <c r="D67" i="27"/>
  <c r="B67" i="27"/>
  <c r="F9" i="19"/>
  <c r="C67" i="27" s="1"/>
  <c r="O8" i="19"/>
  <c r="E8" i="19"/>
  <c r="G66" i="27"/>
  <c r="K8" i="19"/>
  <c r="S8" i="18"/>
  <c r="E8" i="18"/>
  <c r="B62" i="27"/>
  <c r="Y10" i="17"/>
  <c r="H9" i="17"/>
  <c r="B61" i="27"/>
  <c r="E8" i="17"/>
  <c r="E11" i="17"/>
  <c r="F9" i="16"/>
  <c r="S9" i="16" s="1"/>
  <c r="J9" i="16"/>
  <c r="L12" i="24"/>
  <c r="H55" i="27"/>
  <c r="H12" i="24"/>
  <c r="G12" i="24"/>
  <c r="J12" i="24"/>
  <c r="G55" i="27" s="1"/>
  <c r="I12" i="24"/>
  <c r="F55" i="27" s="1"/>
  <c r="K11" i="24"/>
  <c r="G54" i="27"/>
  <c r="H11" i="24"/>
  <c r="E54" i="27" s="1"/>
  <c r="I11" i="24"/>
  <c r="G11" i="24"/>
  <c r="E53" i="27"/>
  <c r="V10" i="24"/>
  <c r="I10" i="24"/>
  <c r="J11" i="22"/>
  <c r="F47" i="27"/>
  <c r="E45" i="27"/>
  <c r="C42" i="27"/>
  <c r="F7" i="29"/>
  <c r="F11" i="29"/>
  <c r="G8" i="29"/>
  <c r="G9" i="29"/>
  <c r="H9" i="29"/>
  <c r="E43" i="27" s="1"/>
  <c r="I9" i="29"/>
  <c r="L10" i="22"/>
  <c r="F10" i="22"/>
  <c r="O10" i="22"/>
  <c r="H34" i="23"/>
  <c r="J9" i="23" s="1"/>
  <c r="H33" i="23"/>
  <c r="H52" i="23"/>
  <c r="K10" i="23" s="1"/>
  <c r="H51" i="23"/>
  <c r="H10" i="23" s="1"/>
  <c r="H37" i="24"/>
  <c r="H36" i="24"/>
  <c r="G9" i="24" s="1"/>
  <c r="D56" i="27"/>
  <c r="I13" i="24"/>
  <c r="H9" i="15"/>
  <c r="T9" i="15"/>
  <c r="D32" i="27"/>
  <c r="E15" i="27"/>
  <c r="H11" i="12"/>
  <c r="D16" i="27"/>
  <c r="H9" i="11"/>
  <c r="I9" i="11" s="1"/>
  <c r="L9" i="11" s="1"/>
  <c r="O9" i="11" s="1"/>
  <c r="R9" i="11" s="1"/>
  <c r="U9" i="11" s="1"/>
  <c r="X9" i="11" s="1"/>
  <c r="T11" i="12"/>
  <c r="H54" i="12"/>
  <c r="I9" i="12" s="1"/>
  <c r="J9" i="12" s="1"/>
  <c r="N11" i="20"/>
  <c r="N7" i="20"/>
  <c r="E20" i="27"/>
  <c r="C21" i="28" s="1"/>
  <c r="H9" i="12"/>
  <c r="E21" i="27" s="1"/>
  <c r="H62" i="15"/>
  <c r="J9" i="15" s="1"/>
  <c r="H26" i="20"/>
  <c r="I8" i="20" s="1"/>
  <c r="F34" i="27" s="1"/>
  <c r="D15" i="27"/>
  <c r="G7" i="11"/>
  <c r="G12" i="11"/>
  <c r="G10" i="15"/>
  <c r="G7" i="15"/>
  <c r="W10" i="12"/>
  <c r="R22" i="27"/>
  <c r="H8" i="20"/>
  <c r="G8" i="20"/>
  <c r="D17" i="27"/>
  <c r="H10" i="11"/>
  <c r="E40" i="27"/>
  <c r="I10" i="21"/>
  <c r="I9" i="20"/>
  <c r="H9" i="20"/>
  <c r="E35" i="27" s="1"/>
  <c r="G9" i="20"/>
  <c r="D35" i="27" s="1"/>
  <c r="E9" i="20"/>
  <c r="F9" i="20"/>
  <c r="E61" i="21"/>
  <c r="H61" i="21" s="1"/>
  <c r="H60" i="21"/>
  <c r="D36" i="27"/>
  <c r="H10" i="20"/>
  <c r="E36" i="27" s="1"/>
  <c r="I10" i="20"/>
  <c r="J10" i="20"/>
  <c r="G36" i="27" s="1"/>
  <c r="G9" i="14"/>
  <c r="D29" i="27"/>
  <c r="G7" i="14"/>
  <c r="G29" i="27"/>
  <c r="G28" i="27" s="1"/>
  <c r="J9" i="14"/>
  <c r="J7" i="14"/>
  <c r="K8" i="14"/>
  <c r="E16" i="27"/>
  <c r="T10" i="12"/>
  <c r="G9" i="13"/>
  <c r="C26" i="27"/>
  <c r="S7" i="14"/>
  <c r="P29" i="27"/>
  <c r="P28" i="27" s="1"/>
  <c r="T8" i="14"/>
  <c r="S9" i="14"/>
  <c r="H39" i="21"/>
  <c r="G8" i="21" s="1"/>
  <c r="H41" i="21"/>
  <c r="W8" i="21" s="1"/>
  <c r="H40" i="21"/>
  <c r="M8" i="21" s="1"/>
  <c r="H87" i="11"/>
  <c r="F29" i="27"/>
  <c r="I7" i="14"/>
  <c r="I9" i="14"/>
  <c r="E29" i="27"/>
  <c r="E28" i="27" s="1"/>
  <c r="H7" i="14"/>
  <c r="H9" i="14"/>
  <c r="H8" i="15"/>
  <c r="D31" i="27"/>
  <c r="R10" i="13"/>
  <c r="C27" i="27"/>
  <c r="G10" i="13"/>
  <c r="D27" i="27" s="1"/>
  <c r="H84" i="12"/>
  <c r="G10" i="12" s="1"/>
  <c r="G12" i="12" s="1"/>
  <c r="H85" i="12"/>
  <c r="J10" i="12" s="1"/>
  <c r="E27" i="27"/>
  <c r="I10" i="13"/>
  <c r="I8" i="12"/>
  <c r="R8" i="13"/>
  <c r="S8" i="13"/>
  <c r="F8" i="13"/>
  <c r="G8" i="13"/>
  <c r="K11" i="11"/>
  <c r="I8" i="13"/>
  <c r="H8" i="13"/>
  <c r="J8" i="13"/>
  <c r="I8" i="11"/>
  <c r="E18" i="9"/>
  <c r="H18" i="9" s="1"/>
  <c r="H25" i="9" s="1"/>
  <c r="E20" i="3"/>
  <c r="H20" i="3" s="1"/>
  <c r="H30" i="3" s="1"/>
  <c r="F8" i="3" s="1"/>
  <c r="R9" i="3"/>
  <c r="O7" i="27" s="1"/>
  <c r="F9" i="3"/>
  <c r="G9" i="8"/>
  <c r="F9" i="8"/>
  <c r="C11" i="27" s="1"/>
  <c r="F8" i="8"/>
  <c r="E61" i="3"/>
  <c r="H61" i="3" s="1"/>
  <c r="H74" i="3" s="1"/>
  <c r="I9" i="3"/>
  <c r="C187" i="1"/>
  <c r="C184" i="1"/>
  <c r="B57" i="27" l="1"/>
  <c r="F7" i="8"/>
  <c r="G10" i="19"/>
  <c r="C68" i="27"/>
  <c r="H7" i="18"/>
  <c r="H9" i="18"/>
  <c r="I8" i="18"/>
  <c r="I9" i="18" s="1"/>
  <c r="E64" i="27"/>
  <c r="E63" i="27" s="1"/>
  <c r="K13" i="24"/>
  <c r="F56" i="27"/>
  <c r="D52" i="27"/>
  <c r="H9" i="24"/>
  <c r="G8" i="24"/>
  <c r="G14" i="24"/>
  <c r="J9" i="24"/>
  <c r="L10" i="24"/>
  <c r="E50" i="27"/>
  <c r="I10" i="23"/>
  <c r="L10" i="23"/>
  <c r="H50" i="27"/>
  <c r="G9" i="23"/>
  <c r="H9" i="23"/>
  <c r="G49" i="27"/>
  <c r="K9" i="23"/>
  <c r="L46" i="27"/>
  <c r="L45" i="27" s="1"/>
  <c r="R10" i="22"/>
  <c r="O12" i="22"/>
  <c r="O9" i="22"/>
  <c r="C46" i="27"/>
  <c r="F9" i="22"/>
  <c r="I10" i="22"/>
  <c r="F12" i="22"/>
  <c r="I46" i="27"/>
  <c r="N9" i="29"/>
  <c r="F43" i="27"/>
  <c r="D43" i="27"/>
  <c r="D42" i="27"/>
  <c r="H8" i="29"/>
  <c r="G11" i="29"/>
  <c r="G7" i="29"/>
  <c r="G47" i="27"/>
  <c r="G45" i="27" s="1"/>
  <c r="J12" i="22"/>
  <c r="J9" i="22"/>
  <c r="K11" i="22"/>
  <c r="J10" i="24"/>
  <c r="F53" i="27"/>
  <c r="W10" i="24"/>
  <c r="S53" i="27"/>
  <c r="D54" i="27"/>
  <c r="S11" i="24"/>
  <c r="F54" i="27"/>
  <c r="L11" i="24"/>
  <c r="H54" i="27"/>
  <c r="D55" i="27"/>
  <c r="U12" i="24"/>
  <c r="E55" i="27"/>
  <c r="M12" i="24"/>
  <c r="I55" i="27"/>
  <c r="G59" i="27"/>
  <c r="G57" i="27" s="1"/>
  <c r="K9" i="16"/>
  <c r="J7" i="16"/>
  <c r="J10" i="16"/>
  <c r="C59" i="27"/>
  <c r="G9" i="16"/>
  <c r="B60" i="27"/>
  <c r="E61" i="27"/>
  <c r="H8" i="17"/>
  <c r="H11" i="17"/>
  <c r="K9" i="17"/>
  <c r="V62" i="27"/>
  <c r="B63" i="28" s="1"/>
  <c r="K232" i="4"/>
  <c r="B64" i="27"/>
  <c r="E9" i="18"/>
  <c r="F8" i="18"/>
  <c r="E7" i="18"/>
  <c r="P64" i="27"/>
  <c r="P63" i="27" s="1"/>
  <c r="T8" i="18"/>
  <c r="S9" i="18"/>
  <c r="S7" i="18"/>
  <c r="H66" i="27"/>
  <c r="L8" i="19"/>
  <c r="B66" i="27"/>
  <c r="E7" i="19"/>
  <c r="F8" i="19"/>
  <c r="E11" i="19"/>
  <c r="L66" i="27"/>
  <c r="P8" i="19"/>
  <c r="I9" i="19"/>
  <c r="E67" i="27"/>
  <c r="C68" i="28" s="1"/>
  <c r="C58" i="27"/>
  <c r="F7" i="16"/>
  <c r="G8" i="16"/>
  <c r="F10" i="16"/>
  <c r="I77" i="29"/>
  <c r="H10" i="29" s="1"/>
  <c r="E44" i="27" s="1"/>
  <c r="J74" i="29"/>
  <c r="F21" i="27"/>
  <c r="J8" i="20"/>
  <c r="I9" i="15"/>
  <c r="F32" i="27" s="1"/>
  <c r="E32" i="27"/>
  <c r="O25" i="27"/>
  <c r="P25" i="27"/>
  <c r="G7" i="12"/>
  <c r="K9" i="15"/>
  <c r="G32" i="27"/>
  <c r="G25" i="27"/>
  <c r="F11" i="13"/>
  <c r="F7" i="13"/>
  <c r="F25" i="27"/>
  <c r="E7" i="20"/>
  <c r="E11" i="20"/>
  <c r="G7" i="20"/>
  <c r="G11" i="20"/>
  <c r="H8" i="9"/>
  <c r="E13" i="27" s="1"/>
  <c r="E12" i="27" s="1"/>
  <c r="G8" i="9"/>
  <c r="J11" i="20"/>
  <c r="J7" i="20"/>
  <c r="T22" i="27"/>
  <c r="W12" i="12"/>
  <c r="W7" i="12"/>
  <c r="E23" i="27"/>
  <c r="C24" i="28" s="1"/>
  <c r="J11" i="12"/>
  <c r="F15" i="27"/>
  <c r="F20" i="27"/>
  <c r="E25" i="27"/>
  <c r="F11" i="20"/>
  <c r="F7" i="20"/>
  <c r="Q23" i="27"/>
  <c r="V11" i="12"/>
  <c r="X11" i="12" s="1"/>
  <c r="D25" i="27"/>
  <c r="G7" i="13"/>
  <c r="G11" i="13"/>
  <c r="H11" i="20"/>
  <c r="H7" i="20"/>
  <c r="H10" i="15"/>
  <c r="I11" i="20"/>
  <c r="I7" i="20"/>
  <c r="U9" i="15"/>
  <c r="Q32" i="27"/>
  <c r="K9" i="12"/>
  <c r="G21" i="27"/>
  <c r="F16" i="27"/>
  <c r="G34" i="27"/>
  <c r="G33" i="27" s="1"/>
  <c r="K8" i="20"/>
  <c r="J10" i="21"/>
  <c r="F40" i="27"/>
  <c r="J9" i="3"/>
  <c r="F7" i="27"/>
  <c r="D38" i="27"/>
  <c r="H8" i="21"/>
  <c r="D34" i="27"/>
  <c r="J38" i="27"/>
  <c r="N8" i="21"/>
  <c r="T38" i="27"/>
  <c r="X8" i="21"/>
  <c r="C25" i="27"/>
  <c r="C35" i="27"/>
  <c r="C33" i="27" s="1"/>
  <c r="E34" i="27"/>
  <c r="E33" i="27" s="1"/>
  <c r="H69" i="21"/>
  <c r="L9" i="21" s="1"/>
  <c r="H68" i="21"/>
  <c r="G9" i="21" s="1"/>
  <c r="G11" i="21" s="1"/>
  <c r="H70" i="21"/>
  <c r="W9" i="21" s="1"/>
  <c r="K10" i="12"/>
  <c r="G22" i="27"/>
  <c r="H9" i="13"/>
  <c r="H7" i="13" s="1"/>
  <c r="D26" i="27"/>
  <c r="B35" i="27"/>
  <c r="H23" i="27"/>
  <c r="I8" i="15"/>
  <c r="I10" i="15" s="1"/>
  <c r="E31" i="27"/>
  <c r="H7" i="15"/>
  <c r="I10" i="11"/>
  <c r="E17" i="27"/>
  <c r="J10" i="13"/>
  <c r="F27" i="27"/>
  <c r="D22" i="27"/>
  <c r="H10" i="12"/>
  <c r="H12" i="12" s="1"/>
  <c r="F36" i="27"/>
  <c r="K10" i="20"/>
  <c r="H29" i="27"/>
  <c r="H28" i="27" s="1"/>
  <c r="K9" i="14"/>
  <c r="K7" i="14"/>
  <c r="L8" i="14"/>
  <c r="G8" i="3"/>
  <c r="D6" i="27" s="1"/>
  <c r="C6" i="27"/>
  <c r="G8" i="8"/>
  <c r="D10" i="27" s="1"/>
  <c r="C10" i="27"/>
  <c r="O27" i="27"/>
  <c r="S10" i="13"/>
  <c r="H9" i="8"/>
  <c r="D11" i="27"/>
  <c r="F28" i="27"/>
  <c r="V10" i="12"/>
  <c r="Q22" i="27"/>
  <c r="D28" i="27"/>
  <c r="C41" i="27"/>
  <c r="D14" i="27"/>
  <c r="L11" i="11"/>
  <c r="H18" i="27"/>
  <c r="G9" i="3"/>
  <c r="D7" i="27" s="1"/>
  <c r="C7" i="27"/>
  <c r="D30" i="27"/>
  <c r="T11" i="11"/>
  <c r="Q18" i="27" s="1"/>
  <c r="H11" i="11"/>
  <c r="I11" i="11"/>
  <c r="F18" i="27" s="1"/>
  <c r="T9" i="14"/>
  <c r="Q29" i="27"/>
  <c r="Q28" i="27" s="1"/>
  <c r="U8" i="14"/>
  <c r="T7" i="14"/>
  <c r="Y9" i="20"/>
  <c r="F35" i="27"/>
  <c r="F33" i="27" s="1"/>
  <c r="T8" i="13"/>
  <c r="J8" i="12"/>
  <c r="K8" i="13"/>
  <c r="J8" i="11"/>
  <c r="S9" i="3"/>
  <c r="H76" i="3"/>
  <c r="R10" i="3" s="1"/>
  <c r="H75" i="3"/>
  <c r="H10" i="3" s="1"/>
  <c r="C197" i="1"/>
  <c r="F10" i="8"/>
  <c r="B63" i="27" l="1"/>
  <c r="D41" i="27"/>
  <c r="C42" i="28" s="1"/>
  <c r="D36" i="28"/>
  <c r="J8" i="18"/>
  <c r="C57" i="27"/>
  <c r="I7" i="18"/>
  <c r="H10" i="19"/>
  <c r="D68" i="27"/>
  <c r="F64" i="27"/>
  <c r="I7" i="11"/>
  <c r="K74" i="29"/>
  <c r="J77" i="29"/>
  <c r="I10" i="29" s="1"/>
  <c r="F44" i="27" s="1"/>
  <c r="D58" i="27"/>
  <c r="G7" i="16"/>
  <c r="H8" i="16"/>
  <c r="G10" i="16"/>
  <c r="J9" i="19"/>
  <c r="F67" i="27"/>
  <c r="M66" i="27"/>
  <c r="Q8" i="19"/>
  <c r="C66" i="27"/>
  <c r="C65" i="27" s="1"/>
  <c r="F7" i="19"/>
  <c r="G8" i="19"/>
  <c r="F11" i="19"/>
  <c r="B65" i="27"/>
  <c r="I66" i="27"/>
  <c r="M8" i="19"/>
  <c r="Q64" i="27"/>
  <c r="Q63" i="27" s="1"/>
  <c r="T9" i="18"/>
  <c r="U8" i="18"/>
  <c r="T7" i="18"/>
  <c r="C64" i="27"/>
  <c r="C63" i="27" s="1"/>
  <c r="F9" i="18"/>
  <c r="F7" i="18"/>
  <c r="G8" i="18"/>
  <c r="G64" i="27"/>
  <c r="G63" i="27" s="1"/>
  <c r="K8" i="18"/>
  <c r="J7" i="18"/>
  <c r="J9" i="18"/>
  <c r="F63" i="27"/>
  <c r="H61" i="27"/>
  <c r="K8" i="17"/>
  <c r="K11" i="17"/>
  <c r="N9" i="17"/>
  <c r="C61" i="28"/>
  <c r="H9" i="16"/>
  <c r="X9" i="16" s="1"/>
  <c r="D59" i="27"/>
  <c r="H59" i="27"/>
  <c r="H57" i="27" s="1"/>
  <c r="K7" i="16"/>
  <c r="K10" i="16"/>
  <c r="L9" i="16"/>
  <c r="N12" i="24"/>
  <c r="J55" i="27"/>
  <c r="V12" i="24"/>
  <c r="R55" i="27"/>
  <c r="M11" i="24"/>
  <c r="I54" i="27"/>
  <c r="U11" i="24"/>
  <c r="P54" i="27"/>
  <c r="X10" i="24"/>
  <c r="U53" i="27" s="1"/>
  <c r="T53" i="27"/>
  <c r="J14" i="24"/>
  <c r="K10" i="24"/>
  <c r="H53" i="27" s="1"/>
  <c r="G53" i="27"/>
  <c r="H47" i="27"/>
  <c r="H45" i="27" s="1"/>
  <c r="L11" i="22"/>
  <c r="K12" i="22"/>
  <c r="K9" i="22"/>
  <c r="E42" i="27"/>
  <c r="I8" i="29"/>
  <c r="H7" i="29"/>
  <c r="H11" i="29"/>
  <c r="K43" i="27"/>
  <c r="D44" i="28" s="1"/>
  <c r="S9" i="29"/>
  <c r="F46" i="27"/>
  <c r="I12" i="22"/>
  <c r="I9" i="22"/>
  <c r="C45" i="27"/>
  <c r="O46" i="27"/>
  <c r="O45" i="27" s="1"/>
  <c r="R9" i="22"/>
  <c r="U10" i="22"/>
  <c r="R12" i="22"/>
  <c r="H49" i="27"/>
  <c r="H48" i="27" s="1"/>
  <c r="L9" i="23"/>
  <c r="K11" i="23"/>
  <c r="K8" i="23"/>
  <c r="E49" i="27"/>
  <c r="E48" i="27" s="1"/>
  <c r="I9" i="23"/>
  <c r="H11" i="23"/>
  <c r="H8" i="23"/>
  <c r="D49" i="27"/>
  <c r="G8" i="23"/>
  <c r="T9" i="23"/>
  <c r="G11" i="23"/>
  <c r="M10" i="23"/>
  <c r="I50" i="27"/>
  <c r="F50" i="27"/>
  <c r="J10" i="23"/>
  <c r="R10" i="23"/>
  <c r="M10" i="24"/>
  <c r="I53" i="27"/>
  <c r="G52" i="27"/>
  <c r="K9" i="24"/>
  <c r="J8" i="24"/>
  <c r="E52" i="27"/>
  <c r="I9" i="24"/>
  <c r="H14" i="24"/>
  <c r="H8" i="24"/>
  <c r="D51" i="27"/>
  <c r="M13" i="24"/>
  <c r="H56" i="27"/>
  <c r="H8" i="3"/>
  <c r="E6" i="27" s="1"/>
  <c r="H8" i="8"/>
  <c r="E10" i="27" s="1"/>
  <c r="C11" i="28" s="1"/>
  <c r="D9" i="27"/>
  <c r="H7" i="9"/>
  <c r="H9" i="9"/>
  <c r="I8" i="9"/>
  <c r="J8" i="9" s="1"/>
  <c r="Y8" i="9" s="1"/>
  <c r="V13" i="27" s="1"/>
  <c r="B14" i="28" s="1"/>
  <c r="E30" i="27"/>
  <c r="G20" i="27"/>
  <c r="J12" i="12"/>
  <c r="J7" i="12"/>
  <c r="H11" i="13"/>
  <c r="D13" i="27"/>
  <c r="G9" i="9"/>
  <c r="G7" i="9"/>
  <c r="Q25" i="27"/>
  <c r="L11" i="12"/>
  <c r="N11" i="12" s="1"/>
  <c r="P11" i="12" s="1"/>
  <c r="R11" i="12" s="1"/>
  <c r="G23" i="27"/>
  <c r="U10" i="15"/>
  <c r="V9" i="15"/>
  <c r="R32" i="27"/>
  <c r="R30" i="27" s="1"/>
  <c r="U7" i="15"/>
  <c r="L9" i="15"/>
  <c r="H32" i="27"/>
  <c r="H25" i="27"/>
  <c r="E18" i="27"/>
  <c r="H7" i="11"/>
  <c r="H12" i="11"/>
  <c r="G7" i="21"/>
  <c r="K11" i="20"/>
  <c r="K7" i="20"/>
  <c r="H7" i="12"/>
  <c r="F13" i="27"/>
  <c r="G15" i="27"/>
  <c r="I12" i="11"/>
  <c r="V35" i="27"/>
  <c r="B36" i="28" s="1"/>
  <c r="K132" i="4"/>
  <c r="C24" i="27"/>
  <c r="D33" i="27"/>
  <c r="G10" i="8"/>
  <c r="T9" i="3"/>
  <c r="P7" i="27"/>
  <c r="M11" i="11"/>
  <c r="I18" i="27"/>
  <c r="K10" i="13"/>
  <c r="G27" i="27"/>
  <c r="K9" i="3"/>
  <c r="G7" i="27"/>
  <c r="G16" i="27"/>
  <c r="D24" i="27"/>
  <c r="S10" i="3"/>
  <c r="O8" i="27"/>
  <c r="I9" i="13"/>
  <c r="E26" i="27"/>
  <c r="G7" i="8"/>
  <c r="X10" i="12"/>
  <c r="U22" i="27" s="1"/>
  <c r="S22" i="27"/>
  <c r="I9" i="8"/>
  <c r="E11" i="27"/>
  <c r="C12" i="28" s="1"/>
  <c r="H36" i="27"/>
  <c r="M10" i="20"/>
  <c r="L10" i="12"/>
  <c r="H22" i="27"/>
  <c r="K38" i="27"/>
  <c r="O8" i="21"/>
  <c r="I10" i="3"/>
  <c r="E8" i="27"/>
  <c r="I29" i="27"/>
  <c r="L9" i="14"/>
  <c r="L7" i="14"/>
  <c r="M8" i="14"/>
  <c r="I8" i="21"/>
  <c r="E38" i="27"/>
  <c r="P27" i="27"/>
  <c r="T10" i="13"/>
  <c r="I10" i="12"/>
  <c r="E22" i="27"/>
  <c r="E19" i="27" s="1"/>
  <c r="X9" i="21"/>
  <c r="U39" i="27" s="1"/>
  <c r="T39" i="27"/>
  <c r="C9" i="27"/>
  <c r="J8" i="15"/>
  <c r="J10" i="15" s="1"/>
  <c r="F31" i="27"/>
  <c r="I7" i="15"/>
  <c r="U38" i="27"/>
  <c r="J10" i="11"/>
  <c r="J12" i="11" s="1"/>
  <c r="F17" i="27"/>
  <c r="L9" i="12"/>
  <c r="N9" i="12" s="1"/>
  <c r="H21" i="27"/>
  <c r="U7" i="14"/>
  <c r="R29" i="27"/>
  <c r="R28" i="27" s="1"/>
  <c r="U9" i="14"/>
  <c r="V8" i="14"/>
  <c r="D19" i="27"/>
  <c r="C20" i="28" s="1"/>
  <c r="D39" i="27"/>
  <c r="H9" i="21"/>
  <c r="H7" i="21" s="1"/>
  <c r="B33" i="27"/>
  <c r="K10" i="21"/>
  <c r="G40" i="27"/>
  <c r="E41" i="27"/>
  <c r="M9" i="21"/>
  <c r="I39" i="27"/>
  <c r="L8" i="20"/>
  <c r="H34" i="27"/>
  <c r="U8" i="13"/>
  <c r="L8" i="13"/>
  <c r="K8" i="12"/>
  <c r="K8" i="11"/>
  <c r="W10" i="3"/>
  <c r="F10" i="3"/>
  <c r="C8" i="27" s="1"/>
  <c r="C23" i="28" l="1"/>
  <c r="I10" i="19"/>
  <c r="E68" i="27"/>
  <c r="C69" i="28" s="1"/>
  <c r="I23" i="27"/>
  <c r="H7" i="8"/>
  <c r="H10" i="8"/>
  <c r="I8" i="8"/>
  <c r="O13" i="24"/>
  <c r="J56" i="27"/>
  <c r="F52" i="27"/>
  <c r="F51" i="27" s="1"/>
  <c r="T9" i="24"/>
  <c r="I14" i="24"/>
  <c r="I8" i="24"/>
  <c r="E51" i="27"/>
  <c r="H52" i="27"/>
  <c r="H51" i="27" s="1"/>
  <c r="K14" i="24"/>
  <c r="L9" i="24"/>
  <c r="K8" i="24"/>
  <c r="N10" i="24"/>
  <c r="J53" i="27"/>
  <c r="S10" i="23"/>
  <c r="O50" i="27"/>
  <c r="G50" i="27"/>
  <c r="G48" i="27" s="1"/>
  <c r="J8" i="23"/>
  <c r="J11" i="23"/>
  <c r="N10" i="23"/>
  <c r="J50" i="27"/>
  <c r="Q49" i="27"/>
  <c r="U9" i="23"/>
  <c r="D48" i="27"/>
  <c r="F49" i="27"/>
  <c r="F48" i="27" s="1"/>
  <c r="I11" i="23"/>
  <c r="I8" i="23"/>
  <c r="I49" i="27"/>
  <c r="I48" i="27" s="1"/>
  <c r="M9" i="23"/>
  <c r="L8" i="23"/>
  <c r="L11" i="23"/>
  <c r="R46" i="27"/>
  <c r="R45" i="27" s="1"/>
  <c r="U12" i="22"/>
  <c r="X10" i="22"/>
  <c r="U9" i="22"/>
  <c r="Y10" i="22"/>
  <c r="D47" i="28"/>
  <c r="F45" i="27"/>
  <c r="P43" i="27"/>
  <c r="X9" i="29"/>
  <c r="U43" i="27" s="1"/>
  <c r="F42" i="27"/>
  <c r="F41" i="27" s="1"/>
  <c r="L8" i="29"/>
  <c r="I7" i="29"/>
  <c r="I11" i="29"/>
  <c r="L12" i="22"/>
  <c r="I47" i="27"/>
  <c r="I45" i="27" s="1"/>
  <c r="M11" i="22"/>
  <c r="L9" i="22"/>
  <c r="G51" i="27"/>
  <c r="W11" i="24"/>
  <c r="T54" i="27" s="1"/>
  <c r="R54" i="27"/>
  <c r="N11" i="24"/>
  <c r="J54" i="27"/>
  <c r="W12" i="24"/>
  <c r="S55" i="27"/>
  <c r="O12" i="24"/>
  <c r="K55" i="27"/>
  <c r="M9" i="16"/>
  <c r="I59" i="27"/>
  <c r="E59" i="27"/>
  <c r="C60" i="28" s="1"/>
  <c r="I9" i="16"/>
  <c r="F59" i="27" s="1"/>
  <c r="K61" i="27"/>
  <c r="Q9" i="17"/>
  <c r="N8" i="17"/>
  <c r="N11" i="17"/>
  <c r="H64" i="27"/>
  <c r="L8" i="18"/>
  <c r="K9" i="18"/>
  <c r="K7" i="18"/>
  <c r="D64" i="27"/>
  <c r="C65" i="28" s="1"/>
  <c r="G7" i="18"/>
  <c r="G9" i="18"/>
  <c r="R64" i="27"/>
  <c r="R63" i="27" s="1"/>
  <c r="U9" i="18"/>
  <c r="V8" i="18"/>
  <c r="U7" i="18"/>
  <c r="J66" i="27"/>
  <c r="N8" i="19"/>
  <c r="D66" i="27"/>
  <c r="H8" i="19"/>
  <c r="G11" i="19"/>
  <c r="G7" i="19"/>
  <c r="N66" i="27"/>
  <c r="R8" i="19"/>
  <c r="K9" i="19"/>
  <c r="G67" i="27"/>
  <c r="E58" i="27"/>
  <c r="C59" i="28" s="1"/>
  <c r="H7" i="16"/>
  <c r="H10" i="16"/>
  <c r="I8" i="16"/>
  <c r="D57" i="27"/>
  <c r="K77" i="29"/>
  <c r="J10" i="29" s="1"/>
  <c r="L74" i="29"/>
  <c r="I8" i="3"/>
  <c r="F6" i="27" s="1"/>
  <c r="H7" i="3"/>
  <c r="H11" i="3"/>
  <c r="I7" i="9"/>
  <c r="I9" i="9"/>
  <c r="B69" i="27"/>
  <c r="C5" i="27"/>
  <c r="C69" i="27" s="1"/>
  <c r="E24" i="27"/>
  <c r="F12" i="27"/>
  <c r="G13" i="27"/>
  <c r="G12" i="27" s="1"/>
  <c r="E9" i="27"/>
  <c r="C10" i="28" s="1"/>
  <c r="R25" i="27"/>
  <c r="P9" i="12"/>
  <c r="H11" i="21"/>
  <c r="M9" i="15"/>
  <c r="L10" i="15"/>
  <c r="I32" i="27"/>
  <c r="L7" i="15"/>
  <c r="J7" i="11"/>
  <c r="D12" i="27"/>
  <c r="L11" i="20"/>
  <c r="L7" i="20"/>
  <c r="V10" i="15"/>
  <c r="W9" i="15"/>
  <c r="S32" i="27"/>
  <c r="S30" i="27" s="1"/>
  <c r="V7" i="15"/>
  <c r="I12" i="12"/>
  <c r="I7" i="12"/>
  <c r="E14" i="27"/>
  <c r="H15" i="27"/>
  <c r="I11" i="13"/>
  <c r="I7" i="13"/>
  <c r="G19" i="27"/>
  <c r="H20" i="27"/>
  <c r="H19" i="27" s="1"/>
  <c r="K12" i="12"/>
  <c r="K7" i="12"/>
  <c r="I28" i="27"/>
  <c r="L9" i="3"/>
  <c r="H7" i="27"/>
  <c r="O8" i="20"/>
  <c r="K34" i="27"/>
  <c r="K33" i="27" s="1"/>
  <c r="Q8" i="20"/>
  <c r="J9" i="8"/>
  <c r="F11" i="27"/>
  <c r="U9" i="3"/>
  <c r="Q7" i="27"/>
  <c r="J9" i="13"/>
  <c r="F26" i="27"/>
  <c r="M10" i="12"/>
  <c r="I22" i="27"/>
  <c r="I25" i="27"/>
  <c r="K10" i="11"/>
  <c r="K12" i="11" s="1"/>
  <c r="G17" i="27"/>
  <c r="G14" i="27" s="1"/>
  <c r="H16" i="27"/>
  <c r="I7" i="3"/>
  <c r="J8" i="3"/>
  <c r="G6" i="27" s="1"/>
  <c r="L10" i="21"/>
  <c r="H40" i="27"/>
  <c r="J10" i="3"/>
  <c r="F8" i="27"/>
  <c r="T10" i="3"/>
  <c r="P8" i="27"/>
  <c r="J23" i="27"/>
  <c r="X10" i="3"/>
  <c r="U8" i="27" s="1"/>
  <c r="T8" i="27"/>
  <c r="N9" i="21"/>
  <c r="J39" i="27"/>
  <c r="L38" i="27"/>
  <c r="P8" i="21"/>
  <c r="I11" i="3"/>
  <c r="H33" i="27"/>
  <c r="I34" i="27"/>
  <c r="I33" i="27" s="1"/>
  <c r="M8" i="20"/>
  <c r="I21" i="27"/>
  <c r="F30" i="27"/>
  <c r="J8" i="21"/>
  <c r="F38" i="27"/>
  <c r="Q27" i="27"/>
  <c r="U10" i="13"/>
  <c r="V7" i="14"/>
  <c r="S29" i="27"/>
  <c r="S28" i="27" s="1"/>
  <c r="V9" i="14"/>
  <c r="W8" i="14"/>
  <c r="D37" i="27"/>
  <c r="I9" i="21"/>
  <c r="I7" i="21" s="1"/>
  <c r="E39" i="27"/>
  <c r="E37" i="27" s="1"/>
  <c r="F14" i="27"/>
  <c r="K8" i="15"/>
  <c r="K10" i="15" s="1"/>
  <c r="G31" i="27"/>
  <c r="G30" i="27" s="1"/>
  <c r="J7" i="15"/>
  <c r="F22" i="27"/>
  <c r="J29" i="27"/>
  <c r="J28" i="27" s="1"/>
  <c r="M7" i="14"/>
  <c r="N8" i="14"/>
  <c r="M9" i="14"/>
  <c r="J36" i="27"/>
  <c r="O10" i="20"/>
  <c r="L10" i="13"/>
  <c r="H27" i="27"/>
  <c r="N11" i="11"/>
  <c r="J18" i="27"/>
  <c r="E5" i="27"/>
  <c r="M8" i="13"/>
  <c r="V8" i="13"/>
  <c r="L8" i="12"/>
  <c r="L8" i="11"/>
  <c r="J7" i="9"/>
  <c r="J9" i="9"/>
  <c r="H13" i="27"/>
  <c r="H12" i="27" s="1"/>
  <c r="G10" i="3"/>
  <c r="D8" i="27" s="1"/>
  <c r="D5" i="27" s="1"/>
  <c r="F7" i="3"/>
  <c r="F11" i="3"/>
  <c r="K8" i="3"/>
  <c r="H6" i="27" s="1"/>
  <c r="E44" i="28" l="1"/>
  <c r="D62" i="28"/>
  <c r="F10" i="27"/>
  <c r="F9" i="27" s="1"/>
  <c r="D61" i="28"/>
  <c r="I10" i="8"/>
  <c r="I7" i="8"/>
  <c r="J8" i="8"/>
  <c r="G10" i="27" s="1"/>
  <c r="J10" i="19"/>
  <c r="F68" i="27"/>
  <c r="Y9" i="29"/>
  <c r="M74" i="29"/>
  <c r="L77" i="29"/>
  <c r="K10" i="29" s="1"/>
  <c r="G44" i="27"/>
  <c r="G41" i="27" s="1"/>
  <c r="J11" i="29"/>
  <c r="J7" i="29"/>
  <c r="F58" i="27"/>
  <c r="I7" i="16"/>
  <c r="I10" i="16"/>
  <c r="L8" i="16"/>
  <c r="E57" i="27"/>
  <c r="C58" i="28" s="1"/>
  <c r="L9" i="19"/>
  <c r="H67" i="27"/>
  <c r="O66" i="27"/>
  <c r="S8" i="19"/>
  <c r="E66" i="27"/>
  <c r="I8" i="19"/>
  <c r="H11" i="19"/>
  <c r="H7" i="19"/>
  <c r="D65" i="27"/>
  <c r="K66" i="27"/>
  <c r="S64" i="27"/>
  <c r="S63" i="27" s="1"/>
  <c r="V9" i="18"/>
  <c r="W8" i="18"/>
  <c r="V7" i="18"/>
  <c r="D63" i="27"/>
  <c r="C64" i="28" s="1"/>
  <c r="I64" i="27"/>
  <c r="I63" i="27" s="1"/>
  <c r="L9" i="18"/>
  <c r="L7" i="18"/>
  <c r="M8" i="18"/>
  <c r="H63" i="27"/>
  <c r="N61" i="27"/>
  <c r="Q11" i="17"/>
  <c r="Q8" i="17"/>
  <c r="T9" i="17"/>
  <c r="L59" i="27"/>
  <c r="J59" i="27"/>
  <c r="M7" i="16"/>
  <c r="M10" i="16"/>
  <c r="N9" i="16"/>
  <c r="P12" i="24"/>
  <c r="L55" i="27"/>
  <c r="X12" i="24"/>
  <c r="U55" i="27" s="1"/>
  <c r="T55" i="27"/>
  <c r="O11" i="24"/>
  <c r="K54" i="27"/>
  <c r="J47" i="27"/>
  <c r="J45" i="27" s="1"/>
  <c r="M12" i="22"/>
  <c r="N11" i="22"/>
  <c r="M9" i="22"/>
  <c r="I42" i="27"/>
  <c r="O8" i="29"/>
  <c r="V43" i="27"/>
  <c r="B44" i="28" s="1"/>
  <c r="K162" i="4"/>
  <c r="K174" i="4"/>
  <c r="V46" i="27"/>
  <c r="U46" i="27"/>
  <c r="X12" i="22"/>
  <c r="X9" i="22"/>
  <c r="J49" i="27"/>
  <c r="J48" i="27" s="1"/>
  <c r="M11" i="23"/>
  <c r="M8" i="23"/>
  <c r="N9" i="23"/>
  <c r="R49" i="27"/>
  <c r="V9" i="23"/>
  <c r="O10" i="23"/>
  <c r="K50" i="27"/>
  <c r="T10" i="23"/>
  <c r="P50" i="27"/>
  <c r="O10" i="24"/>
  <c r="K53" i="27"/>
  <c r="I52" i="27"/>
  <c r="I51" i="27" s="1"/>
  <c r="M9" i="24"/>
  <c r="L14" i="24"/>
  <c r="L8" i="24"/>
  <c r="Q52" i="27"/>
  <c r="U9" i="24"/>
  <c r="Q13" i="24"/>
  <c r="L56" i="27"/>
  <c r="D57" i="28" s="1"/>
  <c r="F5" i="27"/>
  <c r="D14" i="28"/>
  <c r="D13" i="28" s="1"/>
  <c r="K7" i="11"/>
  <c r="X9" i="15"/>
  <c r="T32" i="27"/>
  <c r="I11" i="21"/>
  <c r="J25" i="27"/>
  <c r="M11" i="20"/>
  <c r="M7" i="20"/>
  <c r="M7" i="12"/>
  <c r="M12" i="12"/>
  <c r="I30" i="27"/>
  <c r="R9" i="12"/>
  <c r="T9" i="12" s="1"/>
  <c r="I15" i="27"/>
  <c r="I20" i="27"/>
  <c r="I19" i="27" s="1"/>
  <c r="L7" i="12"/>
  <c r="O8" i="12"/>
  <c r="L12" i="12"/>
  <c r="J11" i="13"/>
  <c r="J7" i="13"/>
  <c r="M10" i="15"/>
  <c r="N9" i="15"/>
  <c r="J32" i="27"/>
  <c r="J30" i="27" s="1"/>
  <c r="M7" i="15"/>
  <c r="S25" i="27"/>
  <c r="Q7" i="20"/>
  <c r="Q11" i="20"/>
  <c r="O11" i="20"/>
  <c r="O7" i="20"/>
  <c r="M38" i="27"/>
  <c r="Q8" i="21"/>
  <c r="L36" i="27"/>
  <c r="D37" i="28" s="1"/>
  <c r="R10" i="20"/>
  <c r="K8" i="21"/>
  <c r="G38" i="27"/>
  <c r="K10" i="3"/>
  <c r="K7" i="3" s="1"/>
  <c r="G8" i="27"/>
  <c r="G5" i="27" s="1"/>
  <c r="J7" i="3"/>
  <c r="R27" i="27"/>
  <c r="V10" i="13"/>
  <c r="J34" i="27"/>
  <c r="J33" i="27" s="1"/>
  <c r="L10" i="11"/>
  <c r="L12" i="11" s="1"/>
  <c r="H17" i="27"/>
  <c r="H14" i="27" s="1"/>
  <c r="I16" i="27"/>
  <c r="J11" i="3"/>
  <c r="K23" i="27"/>
  <c r="M9" i="3"/>
  <c r="I7" i="27"/>
  <c r="K29" i="27"/>
  <c r="K28" i="27" s="1"/>
  <c r="N7" i="14"/>
  <c r="O8" i="14"/>
  <c r="N9" i="14"/>
  <c r="J21" i="27"/>
  <c r="O9" i="21"/>
  <c r="K39" i="27"/>
  <c r="O11" i="11"/>
  <c r="K18" i="27"/>
  <c r="M10" i="21"/>
  <c r="I40" i="27"/>
  <c r="F24" i="27"/>
  <c r="R8" i="20"/>
  <c r="N34" i="27"/>
  <c r="T8" i="20"/>
  <c r="N8" i="15"/>
  <c r="H31" i="27"/>
  <c r="H30" i="27" s="1"/>
  <c r="K7" i="15"/>
  <c r="U10" i="3"/>
  <c r="Q8" i="27"/>
  <c r="K9" i="13"/>
  <c r="G26" i="27"/>
  <c r="G24" i="27" s="1"/>
  <c r="M10" i="13"/>
  <c r="I27" i="27"/>
  <c r="N10" i="12"/>
  <c r="J22" i="27"/>
  <c r="L34" i="27"/>
  <c r="P8" i="20"/>
  <c r="J9" i="21"/>
  <c r="J11" i="21" s="1"/>
  <c r="F39" i="27"/>
  <c r="F37" i="27" s="1"/>
  <c r="V9" i="3"/>
  <c r="R7" i="27"/>
  <c r="F19" i="27"/>
  <c r="T29" i="27"/>
  <c r="T28" i="27" s="1"/>
  <c r="W9" i="14"/>
  <c r="W7" i="14"/>
  <c r="X8" i="14"/>
  <c r="K9" i="8"/>
  <c r="G11" i="27"/>
  <c r="W8" i="13"/>
  <c r="J20" i="27"/>
  <c r="N8" i="13"/>
  <c r="M8" i="11"/>
  <c r="K7" i="9"/>
  <c r="I13" i="27"/>
  <c r="I12" i="27" s="1"/>
  <c r="K9" i="9"/>
  <c r="G7" i="3"/>
  <c r="G11" i="3"/>
  <c r="L8" i="3"/>
  <c r="I6" i="27" s="1"/>
  <c r="E65" i="27" l="1"/>
  <c r="E69" i="27" s="1"/>
  <c r="C67" i="28"/>
  <c r="K8" i="8"/>
  <c r="H10" i="27" s="1"/>
  <c r="J10" i="8"/>
  <c r="K10" i="19"/>
  <c r="G68" i="27"/>
  <c r="G65" i="27" s="1"/>
  <c r="J7" i="19"/>
  <c r="J11" i="19"/>
  <c r="N10" i="15"/>
  <c r="G9" i="27"/>
  <c r="J7" i="8"/>
  <c r="D69" i="27"/>
  <c r="C70" i="28" s="1"/>
  <c r="S13" i="24"/>
  <c r="N56" i="27"/>
  <c r="R52" i="27"/>
  <c r="V9" i="24"/>
  <c r="J52" i="27"/>
  <c r="J51" i="27" s="1"/>
  <c r="N9" i="24"/>
  <c r="M14" i="24"/>
  <c r="M8" i="24"/>
  <c r="P10" i="24"/>
  <c r="L53" i="27"/>
  <c r="U10" i="23"/>
  <c r="Q50" i="27"/>
  <c r="Q48" i="27" s="1"/>
  <c r="T8" i="23"/>
  <c r="T11" i="23"/>
  <c r="P10" i="23"/>
  <c r="L50" i="27"/>
  <c r="S49" i="27"/>
  <c r="W9" i="23"/>
  <c r="K49" i="27"/>
  <c r="K48" i="27" s="1"/>
  <c r="N8" i="23"/>
  <c r="N11" i="23"/>
  <c r="O9" i="23"/>
  <c r="E47" i="28"/>
  <c r="U45" i="27"/>
  <c r="E46" i="28" s="1"/>
  <c r="B47" i="28"/>
  <c r="L42" i="27"/>
  <c r="D43" i="28" s="1"/>
  <c r="R8" i="29"/>
  <c r="N9" i="22"/>
  <c r="Y9" i="22" s="1"/>
  <c r="K47" i="27"/>
  <c r="K45" i="27" s="1"/>
  <c r="D46" i="28" s="1"/>
  <c r="N12" i="22"/>
  <c r="Y11" i="22"/>
  <c r="P11" i="24"/>
  <c r="L54" i="27"/>
  <c r="Q12" i="24"/>
  <c r="M55" i="27"/>
  <c r="D56" i="28" s="1"/>
  <c r="K59" i="27"/>
  <c r="K57" i="27" s="1"/>
  <c r="N10" i="16"/>
  <c r="N7" i="16"/>
  <c r="J57" i="27"/>
  <c r="M59" i="27"/>
  <c r="P10" i="16"/>
  <c r="P7" i="16"/>
  <c r="Q61" i="27"/>
  <c r="T11" i="17"/>
  <c r="T8" i="17"/>
  <c r="W9" i="17"/>
  <c r="J64" i="27"/>
  <c r="M9" i="18"/>
  <c r="N8" i="18"/>
  <c r="M7" i="18"/>
  <c r="T64" i="27"/>
  <c r="T63" i="27" s="1"/>
  <c r="W7" i="18"/>
  <c r="X8" i="18"/>
  <c r="W9" i="18"/>
  <c r="F66" i="27"/>
  <c r="I11" i="19"/>
  <c r="I7" i="19"/>
  <c r="P66" i="27"/>
  <c r="T8" i="19"/>
  <c r="M9" i="19"/>
  <c r="I67" i="27"/>
  <c r="I58" i="27"/>
  <c r="I57" i="27" s="1"/>
  <c r="L7" i="16"/>
  <c r="L10" i="16"/>
  <c r="O8" i="16"/>
  <c r="F57" i="27"/>
  <c r="H44" i="27"/>
  <c r="H41" i="27" s="1"/>
  <c r="K11" i="29"/>
  <c r="K7" i="29"/>
  <c r="N74" i="29"/>
  <c r="M77" i="29"/>
  <c r="L10" i="29" s="1"/>
  <c r="L7" i="11"/>
  <c r="J7" i="21"/>
  <c r="K11" i="3"/>
  <c r="L33" i="27"/>
  <c r="J15" i="27"/>
  <c r="M7" i="21"/>
  <c r="M11" i="21"/>
  <c r="K25" i="27"/>
  <c r="K11" i="13"/>
  <c r="K7" i="13"/>
  <c r="X10" i="15"/>
  <c r="U32" i="27"/>
  <c r="U30" i="27" s="1"/>
  <c r="X7" i="15"/>
  <c r="T7" i="12"/>
  <c r="V9" i="12"/>
  <c r="T12" i="12"/>
  <c r="T25" i="27"/>
  <c r="R8" i="12"/>
  <c r="N12" i="12"/>
  <c r="N7" i="12"/>
  <c r="O9" i="15"/>
  <c r="K32" i="27"/>
  <c r="R7" i="20"/>
  <c r="R11" i="20"/>
  <c r="P11" i="20"/>
  <c r="P7" i="20"/>
  <c r="T11" i="20"/>
  <c r="T7" i="20"/>
  <c r="U8" i="20"/>
  <c r="Q34" i="27"/>
  <c r="Q33" i="27" s="1"/>
  <c r="W8" i="20"/>
  <c r="J19" i="27"/>
  <c r="W9" i="3"/>
  <c r="S7" i="27"/>
  <c r="N33" i="27"/>
  <c r="L23" i="27"/>
  <c r="S27" i="27"/>
  <c r="W10" i="13"/>
  <c r="N38" i="27"/>
  <c r="R8" i="21"/>
  <c r="O34" i="27"/>
  <c r="S8" i="20"/>
  <c r="K21" i="27"/>
  <c r="M34" i="27"/>
  <c r="M33" i="27" s="1"/>
  <c r="D34" i="28" s="1"/>
  <c r="L9" i="8"/>
  <c r="H11" i="27"/>
  <c r="H9" i="27" s="1"/>
  <c r="N10" i="21"/>
  <c r="J40" i="27"/>
  <c r="P9" i="21"/>
  <c r="L39" i="27"/>
  <c r="O10" i="12"/>
  <c r="O7" i="12" s="1"/>
  <c r="K22" i="27"/>
  <c r="Q8" i="15"/>
  <c r="K31" i="27"/>
  <c r="D32" i="28" s="1"/>
  <c r="N7" i="15"/>
  <c r="H38" i="27"/>
  <c r="L8" i="21"/>
  <c r="K9" i="21"/>
  <c r="G39" i="27"/>
  <c r="G37" i="27" s="1"/>
  <c r="V10" i="3"/>
  <c r="S8" i="27" s="1"/>
  <c r="R8" i="27"/>
  <c r="L29" i="27"/>
  <c r="P8" i="14"/>
  <c r="O7" i="14"/>
  <c r="O9" i="14"/>
  <c r="M10" i="11"/>
  <c r="M12" i="11" s="1"/>
  <c r="I17" i="27"/>
  <c r="I14" i="27" s="1"/>
  <c r="U29" i="27"/>
  <c r="U28" i="27" s="1"/>
  <c r="X9" i="14"/>
  <c r="X7" i="14"/>
  <c r="N10" i="13"/>
  <c r="J27" i="27"/>
  <c r="P11" i="11"/>
  <c r="L18" i="27"/>
  <c r="N9" i="3"/>
  <c r="J7" i="27"/>
  <c r="U10" i="20"/>
  <c r="O36" i="27"/>
  <c r="L9" i="13"/>
  <c r="H26" i="27"/>
  <c r="J16" i="27"/>
  <c r="L10" i="3"/>
  <c r="L11" i="3" s="1"/>
  <c r="H8" i="27"/>
  <c r="O8" i="13"/>
  <c r="K20" i="27"/>
  <c r="N8" i="11"/>
  <c r="L7" i="9"/>
  <c r="L9" i="9"/>
  <c r="J13" i="27"/>
  <c r="J12" i="27" s="1"/>
  <c r="L8" i="8"/>
  <c r="I10" i="27" s="1"/>
  <c r="K10" i="8"/>
  <c r="K7" i="8"/>
  <c r="M8" i="3"/>
  <c r="J6" i="27" s="1"/>
  <c r="C66" i="28" l="1"/>
  <c r="G69" i="27"/>
  <c r="L10" i="19"/>
  <c r="H68" i="27"/>
  <c r="K11" i="19"/>
  <c r="K7" i="19"/>
  <c r="H39" i="27"/>
  <c r="H37" i="27" s="1"/>
  <c r="K7" i="21"/>
  <c r="I44" i="27"/>
  <c r="I41" i="27" s="1"/>
  <c r="L7" i="29"/>
  <c r="L11" i="29"/>
  <c r="N77" i="29"/>
  <c r="M10" i="29" s="1"/>
  <c r="O74" i="29"/>
  <c r="L58" i="27"/>
  <c r="R8" i="16"/>
  <c r="O7" i="16"/>
  <c r="O10" i="16"/>
  <c r="N9" i="19"/>
  <c r="J67" i="27"/>
  <c r="Q66" i="27"/>
  <c r="U8" i="19"/>
  <c r="D67" i="28"/>
  <c r="F65" i="27"/>
  <c r="F69" i="27" s="1"/>
  <c r="U64" i="27"/>
  <c r="U63" i="27" s="1"/>
  <c r="X7" i="18"/>
  <c r="X9" i="18"/>
  <c r="K64" i="27"/>
  <c r="K63" i="27" s="1"/>
  <c r="N7" i="18"/>
  <c r="O8" i="18"/>
  <c r="N9" i="18"/>
  <c r="J63" i="27"/>
  <c r="T61" i="27"/>
  <c r="W11" i="17"/>
  <c r="W8" i="17"/>
  <c r="Y8" i="17" s="1"/>
  <c r="Y9" i="17"/>
  <c r="N59" i="27"/>
  <c r="N57" i="27" s="1"/>
  <c r="Q7" i="16"/>
  <c r="Q10" i="16"/>
  <c r="M57" i="27"/>
  <c r="D60" i="28"/>
  <c r="R12" i="24"/>
  <c r="N55" i="27"/>
  <c r="Q11" i="24"/>
  <c r="N54" i="27" s="1"/>
  <c r="E55" i="28" s="1"/>
  <c r="M54" i="27"/>
  <c r="D55" i="28" s="1"/>
  <c r="Y11" i="24"/>
  <c r="K176" i="4"/>
  <c r="V47" i="27"/>
  <c r="Y12" i="22"/>
  <c r="Y14" i="22" s="1"/>
  <c r="O42" i="27"/>
  <c r="U8" i="29"/>
  <c r="L49" i="27"/>
  <c r="P9" i="23"/>
  <c r="O11" i="23"/>
  <c r="O8" i="23"/>
  <c r="T49" i="27"/>
  <c r="X9" i="23"/>
  <c r="Q10" i="23"/>
  <c r="N50" i="27" s="1"/>
  <c r="M50" i="27"/>
  <c r="D51" i="28" s="1"/>
  <c r="V10" i="23"/>
  <c r="R50" i="27"/>
  <c r="R48" i="27" s="1"/>
  <c r="U8" i="23"/>
  <c r="U11" i="23"/>
  <c r="Q10" i="24"/>
  <c r="M53" i="27"/>
  <c r="D54" i="28" s="1"/>
  <c r="K52" i="27"/>
  <c r="K51" i="27" s="1"/>
  <c r="O9" i="24"/>
  <c r="N14" i="24"/>
  <c r="N8" i="24"/>
  <c r="S52" i="27"/>
  <c r="S51" i="27" s="1"/>
  <c r="V14" i="24"/>
  <c r="V8" i="24"/>
  <c r="W9" i="24"/>
  <c r="U13" i="24"/>
  <c r="P56" i="27"/>
  <c r="D35" i="28"/>
  <c r="L7" i="3"/>
  <c r="O12" i="12"/>
  <c r="K30" i="27"/>
  <c r="K15" i="27"/>
  <c r="L11" i="21"/>
  <c r="L7" i="21"/>
  <c r="L25" i="27"/>
  <c r="N7" i="21"/>
  <c r="N11" i="21"/>
  <c r="U8" i="12"/>
  <c r="M7" i="11"/>
  <c r="K11" i="21"/>
  <c r="V12" i="12"/>
  <c r="V7" i="12"/>
  <c r="X9" i="12"/>
  <c r="O10" i="15"/>
  <c r="P9" i="15"/>
  <c r="L32" i="27"/>
  <c r="O7" i="15"/>
  <c r="L7" i="13"/>
  <c r="L11" i="13"/>
  <c r="S7" i="20"/>
  <c r="S11" i="20"/>
  <c r="W11" i="20"/>
  <c r="W7" i="20"/>
  <c r="U11" i="20"/>
  <c r="U7" i="20"/>
  <c r="R36" i="27"/>
  <c r="X10" i="20"/>
  <c r="O10" i="13"/>
  <c r="K27" i="27"/>
  <c r="N10" i="11"/>
  <c r="N12" i="11" s="1"/>
  <c r="J17" i="27"/>
  <c r="J14" i="27" s="1"/>
  <c r="L21" i="27"/>
  <c r="K16" i="27"/>
  <c r="M29" i="27"/>
  <c r="M28" i="27" s="1"/>
  <c r="P7" i="14"/>
  <c r="Q8" i="14"/>
  <c r="P9" i="14"/>
  <c r="P10" i="12"/>
  <c r="L22" i="27"/>
  <c r="M23" i="27"/>
  <c r="D24" i="28" s="1"/>
  <c r="L28" i="27"/>
  <c r="X9" i="3"/>
  <c r="U7" i="27" s="1"/>
  <c r="T7" i="27"/>
  <c r="O9" i="3"/>
  <c r="K7" i="27"/>
  <c r="S8" i="21"/>
  <c r="O38" i="27"/>
  <c r="T8" i="15"/>
  <c r="T10" i="15" s="1"/>
  <c r="N31" i="27"/>
  <c r="H24" i="27"/>
  <c r="Q9" i="21"/>
  <c r="M39" i="27"/>
  <c r="D40" i="28" s="1"/>
  <c r="T27" i="27"/>
  <c r="M9" i="8"/>
  <c r="I11" i="27"/>
  <c r="R34" i="27"/>
  <c r="V8" i="20"/>
  <c r="I38" i="27"/>
  <c r="I37" i="27" s="1"/>
  <c r="K19" i="27"/>
  <c r="M9" i="13"/>
  <c r="I26" i="27"/>
  <c r="I24" i="27" s="1"/>
  <c r="J37" i="27"/>
  <c r="O33" i="27"/>
  <c r="P34" i="27"/>
  <c r="H5" i="27"/>
  <c r="M10" i="3"/>
  <c r="M11" i="3" s="1"/>
  <c r="I8" i="27"/>
  <c r="I5" i="27" s="1"/>
  <c r="Q11" i="11"/>
  <c r="M18" i="27"/>
  <c r="D19" i="28" s="1"/>
  <c r="O10" i="21"/>
  <c r="K40" i="27"/>
  <c r="K37" i="27" s="1"/>
  <c r="X8" i="20"/>
  <c r="T34" i="27"/>
  <c r="T33" i="27" s="1"/>
  <c r="L20" i="27"/>
  <c r="P8" i="13"/>
  <c r="O8" i="11"/>
  <c r="M7" i="9"/>
  <c r="K13" i="27"/>
  <c r="K12" i="27" s="1"/>
  <c r="M9" i="9"/>
  <c r="M8" i="8"/>
  <c r="L7" i="8"/>
  <c r="L10" i="8"/>
  <c r="N8" i="3"/>
  <c r="K6" i="27" s="1"/>
  <c r="M7" i="3"/>
  <c r="H65" i="27" l="1"/>
  <c r="H69" i="27" s="1"/>
  <c r="J10" i="27"/>
  <c r="M10" i="19"/>
  <c r="I68" i="27"/>
  <c r="I65" i="27" s="1"/>
  <c r="L11" i="19"/>
  <c r="L7" i="19"/>
  <c r="W13" i="24"/>
  <c r="R56" i="27"/>
  <c r="T52" i="27"/>
  <c r="X9" i="24"/>
  <c r="W14" i="24"/>
  <c r="W8" i="24"/>
  <c r="L52" i="27"/>
  <c r="L51" i="27" s="1"/>
  <c r="O14" i="24"/>
  <c r="O8" i="24"/>
  <c r="P9" i="24"/>
  <c r="R10" i="24"/>
  <c r="N53" i="27"/>
  <c r="W10" i="23"/>
  <c r="S50" i="27"/>
  <c r="S48" i="27" s="1"/>
  <c r="V8" i="23"/>
  <c r="V11" i="23"/>
  <c r="U49" i="27"/>
  <c r="M49" i="27"/>
  <c r="M48" i="27" s="1"/>
  <c r="P11" i="23"/>
  <c r="Q9" i="23"/>
  <c r="P8" i="23"/>
  <c r="L48" i="27"/>
  <c r="R42" i="27"/>
  <c r="X8" i="29"/>
  <c r="B48" i="28"/>
  <c r="V45" i="27"/>
  <c r="B46" i="28" s="1"/>
  <c r="V54" i="27"/>
  <c r="B55" i="28" s="1"/>
  <c r="K203" i="4"/>
  <c r="S12" i="24"/>
  <c r="O55" i="27"/>
  <c r="O59" i="27"/>
  <c r="Y11" i="17"/>
  <c r="V61" i="27"/>
  <c r="K225" i="4"/>
  <c r="E61" i="28"/>
  <c r="E62" i="28"/>
  <c r="L64" i="27"/>
  <c r="O7" i="18"/>
  <c r="O9" i="18"/>
  <c r="P8" i="18"/>
  <c r="R66" i="27"/>
  <c r="V8" i="19"/>
  <c r="O9" i="19"/>
  <c r="K67" i="27"/>
  <c r="O58" i="27"/>
  <c r="U8" i="16"/>
  <c r="R10" i="16"/>
  <c r="R7" i="16"/>
  <c r="L57" i="27"/>
  <c r="D58" i="28" s="1"/>
  <c r="D59" i="28"/>
  <c r="P74" i="29"/>
  <c r="O77" i="29"/>
  <c r="N10" i="29" s="1"/>
  <c r="J44" i="27"/>
  <c r="J41" i="27" s="1"/>
  <c r="M11" i="29"/>
  <c r="M7" i="29"/>
  <c r="D39" i="28"/>
  <c r="I9" i="27"/>
  <c r="I69" i="27" s="1"/>
  <c r="L30" i="27"/>
  <c r="D29" i="28"/>
  <c r="D30" i="28"/>
  <c r="O7" i="21"/>
  <c r="O11" i="21"/>
  <c r="M7" i="13"/>
  <c r="M11" i="13"/>
  <c r="L15" i="27"/>
  <c r="P10" i="15"/>
  <c r="Q9" i="15"/>
  <c r="M32" i="27"/>
  <c r="M30" i="27" s="1"/>
  <c r="P7" i="15"/>
  <c r="X8" i="12"/>
  <c r="U7" i="12"/>
  <c r="U12" i="12"/>
  <c r="P12" i="12"/>
  <c r="P7" i="12"/>
  <c r="R33" i="27"/>
  <c r="N7" i="11"/>
  <c r="Y8" i="20"/>
  <c r="X7" i="20"/>
  <c r="X11" i="20"/>
  <c r="V11" i="20"/>
  <c r="Y11" i="20" s="1"/>
  <c r="V7" i="20"/>
  <c r="P10" i="13"/>
  <c r="L27" i="27"/>
  <c r="P33" i="27"/>
  <c r="N9" i="13"/>
  <c r="J26" i="27"/>
  <c r="J24" i="27" s="1"/>
  <c r="S34" i="27"/>
  <c r="S33" i="27" s="1"/>
  <c r="P9" i="3"/>
  <c r="L7" i="27"/>
  <c r="N23" i="27"/>
  <c r="L16" i="27"/>
  <c r="U36" i="27"/>
  <c r="E37" i="28" s="1"/>
  <c r="Y10" i="20"/>
  <c r="R9" i="21"/>
  <c r="N39" i="27"/>
  <c r="Q10" i="12"/>
  <c r="M22" i="27"/>
  <c r="D23" i="28" s="1"/>
  <c r="L19" i="27"/>
  <c r="U34" i="27"/>
  <c r="N10" i="3"/>
  <c r="N11" i="3" s="1"/>
  <c r="J8" i="27"/>
  <c r="J5" i="27" s="1"/>
  <c r="N9" i="8"/>
  <c r="J11" i="27"/>
  <c r="J9" i="27" s="1"/>
  <c r="W8" i="15"/>
  <c r="W10" i="15" s="1"/>
  <c r="Q31" i="27"/>
  <c r="Q30" i="27" s="1"/>
  <c r="T7" i="15"/>
  <c r="M21" i="27"/>
  <c r="D22" i="28" s="1"/>
  <c r="R11" i="11"/>
  <c r="N18" i="27"/>
  <c r="M25" i="27"/>
  <c r="D26" i="28" s="1"/>
  <c r="N29" i="27"/>
  <c r="Q9" i="14"/>
  <c r="R8" i="14"/>
  <c r="Q7" i="14"/>
  <c r="P10" i="21"/>
  <c r="L40" i="27"/>
  <c r="P38" i="27"/>
  <c r="T8" i="21"/>
  <c r="O10" i="11"/>
  <c r="O7" i="11" s="1"/>
  <c r="K17" i="27"/>
  <c r="K14" i="27" s="1"/>
  <c r="Q8" i="13"/>
  <c r="Y8" i="13" s="1"/>
  <c r="M20" i="27"/>
  <c r="D21" i="28" s="1"/>
  <c r="P8" i="11"/>
  <c r="L13" i="27"/>
  <c r="N9" i="9"/>
  <c r="N7" i="9"/>
  <c r="N8" i="8"/>
  <c r="K10" i="27" s="1"/>
  <c r="M10" i="8"/>
  <c r="M7" i="8"/>
  <c r="O8" i="3"/>
  <c r="L6" i="27" s="1"/>
  <c r="D49" i="28" l="1"/>
  <c r="D50" i="28"/>
  <c r="O57" i="27"/>
  <c r="N10" i="19"/>
  <c r="J68" i="27"/>
  <c r="J65" i="27" s="1"/>
  <c r="J69" i="27" s="1"/>
  <c r="M11" i="19"/>
  <c r="M7" i="19"/>
  <c r="K44" i="27"/>
  <c r="K41" i="27" s="1"/>
  <c r="N7" i="29"/>
  <c r="N11" i="29"/>
  <c r="P77" i="29"/>
  <c r="O10" i="29" s="1"/>
  <c r="Q74" i="29"/>
  <c r="R58" i="27"/>
  <c r="X8" i="16"/>
  <c r="Y8" i="16"/>
  <c r="P9" i="19"/>
  <c r="L67" i="27"/>
  <c r="S66" i="27"/>
  <c r="W8" i="19"/>
  <c r="M64" i="27"/>
  <c r="M63" i="27" s="1"/>
  <c r="P7" i="18"/>
  <c r="Q8" i="18"/>
  <c r="P9" i="18"/>
  <c r="L63" i="27"/>
  <c r="B62" i="28"/>
  <c r="V60" i="27"/>
  <c r="B61" i="28" s="1"/>
  <c r="P59" i="27"/>
  <c r="P57" i="27" s="1"/>
  <c r="S10" i="16"/>
  <c r="S7" i="16"/>
  <c r="T12" i="24"/>
  <c r="Q55" i="27" s="1"/>
  <c r="P55" i="27"/>
  <c r="U42" i="27"/>
  <c r="E43" i="28" s="1"/>
  <c r="Y8" i="29"/>
  <c r="N49" i="27"/>
  <c r="N48" i="27" s="1"/>
  <c r="Q11" i="23"/>
  <c r="R9" i="23"/>
  <c r="Q8" i="23"/>
  <c r="X10" i="23"/>
  <c r="T50" i="27"/>
  <c r="W11" i="23"/>
  <c r="W8" i="23"/>
  <c r="S10" i="24"/>
  <c r="O53" i="27"/>
  <c r="M52" i="27"/>
  <c r="P8" i="24"/>
  <c r="Q9" i="24"/>
  <c r="P14" i="24"/>
  <c r="U52" i="27"/>
  <c r="U51" i="27" s="1"/>
  <c r="X14" i="24"/>
  <c r="X8" i="24"/>
  <c r="T56" i="27"/>
  <c r="Y13" i="24"/>
  <c r="D31" i="28"/>
  <c r="Y7" i="20"/>
  <c r="E35" i="28"/>
  <c r="D33" i="28"/>
  <c r="N7" i="3"/>
  <c r="U33" i="27"/>
  <c r="E34" i="28" s="1"/>
  <c r="N25" i="27"/>
  <c r="E26" i="28" s="1"/>
  <c r="O12" i="11"/>
  <c r="Q12" i="12"/>
  <c r="Q7" i="12"/>
  <c r="P11" i="21"/>
  <c r="P7" i="21"/>
  <c r="Y8" i="15"/>
  <c r="V31" i="27" s="1"/>
  <c r="B32" i="28" s="1"/>
  <c r="N7" i="13"/>
  <c r="N11" i="13"/>
  <c r="X12" i="12"/>
  <c r="X7" i="12"/>
  <c r="U20" i="27"/>
  <c r="R9" i="15"/>
  <c r="N32" i="27"/>
  <c r="Q7" i="15"/>
  <c r="Q10" i="15"/>
  <c r="M15" i="27"/>
  <c r="D16" i="28" s="1"/>
  <c r="M19" i="27"/>
  <c r="D20" i="28" s="1"/>
  <c r="K96" i="4"/>
  <c r="V25" i="27"/>
  <c r="B26" i="28" s="1"/>
  <c r="Q9" i="3"/>
  <c r="N7" i="27" s="1"/>
  <c r="E8" i="28" s="1"/>
  <c r="M7" i="27"/>
  <c r="D8" i="28" s="1"/>
  <c r="Y9" i="3"/>
  <c r="O9" i="13"/>
  <c r="K26" i="27"/>
  <c r="K24" i="27" s="1"/>
  <c r="O29" i="27"/>
  <c r="O28" i="27" s="1"/>
  <c r="R7" i="14"/>
  <c r="Y7" i="14" s="1"/>
  <c r="R9" i="14"/>
  <c r="Y9" i="14" s="1"/>
  <c r="Y8" i="14"/>
  <c r="K135" i="4"/>
  <c r="V36" i="27"/>
  <c r="B37" i="28" s="1"/>
  <c r="O10" i="3"/>
  <c r="O11" i="3" s="1"/>
  <c r="K8" i="27"/>
  <c r="R10" i="12"/>
  <c r="N22" i="27"/>
  <c r="K128" i="4"/>
  <c r="V34" i="27"/>
  <c r="B35" i="28" s="1"/>
  <c r="Q38" i="27"/>
  <c r="U8" i="21"/>
  <c r="S11" i="11"/>
  <c r="O18" i="27"/>
  <c r="T31" i="27"/>
  <c r="T30" i="27" s="1"/>
  <c r="W7" i="15"/>
  <c r="M16" i="27"/>
  <c r="D17" i="28" s="1"/>
  <c r="Q10" i="13"/>
  <c r="N27" i="27" s="1"/>
  <c r="E28" i="28" s="1"/>
  <c r="M27" i="27"/>
  <c r="D28" i="28" s="1"/>
  <c r="N28" i="27"/>
  <c r="L37" i="27"/>
  <c r="P10" i="11"/>
  <c r="L17" i="27"/>
  <c r="L14" i="27" s="1"/>
  <c r="N21" i="27"/>
  <c r="O9" i="8"/>
  <c r="K11" i="27"/>
  <c r="L12" i="27"/>
  <c r="Q10" i="21"/>
  <c r="M40" i="27"/>
  <c r="M37" i="27" s="1"/>
  <c r="S9" i="21"/>
  <c r="O39" i="27"/>
  <c r="O23" i="27"/>
  <c r="N20" i="27"/>
  <c r="Q8" i="11"/>
  <c r="O7" i="9"/>
  <c r="M13" i="27"/>
  <c r="M12" i="27" s="1"/>
  <c r="O9" i="9"/>
  <c r="O8" i="8"/>
  <c r="L10" i="27" s="1"/>
  <c r="N7" i="8"/>
  <c r="N10" i="8"/>
  <c r="P8" i="3"/>
  <c r="M6" i="27" s="1"/>
  <c r="D7" i="28" s="1"/>
  <c r="Y10" i="13" l="1"/>
  <c r="V27" i="27" s="1"/>
  <c r="B28" i="28" s="1"/>
  <c r="K117" i="4"/>
  <c r="O10" i="19"/>
  <c r="K68" i="27"/>
  <c r="N11" i="19"/>
  <c r="N7" i="19"/>
  <c r="Y12" i="24"/>
  <c r="V55" i="27" s="1"/>
  <c r="B56" i="28" s="1"/>
  <c r="D65" i="28"/>
  <c r="P12" i="11"/>
  <c r="P7" i="11"/>
  <c r="V56" i="27"/>
  <c r="B57" i="28" s="1"/>
  <c r="K210" i="4"/>
  <c r="T51" i="27"/>
  <c r="E57" i="28"/>
  <c r="N52" i="27"/>
  <c r="N51" i="27" s="1"/>
  <c r="Q14" i="24"/>
  <c r="Q8" i="24"/>
  <c r="R9" i="24"/>
  <c r="D53" i="28"/>
  <c r="M51" i="27"/>
  <c r="D52" i="28" s="1"/>
  <c r="P53" i="27"/>
  <c r="T10" i="24"/>
  <c r="U10" i="24"/>
  <c r="Y10" i="24"/>
  <c r="T48" i="27"/>
  <c r="U50" i="27"/>
  <c r="Y10" i="23"/>
  <c r="X8" i="23"/>
  <c r="X11" i="23"/>
  <c r="O49" i="27"/>
  <c r="O48" i="27" s="1"/>
  <c r="R11" i="23"/>
  <c r="S9" i="23"/>
  <c r="Y9" i="23" s="1"/>
  <c r="R8" i="23"/>
  <c r="V42" i="27"/>
  <c r="B43" i="28" s="1"/>
  <c r="K155" i="4"/>
  <c r="E56" i="28"/>
  <c r="Q59" i="27"/>
  <c r="Q57" i="27" s="1"/>
  <c r="T10" i="16"/>
  <c r="T7" i="16"/>
  <c r="N64" i="27"/>
  <c r="Q7" i="18"/>
  <c r="R8" i="18"/>
  <c r="Y8" i="18" s="1"/>
  <c r="Q9" i="18"/>
  <c r="D64" i="28"/>
  <c r="T66" i="27"/>
  <c r="X8" i="19"/>
  <c r="Q9" i="19"/>
  <c r="M67" i="27"/>
  <c r="K214" i="4"/>
  <c r="V58" i="27"/>
  <c r="U58" i="27"/>
  <c r="R74" i="29"/>
  <c r="Q77" i="29"/>
  <c r="P10" i="29" s="1"/>
  <c r="L44" i="27"/>
  <c r="L41" i="27" s="1"/>
  <c r="O11" i="29"/>
  <c r="O7" i="29"/>
  <c r="D38" i="28"/>
  <c r="E32" i="28"/>
  <c r="D41" i="28"/>
  <c r="K5" i="27"/>
  <c r="E29" i="28"/>
  <c r="E30" i="28"/>
  <c r="O7" i="13"/>
  <c r="O11" i="13"/>
  <c r="N30" i="27"/>
  <c r="O7" i="3"/>
  <c r="Q7" i="21"/>
  <c r="Q11" i="21"/>
  <c r="R10" i="15"/>
  <c r="S9" i="15"/>
  <c r="O32" i="27"/>
  <c r="O30" i="27" s="1"/>
  <c r="R7" i="15"/>
  <c r="N15" i="27"/>
  <c r="R7" i="12"/>
  <c r="R12" i="12"/>
  <c r="S10" i="12"/>
  <c r="Y10" i="12" s="1"/>
  <c r="O22" i="27"/>
  <c r="V7" i="27"/>
  <c r="B8" i="28" s="1"/>
  <c r="K9" i="4"/>
  <c r="R38" i="27"/>
  <c r="V8" i="21"/>
  <c r="N16" i="27"/>
  <c r="V33" i="27"/>
  <c r="B34" i="28" s="1"/>
  <c r="N19" i="27"/>
  <c r="R10" i="21"/>
  <c r="N40" i="27"/>
  <c r="P10" i="3"/>
  <c r="P11" i="3" s="1"/>
  <c r="L8" i="27"/>
  <c r="K9" i="27"/>
  <c r="O21" i="27"/>
  <c r="P23" i="27"/>
  <c r="U11" i="11"/>
  <c r="P18" i="27"/>
  <c r="P9" i="13"/>
  <c r="L26" i="27"/>
  <c r="P9" i="8"/>
  <c r="L11" i="27"/>
  <c r="L9" i="27" s="1"/>
  <c r="Q10" i="11"/>
  <c r="Q7" i="11" s="1"/>
  <c r="M17" i="27"/>
  <c r="D18" i="28" s="1"/>
  <c r="T9" i="21"/>
  <c r="P39" i="27"/>
  <c r="V29" i="27"/>
  <c r="B30" i="28" s="1"/>
  <c r="K112" i="4"/>
  <c r="O20" i="27"/>
  <c r="R8" i="11"/>
  <c r="P7" i="9"/>
  <c r="N13" i="27"/>
  <c r="P9" i="9"/>
  <c r="O10" i="8"/>
  <c r="O7" i="8"/>
  <c r="Q8" i="3"/>
  <c r="N6" i="27" s="1"/>
  <c r="K206" i="4" l="1"/>
  <c r="K65" i="27"/>
  <c r="K69" i="27" s="1"/>
  <c r="K107" i="4"/>
  <c r="P10" i="19"/>
  <c r="L68" i="27"/>
  <c r="L65" i="27" s="1"/>
  <c r="O11" i="19"/>
  <c r="O7" i="19"/>
  <c r="M44" i="27"/>
  <c r="P11" i="29"/>
  <c r="P7" i="29"/>
  <c r="S74" i="29"/>
  <c r="R77" i="29"/>
  <c r="Q10" i="29" s="1"/>
  <c r="E59" i="28"/>
  <c r="B59" i="28"/>
  <c r="D68" i="28"/>
  <c r="R9" i="19"/>
  <c r="N67" i="27"/>
  <c r="U66" i="27"/>
  <c r="E67" i="28" s="1"/>
  <c r="Y8" i="19"/>
  <c r="Y9" i="18"/>
  <c r="V64" i="27"/>
  <c r="K236" i="4"/>
  <c r="O64" i="27"/>
  <c r="O63" i="27" s="1"/>
  <c r="R7" i="18"/>
  <c r="Y7" i="18" s="1"/>
  <c r="R9" i="18"/>
  <c r="N63" i="27"/>
  <c r="R59" i="27"/>
  <c r="R57" i="27" s="1"/>
  <c r="U10" i="16"/>
  <c r="U7" i="16"/>
  <c r="V49" i="27"/>
  <c r="K183" i="4"/>
  <c r="P49" i="27"/>
  <c r="S8" i="23"/>
  <c r="Y8" i="23" s="1"/>
  <c r="S11" i="23"/>
  <c r="Y11" i="23" s="1"/>
  <c r="V50" i="27"/>
  <c r="B51" i="28" s="1"/>
  <c r="K189" i="4"/>
  <c r="U48" i="27"/>
  <c r="E51" i="28"/>
  <c r="V53" i="27"/>
  <c r="B54" i="28" s="1"/>
  <c r="K199" i="4"/>
  <c r="R53" i="27"/>
  <c r="R51" i="27" s="1"/>
  <c r="U14" i="24"/>
  <c r="U8" i="24"/>
  <c r="Q53" i="27"/>
  <c r="Q51" i="27" s="1"/>
  <c r="T14" i="24"/>
  <c r="T8" i="24"/>
  <c r="O52" i="27"/>
  <c r="O51" i="27" s="1"/>
  <c r="R14" i="24"/>
  <c r="R8" i="24"/>
  <c r="S9" i="24"/>
  <c r="Y9" i="24" s="1"/>
  <c r="P7" i="3"/>
  <c r="R11" i="21"/>
  <c r="R7" i="21"/>
  <c r="Q12" i="11"/>
  <c r="O15" i="27"/>
  <c r="P11" i="13"/>
  <c r="P7" i="13"/>
  <c r="S10" i="15"/>
  <c r="P32" i="27"/>
  <c r="P30" i="27" s="1"/>
  <c r="E31" i="28" s="1"/>
  <c r="S7" i="15"/>
  <c r="Y7" i="15" s="1"/>
  <c r="Y9" i="15"/>
  <c r="P22" i="27"/>
  <c r="E23" i="28" s="1"/>
  <c r="S12" i="12"/>
  <c r="S7" i="12"/>
  <c r="O19" i="27"/>
  <c r="S10" i="21"/>
  <c r="O40" i="27"/>
  <c r="O37" i="27" s="1"/>
  <c r="S38" i="27"/>
  <c r="E39" i="28" s="1"/>
  <c r="Y8" i="21"/>
  <c r="R10" i="11"/>
  <c r="N17" i="27"/>
  <c r="L24" i="27"/>
  <c r="R23" i="27"/>
  <c r="N37" i="27"/>
  <c r="Q9" i="13"/>
  <c r="M26" i="27"/>
  <c r="M24" i="27" s="1"/>
  <c r="P21" i="27"/>
  <c r="Q21" i="27"/>
  <c r="M14" i="27"/>
  <c r="D15" i="28" s="1"/>
  <c r="V28" i="27"/>
  <c r="B29" i="28" s="1"/>
  <c r="Q9" i="8"/>
  <c r="M11" i="27"/>
  <c r="V22" i="27"/>
  <c r="B23" i="28" s="1"/>
  <c r="K85" i="4"/>
  <c r="L5" i="27"/>
  <c r="U9" i="21"/>
  <c r="Q39" i="27"/>
  <c r="N12" i="27"/>
  <c r="V11" i="11"/>
  <c r="R18" i="27"/>
  <c r="Q10" i="3"/>
  <c r="N8" i="27" s="1"/>
  <c r="E9" i="28" s="1"/>
  <c r="M8" i="27"/>
  <c r="M5" i="27" s="1"/>
  <c r="Y10" i="3"/>
  <c r="O16" i="27"/>
  <c r="P20" i="27"/>
  <c r="S8" i="11"/>
  <c r="Q7" i="9"/>
  <c r="O13" i="27"/>
  <c r="O12" i="27" s="1"/>
  <c r="Q9" i="9"/>
  <c r="Q8" i="8"/>
  <c r="N10" i="27" s="1"/>
  <c r="P7" i="8"/>
  <c r="P10" i="8"/>
  <c r="R8" i="3"/>
  <c r="O6" i="27" s="1"/>
  <c r="O5" i="27" s="1"/>
  <c r="E64" i="28" l="1"/>
  <c r="E65" i="28"/>
  <c r="E54" i="28"/>
  <c r="Q10" i="19"/>
  <c r="M68" i="27"/>
  <c r="M65" i="27" s="1"/>
  <c r="D66" i="28" s="1"/>
  <c r="P11" i="19"/>
  <c r="P7" i="19"/>
  <c r="D12" i="28"/>
  <c r="M9" i="27"/>
  <c r="R12" i="11"/>
  <c r="R7" i="11"/>
  <c r="Y14" i="24"/>
  <c r="V52" i="27"/>
  <c r="K195" i="4"/>
  <c r="P52" i="27"/>
  <c r="S14" i="24"/>
  <c r="S8" i="24"/>
  <c r="Y8" i="24" s="1"/>
  <c r="Y12" i="23"/>
  <c r="E50" i="28"/>
  <c r="P48" i="27"/>
  <c r="E49" i="28" s="1"/>
  <c r="B50" i="28"/>
  <c r="V48" i="27"/>
  <c r="B49" i="28" s="1"/>
  <c r="S59" i="27"/>
  <c r="S57" i="27" s="1"/>
  <c r="V7" i="16"/>
  <c r="V10" i="16"/>
  <c r="B65" i="28"/>
  <c r="V63" i="27"/>
  <c r="B64" i="28" s="1"/>
  <c r="V66" i="27"/>
  <c r="K247" i="4"/>
  <c r="S9" i="19"/>
  <c r="O67" i="27"/>
  <c r="N44" i="27"/>
  <c r="N41" i="27" s="1"/>
  <c r="Q11" i="29"/>
  <c r="Q7" i="29"/>
  <c r="T74" i="29"/>
  <c r="S77" i="29"/>
  <c r="R10" i="29" s="1"/>
  <c r="M41" i="27"/>
  <c r="D42" i="28" s="1"/>
  <c r="D45" i="28"/>
  <c r="D25" i="28"/>
  <c r="D6" i="28"/>
  <c r="E33" i="28"/>
  <c r="D9" i="28"/>
  <c r="D27" i="28"/>
  <c r="L69" i="27"/>
  <c r="P19" i="27"/>
  <c r="N5" i="27"/>
  <c r="Q11" i="3"/>
  <c r="S11" i="21"/>
  <c r="S7" i="21"/>
  <c r="Q7" i="3"/>
  <c r="K122" i="4"/>
  <c r="V32" i="27"/>
  <c r="B33" i="28" s="1"/>
  <c r="P15" i="27"/>
  <c r="Q7" i="13"/>
  <c r="Q11" i="13"/>
  <c r="R21" i="27"/>
  <c r="T10" i="21"/>
  <c r="P40" i="27"/>
  <c r="P37" i="27" s="1"/>
  <c r="V9" i="21"/>
  <c r="R39" i="27"/>
  <c r="S23" i="27"/>
  <c r="S10" i="11"/>
  <c r="S12" i="11" s="1"/>
  <c r="O17" i="27"/>
  <c r="O14" i="27" s="1"/>
  <c r="P16" i="27"/>
  <c r="W11" i="11"/>
  <c r="S18" i="27"/>
  <c r="V38" i="27"/>
  <c r="B39" i="28" s="1"/>
  <c r="K137" i="4"/>
  <c r="R9" i="8"/>
  <c r="N11" i="27"/>
  <c r="N9" i="27" s="1"/>
  <c r="V8" i="27"/>
  <c r="B9" i="28" s="1"/>
  <c r="K18" i="4"/>
  <c r="R9" i="13"/>
  <c r="N26" i="27"/>
  <c r="N14" i="27"/>
  <c r="Q20" i="27"/>
  <c r="Q19" i="27" s="1"/>
  <c r="T8" i="11"/>
  <c r="P13" i="27"/>
  <c r="R9" i="9"/>
  <c r="R7" i="9"/>
  <c r="R8" i="8"/>
  <c r="O10" i="27" s="1"/>
  <c r="Q10" i="8"/>
  <c r="Q7" i="8"/>
  <c r="S8" i="3"/>
  <c r="P6" i="27" s="1"/>
  <c r="P5" i="27" s="1"/>
  <c r="R11" i="3"/>
  <c r="R7" i="3"/>
  <c r="D69" i="28" l="1"/>
  <c r="R10" i="19"/>
  <c r="N68" i="27"/>
  <c r="N65" i="27" s="1"/>
  <c r="Q11" i="19"/>
  <c r="Q7" i="19"/>
  <c r="O44" i="27"/>
  <c r="O41" i="27" s="1"/>
  <c r="R7" i="29"/>
  <c r="R11" i="29"/>
  <c r="U74" i="29"/>
  <c r="T77" i="29"/>
  <c r="S10" i="29" s="1"/>
  <c r="T9" i="19"/>
  <c r="P67" i="27"/>
  <c r="B67" i="28"/>
  <c r="T59" i="27"/>
  <c r="T57" i="27" s="1"/>
  <c r="W7" i="16"/>
  <c r="W10" i="16"/>
  <c r="Y9" i="16"/>
  <c r="Y10" i="16" s="1"/>
  <c r="E53" i="28"/>
  <c r="P51" i="27"/>
  <c r="E52" i="28" s="1"/>
  <c r="B53" i="28"/>
  <c r="V51" i="27"/>
  <c r="B52" i="28" s="1"/>
  <c r="S7" i="11"/>
  <c r="M69" i="27"/>
  <c r="D70" i="28" s="1"/>
  <c r="R11" i="13"/>
  <c r="R7" i="13"/>
  <c r="Q15" i="27"/>
  <c r="T7" i="21"/>
  <c r="T11" i="21"/>
  <c r="V30" i="27"/>
  <c r="B31" i="28" s="1"/>
  <c r="S21" i="27"/>
  <c r="N24" i="27"/>
  <c r="S39" i="27"/>
  <c r="E40" i="28" s="1"/>
  <c r="Y9" i="21"/>
  <c r="P12" i="27"/>
  <c r="T23" i="27"/>
  <c r="S9" i="8"/>
  <c r="O11" i="27"/>
  <c r="O9" i="27" s="1"/>
  <c r="T18" i="27"/>
  <c r="E19" i="28" s="1"/>
  <c r="Y11" i="11"/>
  <c r="Q16" i="27"/>
  <c r="T10" i="11"/>
  <c r="T7" i="11" s="1"/>
  <c r="P17" i="27"/>
  <c r="P14" i="27" s="1"/>
  <c r="U10" i="21"/>
  <c r="Q40" i="27"/>
  <c r="S9" i="13"/>
  <c r="O26" i="27"/>
  <c r="O24" i="27" s="1"/>
  <c r="R16" i="27"/>
  <c r="R20" i="27"/>
  <c r="U8" i="11"/>
  <c r="Q13" i="27"/>
  <c r="Q12" i="27" s="1"/>
  <c r="S7" i="9"/>
  <c r="S9" i="9"/>
  <c r="S8" i="8"/>
  <c r="P10" i="27" s="1"/>
  <c r="R7" i="8"/>
  <c r="R10" i="8"/>
  <c r="T8" i="3"/>
  <c r="Q6" i="27" s="1"/>
  <c r="Q5" i="27" s="1"/>
  <c r="S11" i="3"/>
  <c r="S7" i="3"/>
  <c r="S10" i="19" l="1"/>
  <c r="O68" i="27"/>
  <c r="O65" i="27" s="1"/>
  <c r="O69" i="27" s="1"/>
  <c r="R11" i="19"/>
  <c r="R7" i="19"/>
  <c r="K219" i="4"/>
  <c r="V59" i="27"/>
  <c r="X7" i="16"/>
  <c r="Y7" i="16" s="1"/>
  <c r="U59" i="27"/>
  <c r="X10" i="16"/>
  <c r="U9" i="19"/>
  <c r="Q67" i="27"/>
  <c r="P44" i="27"/>
  <c r="P41" i="27" s="1"/>
  <c r="S11" i="29"/>
  <c r="S7" i="29"/>
  <c r="U77" i="29"/>
  <c r="T10" i="29" s="1"/>
  <c r="V74" i="29"/>
  <c r="T12" i="11"/>
  <c r="N69" i="27"/>
  <c r="R19" i="27"/>
  <c r="U11" i="21"/>
  <c r="U7" i="21"/>
  <c r="S11" i="13"/>
  <c r="S7" i="13"/>
  <c r="R15" i="27"/>
  <c r="K69" i="4"/>
  <c r="V18" i="27"/>
  <c r="B19" i="28" s="1"/>
  <c r="T9" i="8"/>
  <c r="P11" i="27"/>
  <c r="P9" i="27" s="1"/>
  <c r="T9" i="13"/>
  <c r="P26" i="27"/>
  <c r="P24" i="27" s="1"/>
  <c r="U23" i="27"/>
  <c r="E24" i="28" s="1"/>
  <c r="Y11" i="12"/>
  <c r="Q37" i="27"/>
  <c r="V10" i="21"/>
  <c r="R40" i="27"/>
  <c r="R37" i="27" s="1"/>
  <c r="T21" i="27"/>
  <c r="S16" i="27"/>
  <c r="U10" i="11"/>
  <c r="U7" i="11" s="1"/>
  <c r="Q17" i="27"/>
  <c r="V39" i="27"/>
  <c r="B40" i="28" s="1"/>
  <c r="K146" i="4"/>
  <c r="S20" i="27"/>
  <c r="S19" i="27" s="1"/>
  <c r="V8" i="11"/>
  <c r="T7" i="9"/>
  <c r="T9" i="9"/>
  <c r="R13" i="27"/>
  <c r="T8" i="8"/>
  <c r="Q10" i="27" s="1"/>
  <c r="S10" i="8"/>
  <c r="S7" i="8"/>
  <c r="U8" i="3"/>
  <c r="R6" i="27" s="1"/>
  <c r="T11" i="3"/>
  <c r="T7" i="3"/>
  <c r="T10" i="19" l="1"/>
  <c r="P68" i="27"/>
  <c r="P65" i="27" s="1"/>
  <c r="P69" i="27" s="1"/>
  <c r="S11" i="19"/>
  <c r="S7" i="19"/>
  <c r="W74" i="29"/>
  <c r="V77" i="29"/>
  <c r="U10" i="29" s="1"/>
  <c r="Q44" i="27"/>
  <c r="Q41" i="27" s="1"/>
  <c r="T7" i="29"/>
  <c r="T11" i="29"/>
  <c r="V9" i="19"/>
  <c r="R67" i="27"/>
  <c r="E60" i="28"/>
  <c r="U57" i="27"/>
  <c r="E58" i="28" s="1"/>
  <c r="B60" i="28"/>
  <c r="V57" i="27"/>
  <c r="B58" i="28" s="1"/>
  <c r="U12" i="11"/>
  <c r="R5" i="27"/>
  <c r="S15" i="27"/>
  <c r="V11" i="21"/>
  <c r="V7" i="21"/>
  <c r="T7" i="13"/>
  <c r="T11" i="13"/>
  <c r="R12" i="27"/>
  <c r="U21" i="27"/>
  <c r="U19" i="27" s="1"/>
  <c r="Y9" i="12"/>
  <c r="Q14" i="27"/>
  <c r="K91" i="4"/>
  <c r="V23" i="27"/>
  <c r="B24" i="28" s="1"/>
  <c r="U16" i="27"/>
  <c r="T16" i="27"/>
  <c r="E17" i="28" s="1"/>
  <c r="W10" i="21"/>
  <c r="S40" i="27"/>
  <c r="U9" i="13"/>
  <c r="Q26" i="27"/>
  <c r="Q24" i="27" s="1"/>
  <c r="U9" i="8"/>
  <c r="Q11" i="27"/>
  <c r="Q9" i="27" s="1"/>
  <c r="V10" i="11"/>
  <c r="V7" i="11" s="1"/>
  <c r="R17" i="27"/>
  <c r="R14" i="27" s="1"/>
  <c r="T20" i="27"/>
  <c r="T19" i="27" s="1"/>
  <c r="W8" i="11"/>
  <c r="U7" i="9"/>
  <c r="S13" i="27"/>
  <c r="S12" i="27" s="1"/>
  <c r="U9" i="9"/>
  <c r="U8" i="8"/>
  <c r="R10" i="27" s="1"/>
  <c r="T10" i="8"/>
  <c r="T7" i="8"/>
  <c r="V8" i="3"/>
  <c r="S6" i="27" s="1"/>
  <c r="U7" i="3"/>
  <c r="U11" i="3"/>
  <c r="U10" i="19" l="1"/>
  <c r="Q68" i="27"/>
  <c r="Q65" i="27" s="1"/>
  <c r="T7" i="19"/>
  <c r="T11" i="19"/>
  <c r="W9" i="19"/>
  <c r="S67" i="27"/>
  <c r="R44" i="27"/>
  <c r="R41" i="27" s="1"/>
  <c r="U7" i="29"/>
  <c r="U11" i="29"/>
  <c r="X74" i="29"/>
  <c r="W77" i="29"/>
  <c r="V10" i="29" s="1"/>
  <c r="V12" i="11"/>
  <c r="Q69" i="27"/>
  <c r="E22" i="28"/>
  <c r="E20" i="28"/>
  <c r="E21" i="28"/>
  <c r="T15" i="27"/>
  <c r="U7" i="13"/>
  <c r="U11" i="13"/>
  <c r="W7" i="21"/>
  <c r="W11" i="21"/>
  <c r="V21" i="27"/>
  <c r="B22" i="28" s="1"/>
  <c r="K79" i="4"/>
  <c r="S5" i="27"/>
  <c r="V9" i="8"/>
  <c r="R11" i="27"/>
  <c r="R9" i="27" s="1"/>
  <c r="V9" i="13"/>
  <c r="R26" i="27"/>
  <c r="R24" i="27" s="1"/>
  <c r="S37" i="27"/>
  <c r="W10" i="11"/>
  <c r="W7" i="11" s="1"/>
  <c r="S17" i="27"/>
  <c r="S14" i="27" s="1"/>
  <c r="X10" i="21"/>
  <c r="T40" i="27"/>
  <c r="T37" i="27" s="1"/>
  <c r="Y9" i="11"/>
  <c r="Y8" i="12"/>
  <c r="Y12" i="12" s="1"/>
  <c r="X8" i="11"/>
  <c r="V7" i="9"/>
  <c r="V9" i="9"/>
  <c r="T13" i="27"/>
  <c r="T12" i="27" s="1"/>
  <c r="V8" i="8"/>
  <c r="S10" i="27" s="1"/>
  <c r="U10" i="8"/>
  <c r="U7" i="8"/>
  <c r="W8" i="3"/>
  <c r="T6" i="27" s="1"/>
  <c r="T5" i="27" s="1"/>
  <c r="V11" i="3"/>
  <c r="V7" i="3"/>
  <c r="V10" i="19" l="1"/>
  <c r="R68" i="27"/>
  <c r="U7" i="19"/>
  <c r="U11" i="19"/>
  <c r="S44" i="27"/>
  <c r="S41" i="27" s="1"/>
  <c r="V11" i="29"/>
  <c r="V7" i="29"/>
  <c r="X77" i="29"/>
  <c r="W10" i="29" s="1"/>
  <c r="Y74" i="29"/>
  <c r="X9" i="19"/>
  <c r="T67" i="27"/>
  <c r="Y9" i="19"/>
  <c r="Y7" i="12"/>
  <c r="X7" i="21"/>
  <c r="Y7" i="21" s="1"/>
  <c r="X11" i="21"/>
  <c r="V7" i="13"/>
  <c r="V11" i="13"/>
  <c r="W12" i="11"/>
  <c r="U15" i="27"/>
  <c r="E16" i="28" s="1"/>
  <c r="W9" i="8"/>
  <c r="S11" i="27"/>
  <c r="S9" i="27" s="1"/>
  <c r="V16" i="27"/>
  <c r="B17" i="28" s="1"/>
  <c r="K52" i="4"/>
  <c r="X10" i="11"/>
  <c r="X7" i="11" s="1"/>
  <c r="T17" i="27"/>
  <c r="U40" i="27"/>
  <c r="E41" i="28" s="1"/>
  <c r="Y10" i="21"/>
  <c r="V20" i="27"/>
  <c r="B21" i="28" s="1"/>
  <c r="K75" i="4"/>
  <c r="W9" i="13"/>
  <c r="S26" i="27"/>
  <c r="Y8" i="11"/>
  <c r="W7" i="9"/>
  <c r="U13" i="27"/>
  <c r="W9" i="9"/>
  <c r="W8" i="8"/>
  <c r="T10" i="27" s="1"/>
  <c r="V7" i="8"/>
  <c r="V10" i="8"/>
  <c r="X8" i="3"/>
  <c r="W7" i="3"/>
  <c r="W11" i="3"/>
  <c r="R65" i="27" l="1"/>
  <c r="R69" i="27" s="1"/>
  <c r="W10" i="19"/>
  <c r="S68" i="27"/>
  <c r="S65" i="27" s="1"/>
  <c r="V11" i="19"/>
  <c r="V7" i="19"/>
  <c r="V67" i="27"/>
  <c r="K255" i="4"/>
  <c r="U67" i="27"/>
  <c r="Y77" i="29"/>
  <c r="X10" i="29" s="1"/>
  <c r="Z74" i="29"/>
  <c r="Z77" i="29" s="1"/>
  <c r="T44" i="27"/>
  <c r="T41" i="27" s="1"/>
  <c r="W11" i="29"/>
  <c r="W7" i="29"/>
  <c r="X12" i="11"/>
  <c r="U6" i="27"/>
  <c r="E7" i="28" s="1"/>
  <c r="X7" i="3"/>
  <c r="W7" i="13"/>
  <c r="W11" i="13"/>
  <c r="V40" i="27"/>
  <c r="B41" i="28" s="1"/>
  <c r="K151" i="4"/>
  <c r="U37" i="27"/>
  <c r="E38" i="28" s="1"/>
  <c r="U12" i="27"/>
  <c r="T14" i="27"/>
  <c r="V19" i="27"/>
  <c r="B20" i="28" s="1"/>
  <c r="S24" i="27"/>
  <c r="X9" i="8"/>
  <c r="T11" i="27"/>
  <c r="T9" i="27" s="1"/>
  <c r="T26" i="27"/>
  <c r="Y9" i="13"/>
  <c r="K46" i="4"/>
  <c r="V15" i="27"/>
  <c r="B16" i="28" s="1"/>
  <c r="U17" i="27"/>
  <c r="U14" i="27" s="1"/>
  <c r="Y10" i="11"/>
  <c r="Y7" i="11" s="1"/>
  <c r="X9" i="9"/>
  <c r="X7" i="9"/>
  <c r="X8" i="8"/>
  <c r="W10" i="8"/>
  <c r="W7" i="8"/>
  <c r="Y8" i="3"/>
  <c r="Y7" i="3" s="1"/>
  <c r="X11" i="3"/>
  <c r="U10" i="27" l="1"/>
  <c r="Y10" i="8"/>
  <c r="X10" i="19"/>
  <c r="T68" i="27"/>
  <c r="W11" i="19"/>
  <c r="W7" i="19"/>
  <c r="X7" i="29"/>
  <c r="Y7" i="29" s="1"/>
  <c r="X11" i="29"/>
  <c r="U44" i="27"/>
  <c r="Y10" i="29"/>
  <c r="E68" i="28"/>
  <c r="B68" i="28"/>
  <c r="E18" i="28"/>
  <c r="T24" i="27"/>
  <c r="E25" i="28" s="1"/>
  <c r="E27" i="28"/>
  <c r="S69" i="27"/>
  <c r="E15" i="28"/>
  <c r="U5" i="27"/>
  <c r="E6" i="28" s="1"/>
  <c r="Y7" i="13"/>
  <c r="V37" i="27"/>
  <c r="B38" i="28" s="1"/>
  <c r="V17" i="27"/>
  <c r="K59" i="4"/>
  <c r="U11" i="27"/>
  <c r="Y9" i="8"/>
  <c r="Y7" i="8" s="1"/>
  <c r="K39" i="4"/>
  <c r="V26" i="27"/>
  <c r="B27" i="28" s="1"/>
  <c r="K103" i="4"/>
  <c r="K2" i="4"/>
  <c r="V6" i="27"/>
  <c r="B7" i="28" s="1"/>
  <c r="Y7" i="9"/>
  <c r="X7" i="8"/>
  <c r="X10" i="8"/>
  <c r="T65" i="27" l="1"/>
  <c r="E12" i="28"/>
  <c r="U9" i="27"/>
  <c r="E10" i="28" s="1"/>
  <c r="U68" i="27"/>
  <c r="U65" i="27" s="1"/>
  <c r="E66" i="28" s="1"/>
  <c r="Y10" i="19"/>
  <c r="X7" i="19"/>
  <c r="Y7" i="19" s="1"/>
  <c r="X11" i="19"/>
  <c r="K167" i="4"/>
  <c r="Y11" i="29"/>
  <c r="V44" i="27"/>
  <c r="U41" i="27"/>
  <c r="E42" i="28" s="1"/>
  <c r="E45" i="28"/>
  <c r="T69" i="27"/>
  <c r="V14" i="27"/>
  <c r="B15" i="28" s="1"/>
  <c r="B18" i="28"/>
  <c r="K25" i="4"/>
  <c r="V10" i="27"/>
  <c r="V11" i="27"/>
  <c r="B12" i="28" s="1"/>
  <c r="K33" i="4"/>
  <c r="V24" i="27"/>
  <c r="B25" i="28" s="1"/>
  <c r="V5" i="27"/>
  <c r="B6" i="28" s="1"/>
  <c r="V12" i="27"/>
  <c r="B11" i="28" l="1"/>
  <c r="V9" i="27"/>
  <c r="E69" i="28"/>
  <c r="K258" i="4"/>
  <c r="V68" i="27"/>
  <c r="Y11" i="19"/>
  <c r="B45" i="28"/>
  <c r="V41" i="27"/>
  <c r="B42" i="28" s="1"/>
  <c r="K262" i="4"/>
  <c r="V72" i="27" s="1"/>
  <c r="B13" i="28"/>
  <c r="E70" i="28"/>
  <c r="F70" i="28" s="1"/>
  <c r="B69" i="28" l="1"/>
  <c r="V65" i="27"/>
  <c r="B10" i="28"/>
  <c r="B66" i="28" l="1"/>
  <c r="V69" i="27"/>
  <c r="W68" i="27" s="1"/>
  <c r="W51" i="27"/>
  <c r="W54" i="27"/>
  <c r="W57" i="27"/>
  <c r="W50" i="27"/>
  <c r="W53" i="27" l="1"/>
  <c r="W7" i="27"/>
  <c r="W20" i="27"/>
  <c r="W24" i="27"/>
  <c r="W18" i="27"/>
  <c r="W67" i="27"/>
  <c r="W40" i="27"/>
  <c r="W14" i="27"/>
  <c r="W49" i="27"/>
  <c r="W29" i="27"/>
  <c r="W15" i="27"/>
  <c r="W47" i="27"/>
  <c r="W30" i="27"/>
  <c r="W19" i="27"/>
  <c r="W11" i="27"/>
  <c r="W38" i="27"/>
  <c r="W8" i="27"/>
  <c r="W35" i="27"/>
  <c r="W9" i="27"/>
  <c r="W58" i="27"/>
  <c r="W26" i="27"/>
  <c r="W42" i="27"/>
  <c r="W65" i="27"/>
  <c r="W10" i="27"/>
  <c r="W27" i="27"/>
  <c r="W16" i="27"/>
  <c r="B70" i="28"/>
  <c r="D71" i="28" s="1"/>
  <c r="W52" i="27"/>
  <c r="W33" i="27"/>
  <c r="W13" i="27"/>
  <c r="W12" i="27"/>
  <c r="W64" i="27"/>
  <c r="W59" i="27"/>
  <c r="W62" i="27"/>
  <c r="W5" i="27"/>
  <c r="W61" i="27"/>
  <c r="W31" i="27"/>
  <c r="W25" i="27"/>
  <c r="W46" i="27"/>
  <c r="W69" i="27"/>
  <c r="W55" i="27"/>
  <c r="W22" i="27"/>
  <c r="W48" i="27"/>
  <c r="W60" i="27"/>
  <c r="W56" i="27"/>
  <c r="W66" i="27"/>
  <c r="W45" i="27"/>
  <c r="W43" i="27"/>
  <c r="W6" i="27"/>
  <c r="W36" i="27"/>
  <c r="W32" i="27"/>
  <c r="W63" i="27"/>
  <c r="W17" i="27"/>
  <c r="W34" i="27"/>
  <c r="W23" i="27"/>
  <c r="W21" i="27"/>
  <c r="W44" i="27"/>
  <c r="W41" i="27"/>
  <c r="W28" i="27"/>
  <c r="W37" i="27"/>
  <c r="W39" i="27"/>
  <c r="E71" i="28"/>
  <c r="C71" i="28" l="1"/>
</calcChain>
</file>

<file path=xl/sharedStrings.xml><?xml version="1.0" encoding="utf-8"?>
<sst xmlns="http://schemas.openxmlformats.org/spreadsheetml/2006/main" count="4142" uniqueCount="1730">
  <si>
    <t>Instructivo</t>
  </si>
  <si>
    <r>
      <t>En este anexo se presentan los detalles de los cálculos realizados para estimar los costos de implementación del portafolio de programas y proyectos para  la cadena láctea, en pesos constantes de 2021. Esta estimación de costos  arroja un valor indicativo de la suma de recursos financieros, que al momento se pueden cuantificar, para lograr las metas propuestas en el plan, es importante aclarar que este es un valor base</t>
    </r>
    <r>
      <rPr>
        <sz val="11"/>
        <color theme="1"/>
        <rFont val="Calibri"/>
        <family val="2"/>
        <scheme val="minor"/>
      </rPr>
      <t>,</t>
    </r>
    <r>
      <rPr>
        <sz val="11"/>
        <color theme="1"/>
        <rFont val="Calibri (Body)"/>
      </rPr>
      <t xml:space="preserve"> algunos  de los rubros </t>
    </r>
    <r>
      <rPr>
        <sz val="11"/>
        <rFont val="Calibri"/>
        <family val="2"/>
        <scheme val="minor"/>
      </rPr>
      <t>quedan descritos c</t>
    </r>
    <r>
      <rPr>
        <sz val="11"/>
        <color theme="1"/>
        <rFont val="Calibri"/>
        <family val="2"/>
        <scheme val="minor"/>
      </rPr>
      <t>omo</t>
    </r>
    <r>
      <rPr>
        <sz val="11"/>
        <color theme="1"/>
        <rFont val="Calibri (Body)"/>
      </rPr>
      <t xml:space="preserve"> “Por definir”</t>
    </r>
    <r>
      <rPr>
        <sz val="11"/>
        <color theme="1"/>
        <rFont val="Calibri"/>
        <family val="2"/>
        <scheme val="minor"/>
      </rPr>
      <t xml:space="preserve"> ya</t>
    </r>
    <r>
      <rPr>
        <sz val="11"/>
        <rFont val="Calibri"/>
        <family val="2"/>
        <scheme val="minor"/>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</si>
  <si>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</si>
  <si>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</si>
  <si>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</si>
  <si>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</si>
  <si>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lácteos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</si>
  <si>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</si>
  <si>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</si>
  <si>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</si>
  <si>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</si>
  <si>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r>
      <t xml:space="preserve">En esta hoja se vincula la estimación de costos realizada para cada Programa (P1 , P2….hasta P18),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t>
    </r>
    <r>
      <rPr>
        <sz val="11"/>
        <color theme="1"/>
        <rFont val="Calibri (Body)"/>
      </rPr>
      <t xml:space="preserve">estimación de costos anualizada </t>
    </r>
    <r>
      <rPr>
        <sz val="11"/>
        <color theme="1"/>
        <rFont val="Calibri"/>
        <family val="2"/>
        <scheme val="minor"/>
      </rPr>
      <t>y su descripción son los siguientes:</t>
    </r>
  </si>
  <si>
    <t>Campo</t>
  </si>
  <si>
    <t>Descripción</t>
  </si>
  <si>
    <t>PROGRAMA - PROYECTO /AÑO (0 al 20)</t>
  </si>
  <si>
    <r>
      <t>Se relacionan en el orden del portafolio de programas y proyect</t>
    </r>
    <r>
      <rPr>
        <sz val="11"/>
        <color theme="1"/>
        <rFont val="Calibri"/>
        <family val="2"/>
        <scheme val="minor"/>
      </rPr>
      <t xml:space="preserve">os, los </t>
    </r>
    <r>
      <rPr>
        <b/>
        <sz val="11"/>
        <color theme="1"/>
        <rFont val="Calibri (Body)"/>
      </rPr>
      <t>18 programas y 46 proyectos.</t>
    </r>
  </si>
  <si>
    <t>0/ 1/ 2/3 …. /20</t>
  </si>
  <si>
    <r>
      <t>Contiene los valores presupuestados en</t>
    </r>
    <r>
      <rPr>
        <b/>
        <sz val="11"/>
        <color theme="1"/>
        <rFont val="Calibri"/>
        <family val="2"/>
        <scheme val="minor"/>
      </rPr>
      <t xml:space="preserve"> pesos</t>
    </r>
    <r>
      <rPr>
        <sz val="11"/>
        <color theme="1"/>
        <rFont val="Calibri"/>
        <family val="2"/>
        <scheme val="minor"/>
      </rPr>
      <t xml:space="preserve"> constantes de 2021 para </t>
    </r>
    <r>
      <rPr>
        <b/>
        <sz val="11"/>
        <color theme="1"/>
        <rFont val="Calibri"/>
        <family val="2"/>
        <scheme val="minor"/>
      </rPr>
      <t xml:space="preserve">cada año desde el año 0 hasta el al 20, </t>
    </r>
    <r>
      <rPr>
        <sz val="11"/>
        <color theme="1"/>
        <rFont val="Calibri"/>
        <family val="2"/>
        <scheme val="minor"/>
      </rPr>
      <t xml:space="preserve">para los 18 programas y 46 proyectos . Estos valores están vinculados desde cada hoja de proyecto "P1.1, P1.2…P18."
En color  </t>
    </r>
    <r>
      <rPr>
        <sz val="11"/>
        <color theme="8" tint="0.39997558519241921"/>
        <rFont val="Calibri"/>
        <family val="2"/>
        <scheme val="minor"/>
      </rPr>
      <t xml:space="preserve">           </t>
    </r>
    <r>
      <rPr>
        <sz val="11"/>
        <rFont val="Calibri"/>
        <family val="2"/>
        <scheme val="minor"/>
      </rPr>
      <t>se resalta el resultado del presupuesto obtenido para los Programas. 
En color             se resalta el resultado del presupuesto obtenido para los proyectos.
En color             se resalta el resultado del presupuesto final.</t>
    </r>
  </si>
  <si>
    <t>TOTALES</t>
  </si>
  <si>
    <r>
      <t xml:space="preserve">Contiene los valores totales en </t>
    </r>
    <r>
      <rPr>
        <b/>
        <sz val="11"/>
        <color theme="1"/>
        <rFont val="Calibri"/>
        <family val="2"/>
        <scheme val="minor"/>
      </rPr>
      <t xml:space="preserve">pesos </t>
    </r>
    <r>
      <rPr>
        <sz val="11"/>
        <color theme="1"/>
        <rFont val="Calibri"/>
        <family val="2"/>
        <scheme val="minor"/>
      </rPr>
      <t>constantes de 2021 para cada programa, proyecto  y totales, a partir de la sumatoria horizontal.</t>
    </r>
  </si>
  <si>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</si>
  <si>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</si>
  <si>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</si>
  <si>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</si>
  <si>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</si>
  <si>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r>
      <t>Se relacionan en el orden del portafolio de programas y proyectos, los 18</t>
    </r>
    <r>
      <rPr>
        <b/>
        <sz val="11"/>
        <color theme="1"/>
        <rFont val="Calibri"/>
        <family val="2"/>
        <scheme val="minor"/>
      </rPr>
      <t xml:space="preserve"> programas y 46 proyectos</t>
    </r>
  </si>
  <si>
    <t>Total ( Millones de Pesos)</t>
  </si>
  <si>
    <t xml:space="preserve">Se vincula los valores arrojados en la hoja del estimación detallada por programa y proyecto. </t>
  </si>
  <si>
    <t>Corto Plazo
 (0 al 4 año)</t>
  </si>
  <si>
    <t xml:space="preserve">Contiene los valores estimados en pesos constantes de 2021 para el primer período de implementación, considerado el corto plazo, correspondiente a los 18 programas y 46 proyectos.
Este valor se vincula de la sumatoria de los valores de la hoja "Estimación de Costos Anualizada"para cada programa y proyecto del año 0 al 4. 
</t>
  </si>
  <si>
    <t>Mediano Plazo
 (5 al 12 año)</t>
  </si>
  <si>
    <t xml:space="preserve">Contiene los valores estimados en pesos constantes de 2021 para el segundo período de implementación, considerado el mediano plazo, correspondiente a los 18 programas y 46 proyectos.
Este valor se vincula de la sumatoria de los valores de la hoja "Estimación de Costos Anualizada"para cada programa y proyecto del año 5 al 12. 
</t>
  </si>
  <si>
    <t>Largo Plazo
 (13 al 20 año)</t>
  </si>
  <si>
    <t xml:space="preserve">Contiene los valores estimados en pesos constantes de 2021 para el segundo período de implementación, considerado el mediano plazo, correspondiente a los 18 programas y 46 proyectos.
Este valor se vincula de la sumatoria de los valores de la hoja "Estimación de Costos Anualizada"para cada programa y proyecto del año 13 al 20. 
</t>
  </si>
  <si>
    <t>%</t>
  </si>
  <si>
    <r>
      <t xml:space="preserve">Representa el </t>
    </r>
    <r>
      <rPr>
        <b/>
        <sz val="11"/>
        <color theme="1"/>
        <rFont val="Calibri"/>
        <family val="2"/>
        <scheme val="minor"/>
      </rPr>
      <t xml:space="preserve">porcentaje o participación </t>
    </r>
    <r>
      <rPr>
        <sz val="11"/>
        <color theme="1"/>
        <rFont val="Calibri"/>
        <family val="2"/>
        <scheme val="minor"/>
      </rPr>
      <t xml:space="preserve"> del programa y proyectos, frente al 100% del costo estimado del Plan de acción.</t>
    </r>
  </si>
  <si>
    <t>P1, P2, P3…P18</t>
  </si>
  <si>
    <t>Se generó una hoja para cada uno de los 18 programa que conforman el portafolio, representados por el código asignado a cada programa en el portafolio de programas y proyectos.</t>
  </si>
  <si>
    <t>Programa</t>
  </si>
  <si>
    <t>Nombre del programa al que corresponde el programa, se vincula de los nombres de los 18 programas dispuestos en la hoja "Estimación de Costos Anualizada"</t>
  </si>
  <si>
    <t>Proyecto</t>
  </si>
  <si>
    <t>Nombre del proyecto correspondientes, se vincula de los nombres de los 46 proyectos dispuestos en la hoja "Estimación de Costos Anualizada"</t>
  </si>
  <si>
    <t>Programación</t>
  </si>
  <si>
    <t>Años en los cuales se ejecutaría cada proyecto</t>
  </si>
  <si>
    <t>0, 1, 2, …20</t>
  </si>
  <si>
    <t>Contiene los  valores en pesos constantes de 2021 de cada proyecto acorde con los conceptos presupuestados y su ejecución en el tiempo. Estos valores están vinculados desde los cuadros específicos para cada proyecto..</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</si>
  <si>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</si>
  <si>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</si>
  <si>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</si>
  <si>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</si>
  <si>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</si>
  <si>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</si>
  <si>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implemación del Portafolio de Programas y Proyectos : </t>
  </si>
  <si>
    <t>Es la suma de los recursos financieros demandados de forma preliminar e indicativa, para desarrollar las actividades de cada proyecto que conforma el Plan de acción (UPRA, 2020).  La estimación de costos es un componente del portafolio de programas y proyectos del plan de acción.</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</si>
  <si>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</si>
  <si>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</si>
  <si>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</si>
  <si>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de la cadena láctea, saber cuál es la demanda de recursos aproximada para desarrollar los proyectos señaladas en el Portafolio y con ello facilitar gestión de recursos para su implementación.
Esta Estimación de Costos presentado debe ser revisada y actualizada periodicamente.</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</si>
  <si>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</si>
  <si>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proeyctos también se consideran otras formas para el desarrollo de actividades,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</si>
  <si>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</si>
  <si>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</si>
  <si>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</si>
  <si>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</si>
  <si>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 xml:space="preserve">La nomenclatura empleada para los programas corresponde del Programa 1 al Programa 18 y para los proyectos se emplea el número del programa seguido del número en el orden consecutivo del proyecto dentro de cada programa (1, 2, 3…18). En este sentido se creará una hoja para cada programa, y en cada una de ellas se costearán los proyectos que lo conforman. </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</si>
  <si>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</si>
  <si>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</si>
  <si>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</si>
  <si>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</si>
  <si>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</si>
  <si>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GLOSARIO DE CATEGORIA DE COSTOS</t>
  </si>
  <si>
    <t>1. Costos de personal</t>
  </si>
  <si>
    <t>Corresponden a los pagos realizados para el personal en concepto de remuneración del trabajo ya sea de manera directa o indirecta.  
Fuente: Eustat, Instituto Vasco de Estadística. Consulta  14 abril 2021.</t>
  </si>
  <si>
    <t>Honorarios</t>
  </si>
  <si>
    <t>En la estimación del pago  a las personas naturales contratadas por prestación de servicios profesionales y de apoyo a la gestión. Para el ejercicio de presupuesto este valor es tomado de la tabla de honorarios y viáticos del DNP 2020.
Fuente: DNP, Anexo No. 2, Tabla de honorarios de contratos de prestación de servicios profesionales y apoyo a la gestión. Consulta. 14 de abril 2021. 
https://colaboracion.dnp.gov.co/cdt/contratacion/tabla%20de%20honorarios%202015-2.pdf?web</t>
  </si>
  <si>
    <t xml:space="preserve">Fuente: DNP, Anexo No. 2, Tabla de honorarios de contratos de prestación de servicios profesionales y apoyo a la gestión. Consulta. 14 de abril 2021. 
</t>
  </si>
  <si>
    <t>https://colaboracion.dnp.gov.co/cdt/contratacion/tabla%20de%20honorarios%202015-2.pdf?web</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</si>
  <si>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</si>
  <si>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</si>
  <si>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</si>
  <si>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</si>
  <si>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a. Viáticos</t>
  </si>
  <si>
    <t>Concepto utilizado para nombrar al dinero o las especies que se le entregan a una persona para cubrir los gastos que incurren para el cumplimiento de sus funciones fuera del área habitual de trabajo o sustentar un viaje.
Para el ejercicio de presupuesto este valor es tomado de la tabla de honorarios y viáticos del DNP 2020.
Fuente: Adaptado de la definición del blog de emprendimiento
https://liderdelemprendimiento.blogspot.com/2017/03/que-son-los-viaticos.html</t>
  </si>
  <si>
    <t>b. Tiquetes Nacionales</t>
  </si>
  <si>
    <t>Es un valor de referencia sobre el  costo de  los vuelos que se efectúan dentro de las fronteras del país.
Fuente: Elaboración Propia</t>
  </si>
  <si>
    <t>b. Tiquetes internacionales</t>
  </si>
  <si>
    <t xml:space="preserve">Es un valor de referencia sobre el  costo de  los vuelos que se efectúan fuera de las fronteras del país. Se identificó un precio promedio para cuatro países de referencia para la cadena láctea. Fuente: Elaboración propia
</t>
  </si>
  <si>
    <t>c. Alquiler de Vehículo</t>
  </si>
  <si>
    <t>Es una modalidad comercial de alquiler, en la que una empresa o persona  dedicada a esta actividad celebra  un contrato o acuerdo, con el propósito principal de permitir el uso del vehículo a otra persona denominada arrendatario, mediante el pago del precio respectivo. Fuente: Adaptado Mintransporte</t>
  </si>
  <si>
    <t>d. Combustible</t>
  </si>
  <si>
    <t>Es el  valor otorgado al combustible que se requiere para desplazarse entre las subregiones lecheras. Es una aproximación del promedio simple del costo de combustible de regiones lecheras, una urbana, una intermedia y una lejana. 
Fuente: Elaboración propia.</t>
  </si>
  <si>
    <t>e. Peaje promedio</t>
  </si>
  <si>
    <t xml:space="preserve">Es la tasa o tarifa que se cobra a un vehículo como derecho de tránsito para utilizar la infraestructura de la respectiva vía de comunicación. Fuente: Adaptado Wikipedia. </t>
  </si>
  <si>
    <t>f. Desplazamiento Terrestre Profesionales</t>
  </si>
  <si>
    <t xml:space="preserve">Es el valor otorgado al costo de desplazarse  entre los aeropuertos y las subregiones lecheras. Fuente: Elaboración propia. </t>
  </si>
  <si>
    <t>g. Tiquetes aéreos para visitar las subregiones</t>
  </si>
  <si>
    <t>Es el rubro o concepto que estableció un número de quince tiquetes aéreos para visitar la totalidad de las subregiones lecheras. Fuente: Elaboración propia</t>
  </si>
  <si>
    <t>h. Apoyos Tecnológicos</t>
  </si>
  <si>
    <t>Es el valor otorgado al alquiler de  una GPS y un computador para ser usado como herramienta de trabajo en su oficio. Fuente: Elaboración propia</t>
  </si>
  <si>
    <t>3. Actividades Grupales</t>
  </si>
  <si>
    <t>Corresponde a los gastos que se debe incurrir para  llevar a cabo las actividades en grupos pequeños, medios y grandes, y se persiguen para alcanzar los objetivos propios de cada uno de los temas trabajados en la cadena láctea.
Fuente: Elaboración propia</t>
  </si>
  <si>
    <t>a. Talleres Nacionales</t>
  </si>
  <si>
    <t>Es el valor otorgado al  gasto  que se debe incurrir para realizar actividades  a nivel nacional, encaminadas a la capacitación de temas referentes al sector lácteo. Incluye el  costo del auditorio, refrigerio, estación de café, agua y  material de divulgación.
Fuente: Elaboración propia</t>
  </si>
  <si>
    <t>b. Talleres Regionales</t>
  </si>
  <si>
    <t>Es el valor otorgado al  gasto  que se debe incurrir para realizar actividades  a nivel regional, encaminadas a la capacitación y  socialización de temas referentes al sector lácteo. Incluye el costo de un auditorio, refrigerio, estación de café y agua, material de apoyo, material de divulgación, desplazamiento para 30 personas y   viáticos del capacitador, así como insumos/materia prima y consumibles. Se realiza un promedio de los ítems y su costo para cada región. 
Fuente: Elaboración propia</t>
  </si>
  <si>
    <t>c. Mesas de trabajo</t>
  </si>
  <si>
    <t>Es el valor otorgado a los espacios de intercambio de experiencias sobre temáticas relacionadas con el sector lácteo para la construcción conjunta de propuestas y recomendaciones que contribuyan a fortalecer el trabajo colaborativo entre los interesados. Se costea un autoritario y un refrigerio para los participantes.
Fuente: Adaptado Sistema de información ambiental de Colombia.</t>
  </si>
  <si>
    <t>d. Brigadas Institucionales</t>
  </si>
  <si>
    <t>Valor otorgado al costo de la constitución de equipos de asistentes técnicos que realizan  transferencia de conocimiento de uno o dos temas específicos de la cadena láctea y se realiza principalmente en campo. Su costo incluye salón social, refrigerio, material apoyo, material de divulgación, estación de café y agua, líder de brigada y apoyo, desplazamiento personas, apoyos tecnológicos de las personas de apoyo.</t>
  </si>
  <si>
    <t>e. Visitas de Certificación</t>
  </si>
  <si>
    <t>Corresponde a la visita que realizan los técnicos, a los predios sujetos a programas o actividades que requieren verificación del cumplimiento de requisitos según el programa. Su costo incluye viáticos líder, desplazamiento persona por predio, apoyos tecnológico, material de apoyo.</t>
  </si>
  <si>
    <t>f. Formulación de planes sanitarios/predio</t>
  </si>
  <si>
    <t>Es el costo de la visita y desplazamiento de los asistentes técnicos requeridos para realizar el levantamiento o diseño de los planes sanitarios a escala predial. Su costo incluye viáticos líder, desplazamiento persona por predio, apoyos tecnológicos.</t>
  </si>
  <si>
    <t>g. Predios demostrativos</t>
  </si>
  <si>
    <t>Corresponde al costo de alistamiento de predios y visita de productores a predios con prácticas sobresalientes, que pueden servir como ejemplo para transferir a otras zonas. Su costo incluye: Viáticos líder, desplazamiento 5 personas de apoyo, apoyos tecnológicos, insumos, materia prima/consumibles, material de apoyo, profesionales apoyo promocional, desplazamiento de 30 personas, refrigerio, estación de café y agua, logística y salud 3 personas. Se estima que las personas provean sus propios medios para llegar a los puntos de encuentro.</t>
  </si>
  <si>
    <t>h. Días de campo/30 personas</t>
  </si>
  <si>
    <t>Valor asignado a un día de transferencia de tecnología entre productores y técnicos para conocer y mejorar prácticas de producción. Su costo incluye capacitador, desplazamiento de 30 personas, refrigerio, estación de café y agua, material de apoyo, material de divulgación, insumos/materia prima y consumibles, preparación del suelo, logística y salud a cargo de 3 personas, apoyos tecnológicos.</t>
  </si>
  <si>
    <t>i. Predios demostrativos/Investigación</t>
  </si>
  <si>
    <t>Corresponde al alistamiento de predios para probar y evaluar nuevos desarrollos tecnológicos. Su costo incluye viáticos del líder, viáticos de 5 expertos, desplazamiento de 10 personas, apoyos tecnológicos para 5 personas, preparación del suelo, insumos, materia prima y consumibles, material de apoyo, refrigerio, estación de café y agua, profesional/fotográfico, insumos especializados.</t>
  </si>
  <si>
    <t>j. Talleres Prácticos/procesos 30personas</t>
  </si>
  <si>
    <t>Equivale a jornadas de transferencia de conocimiento y tecnología con metodologías prácticas y vivenciales. Su costo incluye la capacitación de 30 personas,  el pago de capacitador, el cual se calculó en un salario mensual legal vigente, auditorio, refrigerio, almuerzo, material de divulgación, insumos/materia prima y consumibles.</t>
  </si>
  <si>
    <t>k. Eventos de promoción y divulgación Nacional</t>
  </si>
  <si>
    <t>Es el valor otorgado al  gasto  que se debe incurrir para realizar actividades  a nivel nacional, encaminadas a la socialización, promoción  y divulgación de temas referentes al sector lácteo. Incluye el  costo del auditorio, refrigerio, estación de café, agua y  material de divulgación.
Fuente: Elaboración propia</t>
  </si>
  <si>
    <t>l. Eventos de promoción y divulgación Regional</t>
  </si>
  <si>
    <t>Es el valor otorgado al  gasto  que se debe incurrir para realizar actividades  a nivel regional  encaminados a la socialización, promoción  y divulgación de temas referentes al sector lácteo. Incluye el  costo del auditorio, refrigerio, estación de café, agua y  material de divulgación.
Fuente: Elaboración propia</t>
  </si>
  <si>
    <t xml:space="preserve">4. Tasa de cambio </t>
  </si>
  <si>
    <t>a. Tasa de cambio</t>
  </si>
  <si>
    <t xml:space="preserve">Es la relación entre el valor de una moneda y otra, es decir, nos indica cuántas unidades  de una divisa se necesitan para obtener una unidad de otra. Fuente: Adaptado  Wikipedia.
</t>
  </si>
  <si>
    <t>Pesos por Dólar</t>
  </si>
  <si>
    <t>Es la relación entre el valor de un dólar y un peso,  es decir,  indica cuántos pesos se requiere  para un dólar. Por ejemplo, para el 2020, se requieren 3693 pesos para adquirir un dólar estadunidense.  Fuente: Adaptado Wikipedia.</t>
  </si>
  <si>
    <t>Pesos Por Euro</t>
  </si>
  <si>
    <t>Es la relación entre el valor de un dólar y un euro, es decir,  indica cuántos pesos se requiere  para un euro.   Por ejemplo, para el 2020, se requieren 4.214  pesos para adquirir un euro.  Fuente: Adaptado Wikipedia</t>
  </si>
  <si>
    <t>5. Promoción y Comunicación</t>
  </si>
  <si>
    <t>a. Cuñas radiales nacionales</t>
  </si>
  <si>
    <t>Es el costo asignado a un anuncio auditivo destinado a publicitar diversos productos, empresas, marcas o servicios a través de mensajes que no excede los 10s a 30 segundos de duración. Para hallar el valor nacional, se realiza un promedio simple de tres cotizaciones para secciones radiales a nivel nacional, que incluye cuñas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</si>
  <si>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b. Cuñas radiales regionales</t>
  </si>
  <si>
    <t>Es el costo asignado a un  anuncio auditivo destinado a publicitar diversos productos, empresas, marcas o servicios a través de mensajes que no exceden los 10s a 30 segundos de duración. Para hallar el valor regional, se realiza un promedio simple, teniendo en cuenta tres tipos de regiones: Apartada, intermedia y principal. El valor standard es de 30 seg. Fuente: Adaptado Directorio de Negocios</t>
  </si>
  <si>
    <t>c. Vallas publicitarias Ciudades Principales</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</si>
  <si>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</si>
  <si>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d. Vallas publicitarias Ciudades regionales</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</si>
  <si>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</si>
  <si>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 Comerciales  tv a nivel Nacional</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</si>
  <si>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</si>
  <si>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f. Comerciales tv a nivel regional</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</si>
  <si>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</si>
  <si>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g. Pendones</t>
  </si>
  <si>
    <t>Es el costo asignado a las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</si>
  <si>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h. Campaña publicitaria nacional</t>
  </si>
  <si>
    <t>Es el costo asignado a un conjunto de piezas creadas con el objetivo de difundir una marca,  producto o un servicio a nivel nacional. La campaña publicitaria nacional contiene impresos, cuñas radiales, brochures, comerciales a tv nacional, pautas en redes sociales y  material promocional. Fuente: Adaptado Wikipedia</t>
  </si>
  <si>
    <t>i. Campaña publicitaria regional</t>
  </si>
  <si>
    <t>Es el costo asignado a un conjunto de piezas creadas con el objetivo de difundir una marca,  producto o un servicio a nivel regional. La campaña publicitaria regional incluye  impresos, cuñas radiales regionales, brochures, pautas en redes sociales, comerciales en tv a nivel regional y material promocional. Fuente: Adaptado Wikipedia.</t>
  </si>
  <si>
    <t>j. Campaña publicitaria institucional</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</si>
  <si>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</si>
  <si>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k. Campaña nacional de promoción al consumo</t>
  </si>
  <si>
    <t>Es el costo asignado a un conjunto de piezas creadas con el objetivo de promover el consumo de un producto o bien.  Fuente: Elaboración propia</t>
  </si>
  <si>
    <t>l. Stand de promoción y divulgación en eventos nacionales</t>
  </si>
  <si>
    <t>Es el costo asignado al valor del espacio dentro de una feria o salón en el nivel nacional, en el que una empresa o institución  expone y presenta sus productos o servicios . Fuente_ Adaptado Wikipedia</t>
  </si>
  <si>
    <t>m. Stand de promoción y divulgación en eventos regionales</t>
  </si>
  <si>
    <t>Es el costo asignado al valor del espacio dentro de una feria o salón a nivel regional, en el que una empresa o institución  expone y presenta sus productos o servicios . Fuente_ Adaptado Wikipedia</t>
  </si>
  <si>
    <t>n. Plan de medios radial regional</t>
  </si>
  <si>
    <t>Es el costo asignado a la planificación estratégica de campañas o comunicación para llegar al público objetivo a nivel regional. Fuente: Elaboración propia</t>
  </si>
  <si>
    <t>ñ. Plan de medios Institucional</t>
  </si>
  <si>
    <t>Es el costo asignado a la planificación estratégica de campañas o comunicación de una institución para llegar al público objetivo. Fuente: Elaboración propia</t>
  </si>
  <si>
    <t>6. Comercialización</t>
  </si>
  <si>
    <t>a. Rueda de negocio nacional y regional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</si>
  <si>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</si>
  <si>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b. Ferias comerciales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</si>
  <si>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</si>
  <si>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c. Ferias comerciales internacionales</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</si>
  <si>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</si>
  <si>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7. Certificaciones Sanitarias</t>
  </si>
  <si>
    <t>a. Certificaciones</t>
  </si>
  <si>
    <t>Incluye el  costo asignado al proceso  relacionado con la acreditación del cumplimiento de una norma sanitaria como Buenas prácticas manufactureras o HACCP (Hazard Análisis and Critical Control Points – Análisis de Peligros y Puntos Críticos de Control)</t>
  </si>
  <si>
    <t>8. Capacitaciones</t>
  </si>
  <si>
    <t xml:space="preserve"> a. Cursos cortos</t>
  </si>
  <si>
    <t>Es el costo asignado al proceso de certificación del conocimiento en una temática determinada y debe cumplirse unas horas de formación.  El costo asignado incluye honorarios de capacitador para 30 personas, refrigerio, material de divulgación y auditorio.</t>
  </si>
  <si>
    <t>b. Cursos libres</t>
  </si>
  <si>
    <t>Es el costo asignado al proceso de formación de una  temática determinada y que se encuentra abierta para todo el que quiera participar.  El costo asignado incluye honorarios de capacitador para 30 personas, refrigerio, material de divulgación y auditorio.</t>
  </si>
  <si>
    <t>c. Diplomado</t>
  </si>
  <si>
    <t xml:space="preserve">Es el costo por promedio por persona para realizar una maestría por persona, referente a matricula en universidad privada.  </t>
  </si>
  <si>
    <t>d. Maestría</t>
  </si>
  <si>
    <t>Es el costo promedio asignado por persona  para obtener un grado académico de posgrado otorgado por una universidad privada.</t>
  </si>
  <si>
    <t>f. Doctorado</t>
  </si>
  <si>
    <t>Es el costo promedio asignado por persona a un  programa  para obtener un  título superior otorgado por una universidad privada y es también un aval que acredita la experticia en un tema específico para la persona que lo ha obtenido.</t>
  </si>
  <si>
    <t>9. Componente ambiental</t>
  </si>
  <si>
    <t>a. Plantas de tratamiento</t>
  </si>
  <si>
    <t>Es el costo asignado a  las plantas de tratamiento de aguas residuales de acuerdo al caudal generado.</t>
  </si>
  <si>
    <t>b. Certificaciones ambientales</t>
  </si>
  <si>
    <t>Es el costo asignado a la acreditación otorgada por un organismo de evaluación que certifica que determinados productos, servicios, procesos, o sistemas de gestión se han llevado a cabo conforme a la normativa ambiental respectiva.  Su costo incluye viáticos líder, desplazamiento persona por predio, apoyos tecnológico, material de apoyo y a acreditación de la norma ambiental.</t>
  </si>
  <si>
    <t>c. Laboratorios</t>
  </si>
  <si>
    <t>Es el costo asignado a las características o análisis requeridos para dar cumplimento a la norma ambiental relacionada.</t>
  </si>
  <si>
    <t>9. Laboratorios de control de calidad</t>
  </si>
  <si>
    <t>a. Análisis de laboratorio leche cruda</t>
  </si>
  <si>
    <t>Es el costo asignado al análisis de calidad composicional y microbiológica: Incluye (% de grasa, % de proteína, sólidos totales, Unidad Formadoras de Colonia (UFC), Nitrógeno Úrico en leche (MUN) , Recuento de células somáticas ( RCS).</t>
  </si>
  <si>
    <t>b.  Paquete de análisis de laboratorios para calidad ( productos terminados</t>
  </si>
  <si>
    <t>Es el costo asignado a un paquete de análisis que incluye laboratorios de ambiente, personal, producto, materia prima, utensilios para dar cumplimiento a la normatividad exigida en las plantas de procesamiento de productos lácteos.</t>
  </si>
  <si>
    <t>c. Análisis de laboratorio producto terminado</t>
  </si>
  <si>
    <t>Es el costo asignado al análisis microbiológico y fisicoquímico de un producto terminado para validar su cumplimiento frente  a la normatividad que lo rige.</t>
  </si>
  <si>
    <t>d. Laboratorio nutricional  para producto (ASL)</t>
  </si>
  <si>
    <t>Es el costo asignado al análisis bromatológico completo de un alimento para determinar la información nutricional que debe llevar la etiqueta del producto para informar al consumidor.</t>
  </si>
  <si>
    <t>e. Análisis de laboratorio nutricional y sensorial  (ASL)</t>
  </si>
  <si>
    <t>Es el costo asignado  al análisis bromatológico completo de un alimento para determinar la información nutricional que debe llevar la etiqueta del producto para informar al consumidor, mas análisis sensorial con un panel entrenado para dar sus características organolépticas.</t>
  </si>
  <si>
    <t>f. Análisis de laboratorio, nutricional, calidad y sensorial (ASL)</t>
  </si>
  <si>
    <t xml:space="preserve">Es el costo asignado al  análisis fisicoquímico, microbiológico, bromatológico y análisis sensorial del producto para determinar su cumplimiento frente a la normatividad sanitaria y legal que lo rige en el mercado. </t>
  </si>
  <si>
    <t>10. Infraestructura</t>
  </si>
  <si>
    <t xml:space="preserve">a. Centros de acopio Pequeño </t>
  </si>
  <si>
    <t>Es el costo incluye equipo de descarga de leche, tanque de recepción, tanque de enfriamiento y laboratorio requerido para que los productores puedan acopiar de forma adecuada su producción.</t>
  </si>
  <si>
    <t>b. Empresa Logística (Equipamiento)/ Centro de distribución</t>
  </si>
  <si>
    <t>Es la suma del costo de todo lo requerido para una empresa de logística con una bodega de  500.000 mts2, equipos de infraestructura específica, cuarto frio, bandas transportadoras, montacargas, carrotanque, camión refrigerado, tanques de frio.</t>
  </si>
  <si>
    <t>c. Infraestructura para procesamiento de leche líquida</t>
  </si>
  <si>
    <t>Incluye los equipos mínimos  requeridos para procesar leche a diferentes escalas y líneas de producción.</t>
  </si>
  <si>
    <t>d. Sala de ordeño</t>
  </si>
  <si>
    <t>Incluye Sala de ordeño, equipos de ordeño, tanques de frio y  adecuaciones necesarias para obtener leche en condiciones optimas para su procesamiento.</t>
  </si>
  <si>
    <t>e. Equipamiento e implementos para laboratorios de control de calidad</t>
  </si>
  <si>
    <t>Comprende toda la infraestructura, insumos, equipos, certificaciones, licencias y mobiliario   requerido para implementar un laboratorio de control de calidad para alimentos.</t>
  </si>
  <si>
    <t xml:space="preserve">11. Apoyos, incentivos e inversión privada </t>
  </si>
  <si>
    <t>a. Certificación Buenas prácticas - Proyecto 1.3</t>
  </si>
  <si>
    <t xml:space="preserve">Es el valor de incentivo asignado a pequeños y medianos ganaderos por certificarse en buenas prácticas; el valor del incentivo se calculó en 6  y 5 millones para pequeños y medianos productores respectivamente. Este valor se calculó así: Se estimó el costo del predio para pequeños, es decir que cuenten con menos de 50 animales en $20 millones y  el costo del predio para medianos (con más de 50 animales) se calcula en $50 millones. El valor del incentivo se calculó como un porcentaje de inversión pública referente a un 30% y 10% del valor de los predios de acuerdo al tipo de productor. </t>
  </si>
  <si>
    <t>b. Equipos y adecuaciones locativas- Proyecto 2.2</t>
  </si>
  <si>
    <t xml:space="preserve">Es el valor del incentivo asignado a las micros y pequeñas empresas de $171.105.081 y $744.295.846 respectivamente. El cual se calculó así:  De acuerdo a la Resolución 957 del 2019  de la DIAN, relacionado con la clasificación de las empresas por el valor de ingresos, en micro, pequeñas y medianas, se tomó el valor de los ingresos  de las empresas y se estimó un porcentaje del 20% , 10% y 10%  respectivamente, para invertir en adecuaciones y equipos, el 80% y 90% restante, se considera inversión privada relacionada con modernización de equipos y adecuaciones inherentes al desarrollo de su actividad productiva.  Por otro lado, se estima apoyar con un ICR del 30% para micros y  20% para micro y pequeñas empresas, para las medianas no se consideran incentivos, sino inversión privada. Se estima intervenir 250 micro empresas, 150 pequeñas empresas y 100 medianas , es decir 25, 15  y 10 cada año, durante 10 años.  </t>
  </si>
  <si>
    <t>c. Incentivos para el  fortalecimiento de I+d+i. Proyecto 4.4</t>
  </si>
  <si>
    <t>Es el costo del incentivo calculado para I+D+i para pequeñas empresas de $4.277.627 y $17.110.508. Este valor se calculó estimando un 10% del valor de los ingresos y a este valor se le calculó un 20% y 10% para calcular el  valor de incentivo otorgado, para micro y pequeñas empresas,  de  acuerdo a la clasificación empresarial de la Dian.</t>
  </si>
  <si>
    <t>d. Incentivos para la creación de empresas/ formalización  y fortalecimiento de I+d+i. Proyecto 5.2/8.1</t>
  </si>
  <si>
    <t xml:space="preserve">Es el costo del incentivo asignado al  emprendimiento de nuevos empresas de $17.110.506 y $4.277.627, este valor se calculó estimando un 10% del valor de los ingresos de acuerdo a la clasificación de empresas dada por la Dian  y a este valor se le calculó un 20%  y un 5% para micro y pequeñas empresas respectivamente. </t>
  </si>
  <si>
    <t>e. Producción de Forrajes- Proyecto 5.2</t>
  </si>
  <si>
    <t xml:space="preserve">Es el costo del incentivo calculado a la  producción de forrajes de $7.000.000 y $11.200.000 para pequeños y medianos productores. Se estima que los productores pequeños  tienen hasta 10 animales y los medianos hasta 40 animales, el valor de la producción anual es de $5.000.000 para pequeños y 4.000.000 para medianos, de acuerdo a la cantidad de lts de leche y al valor de la producción promedio de leche año (USP).  Se calcula un % de crédito del 70% y de este se calcula un incentivo del 20% y 10% dependiendo el tipo de productor. </t>
  </si>
  <si>
    <t>f. Modernización de empresas 5.3</t>
  </si>
  <si>
    <t xml:space="preserve">Es el costo del incentivo calculado a las microempresas y pequeñas empresas de $171.105.081 y $744.295.846 respectivamente. El cual se halló, de acuerdo a la Resolución 957 del 2019  de la DIAN, relacionado con la clasificación de las empresas por el valor de ingresos, en micro, pequeñas y medianas, se tomó el valor de los ingresos  y se estimó un porcentaje del 20% y  10% para micros y pequeñas. Para las medianas empresas se estima inversión privada del 5% de los ingresos.
Se estima apoyar con un ICR del 20% para micros y  10% para pequeñas. Se estima intervenir 250 micro empresas, 150 pequeñas empresas y 100 medianas , es decir 25, 15  y 10 cada año, durante 10 años  y se estima un ICR de 20%. </t>
  </si>
  <si>
    <t xml:space="preserve">g. Desarrollo de empaques y etiquetas pequeñas 6.1 </t>
  </si>
  <si>
    <t>Se estimó un valor del incentivo de $17.110-508 y $37.214.792, de acuerdo a la Resolución 957 del 2019  de la DIAN, relacionado con la clasificación de las empresas de acuerdo al valor de ingresos, en micro, pequeñas y medianas, se tomó el valor de los ingresos  y se estimó un porcentaje del 20% ,10% y 10%. Posteriormente se calculó un 10%, 5% y 2% para  invertir en desarrollo de empaques y etiquetas.</t>
  </si>
  <si>
    <t>h. Incentivo a la exportación de empresas 7.1</t>
  </si>
  <si>
    <t xml:space="preserve">Se estima un valor de incentivo a la exportación  de $17.110.508 y $37.214.792, enfocado a mejoras en el empaque, etiquetas, traducción, embalaje. El incentivo se calculó, de acuerdo a la Resolución 957 del 2019  de la DIAN, relacionado con la clasificación de las empresas por el valor de ingresos, en micro, pequeñas y medianas, se tomó el valor de los ingresos  y se estimó un porcentaje del 20% , 10% y 10%. Se estima intervenir 48 empresas durante el proyecto, es decir 12 al año. </t>
  </si>
  <si>
    <t>i. Incentivo uso adecuado del suelo 9.1</t>
  </si>
  <si>
    <t>Se estima un incentivo directo para pequeños y medianos productores para conservar una hectárea en bosques por UPA con producción de leche. La cantidad de UPAS a intervenir se estima en un 5%  de 5 millones de has, es decir 17.500 durante todo el plan. Para esto se estima un promedio en el tamaño de Upas de 5 ha para pequeños y 20 para medianos. Se estima  tener una cobertura del  80% para pequeños y el 20% en medianos, durante 18 años, es decir 780 (5 has/pequeñas UPAS en el año) y 195 (Medianas UPAS 20 has). Para hallar el costo de la inversión, se tiene en cuenta el valor de la producción promedio de leche al año de un animal que es de $2.400.000 aprox y  para medianos se estima una inversión de  $2.000.000 por ha, es 12 y 40 millones para pequeños y medianos productores respectivamente. Se incentiva el 50% de esta inversión.</t>
  </si>
  <si>
    <t>j. Incentivo modular para promover a la asociatividad  10.1</t>
  </si>
  <si>
    <t>Se estima un incentivo modular para promover la asociatividad. Se estima incentivar a 1000.000 productores los cinco primeros años, es decir a 20.0000 productores por año y a 100.000 productores para los 10 años restantes, es decir 10.000 al año. Se estima un único apoyo denominado un incentivo modular para promover la asociativa, que se estimó de acuerdo al incentivo modular que hace referencia al incentivo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para promover la asociatividad, corresponde al 50% del valor de la producción promedio de leche al año de un animal, se estima que este valor sea asumido en un 50% por el estado y el restante por los productores,</t>
  </si>
  <si>
    <t>k.  Cuota de mantenimiento a una asociación 10.1</t>
  </si>
  <si>
    <t xml:space="preserve">Se estima el costo que tendría que  asumir los agricultores por pertenecer a una asociación, el cual se calcula en 50.000 mensuales por 12 meses. </t>
  </si>
  <si>
    <t>l. Incentivo integración vertical   10.2</t>
  </si>
  <si>
    <t>Costo asignado al valor del incentivo de la integración vertical. Se realiza la estimación  de un incentivo  para las empresas que realicen integración vertical. Se estima apoyar a 325 empresas durante todo el plan, 175 durante los primeros cinco años, es decir 35 y 150 empresas durante el resto del tiempo, es decir 15 año. Se estima una asociación compuesta por 90 productores, 50 pequeños y 40 medianos.  Los productores pequeños  tienen hasta 10 animales y los medianos hasta 40 animales. Se estima el valor de su producción de acuerdo al valor promedio de producción de 10.65 lts diarios. La producción diaria es de 22.365 lts día. Se calcula la producción al año, para alcanzar la meta de 9 millones de litros procesados por empresas al año, la cual arroja un resultado de $8.051.400. Una vez se tiene, la cantidad de lts procesados al año, se multiplica por el precio promedio de venta del litro de leche nacional en el 2020 (1230), lo cual arroja un valor de $603.855. El Incentivo Integral a las empresas es el 10% del valor de la leche procesada al año. También se realiza un estimativo de necesidad de inversión en infraestructura y se calcula un ICR del 20%. También se realiza un estimativo de necesidad de inversión en infraestructura y se calcula un ICR del 20%.</t>
  </si>
  <si>
    <t>m. Infraestructura estimada Asociación 10.2</t>
  </si>
  <si>
    <t>Valor asignado a la necesidad de inversión en infraestructura y se calcula un ICR del 20%. El valor estimado es de $497.750.000 correspondiente al valor de los equipos requeridos para las líneas de producción y a la infraestructura para las plantas procesadoras.</t>
  </si>
  <si>
    <t>n. Incentivo Integración Horizontal 10.3</t>
  </si>
  <si>
    <t xml:space="preserve">Costo indicativo del incentivo a la integración horizontal de$ 50.047.673,  calculado como un promedio simple del valor resultante de hallar el 20% y 10% del valor de los  ingresos para pequeñas y  medianas, a este valor se le halla un 15% y 10% para incentivar las empresas que se integren verticalmente.  Se estima que 30 empresas se logren integrar a lo largo del proyecto, se estima 3 empresas al año. </t>
  </si>
  <si>
    <t>ñ. Financiamiento formal 11.3</t>
  </si>
  <si>
    <t xml:space="preserve">Costo indicativo de los requerimientos de financiamiento de los ganaderos y las empresas. Se estima que cada año se incluyan al sector financiero 8100  productores nuevos, de los cuales partiendo de la línea base de 54.500 , se llegaría en el año 17 a 192.000 productores al año, de los cuales un 80% de productores son pequeños y un 20% de productores medianos. Se calcula un monto de crédito para pequeños de $5 millones y de $8 millones para medianos. También se calcula un valor de $500.000 y $400.000 como valor a apoyar para pequeños y medianos productores, el cual se halla como  % de 10% y 5% del monto del crédito. 
Para las empresas, se estima un valor de $85.552.540 y $372.147.923 como requerimientos de recursos de crédito para micro y pequeñas empresas, el cual se halla, de acuerdo a la Resolución 957 del 2019  de la DIAN, relacionado con la clasificación de las empresas y  el valor de ingresos, se tomó el valor de los ingresos  y se estimó un porcentaje del 50% y 20% para crédito solo para  microempresas y pequeñas empresas.  Se supone q  250 micro empresas, tendrán acceso al crédito, 150 pequeñas empresas y 100 medianas, es decir 15 y  15  y cada año, durante 10 años. También se estima un  valor de FAG de $8.555.524 y $ 18.607.396% el cual se halló como porcentaje del l 10% y 5% del % de recursos para crédito calculado. </t>
  </si>
  <si>
    <t>p. Escalamiento de sistemas sostenibles 12.2</t>
  </si>
  <si>
    <t>Costo indicativo para el establecimiento de una hectárea de un sistema silvopastoril no intensivo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</si>
  <si>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q. Uso sostenible del agua. 13.1</t>
  </si>
  <si>
    <t>Costo indicativo al del valor de incentivo de $25.665.762 y $74.429285 para el uso sostenible del agua, el cual se halló de acuerdo con la Resolución 957 del 2019  de la DIAN, relacionado con la clasificación de las empresas por el valor de ingresos, en micro, pequeñas y medianas, se tomó el valor de los ingresos  y se estimó un porcentaje del 20% , 10% y 10%  respectivamente, para invertir en conocimientos y tecnologías para el uso eficiente del agua, a través de inversiones de acuerdo con el tamaño de la empresa. Se estima apoyar 250 microempresas, 150 pequeñas empresas y 100 medianas empresas, es decir 25, 15  y 10 cada año, durante 10 años. Se estima un ICR del 15%, 10% y 5% para las micro, pequeñas y medianas empresas.</t>
  </si>
  <si>
    <t>r- Recuperación de coberturas y áreas degradadas 13.2</t>
  </si>
  <si>
    <t>Es el valor asignado  a la recuperación de áreas es de $1.865.169 que es el costo global de instalación de una cerca que incluye materiales, mano de obra y transporte.  El cual se calcula, a partir de la meta de áreas liberadas para restauración de la NAMA de ganadería sostenible (en formulación) 68.675 ha a 2030, la cual se proyecta un 40% de cumplimiento para la cadena láctea equivalente a 27.470 ha, considerando la ejecución desde el año 4 al año 10, es decir 3.924 ha por año; para el aislamiento de áreas para conservación.</t>
  </si>
  <si>
    <t>s- Procesos de aprovechamiento de residuos orgánicos 14.1</t>
  </si>
  <si>
    <t>Es el valor asignado a la inversión privada  para la realización de aprovechamiento de residuos orgánicos. El valor es de 6 millones  para pequeños y de 5 millones para medianos y un apoyo directo de 3 millones y 2.5 millones respectivamente.  Se estima intervenir 50.000 predios, de los cuales 35.000 se estiman como predios de pequeños productores y el resto como medianos y grandes, por un período de 10 años, es decir 3.500 predios anuales y 1.500 para predios de medianos</t>
  </si>
  <si>
    <t>t. Implementación Gestión ambiental 14.3/14.4</t>
  </si>
  <si>
    <t>Es el valor asignado a la implementación de la gestión ambiental, el cual es de $12.832.881 y $37.214.792, y se halló de acuerdo con la Resolución 957 del 2019  de la DIAN, relacionado con la clasificación de las empresas por el valor de ingresos, en micro, pequeñas y medianas, se tomó el valor de los ingresos  y se estimó un porcentaje del 20%, 10% y 5%  respectivamente, para implementar procesos que agreguen  valor al lactosuero, a través de inversiones tecnológicas de acuerdo con el tamaño de la empresa, esta inversión se debe realizar por las empresas, no se tiene en cuenta medianas empresas. Se estima intervenir 250 empresas durante 8 años, así: 150 microempresas, pequeñas 75 y 25 medianas, es decir 19 microempresas, 9 pequeñas y 3 medianas por año.</t>
  </si>
  <si>
    <t>u. Aseguramiento Asociativo</t>
  </si>
  <si>
    <t xml:space="preserve"> El  valor de la prima para aseguramiento asociativo, corresponde al 50% del valor de la producción promedio de leche al año de un animal. </t>
  </si>
  <si>
    <t>Fuente Incentivos. Elaboración propia</t>
  </si>
  <si>
    <t>a. Honorarios</t>
  </si>
  <si>
    <t>Tabla de Honorarios Contratos de Prestación de Servicios</t>
  </si>
  <si>
    <t>Categorías</t>
  </si>
  <si>
    <t>Valor</t>
  </si>
  <si>
    <t>Unidad</t>
  </si>
  <si>
    <t>Consultor Categoría III Nivel 8</t>
  </si>
  <si>
    <t>TP+MA+70-79ME</t>
  </si>
  <si>
    <t>$/mes</t>
  </si>
  <si>
    <t>Consultor Categoría III Nivel 7</t>
  </si>
  <si>
    <t>TP+MA+60-69 ME</t>
  </si>
  <si>
    <t>Consultor Categoría III Nivel 6</t>
  </si>
  <si>
    <t>TP + MA +50-59 ME</t>
  </si>
  <si>
    <t>Consultor Categoría III Nivel 5</t>
  </si>
  <si>
    <t>TP+MA+40-49ME</t>
  </si>
  <si>
    <t>Consultor Categoría III Nivel 4</t>
  </si>
  <si>
    <t>TP+E+46-51ME</t>
  </si>
  <si>
    <t>Consultor Categoría III Nivel 3</t>
  </si>
  <si>
    <t>TP+E+41-45ME</t>
  </si>
  <si>
    <t>Consultor Categoría III Nivel 2</t>
  </si>
  <si>
    <t>TP+E+35-40ME</t>
  </si>
  <si>
    <t>Abreviaciones:</t>
  </si>
  <si>
    <t>Consultor Categoría III Nivel 1</t>
  </si>
  <si>
    <t>TP+E+29-34ME</t>
  </si>
  <si>
    <t>Consultor Categoría II Nivel 8</t>
  </si>
  <si>
    <t>TP+E+23-28ME</t>
  </si>
  <si>
    <t>TB</t>
  </si>
  <si>
    <t>Titulo de bachiller o diploma de bachiller</t>
  </si>
  <si>
    <t>Consultor Categoría II Nivel 7</t>
  </si>
  <si>
    <t>TP+E+17-22ME</t>
  </si>
  <si>
    <t>TFTP</t>
  </si>
  <si>
    <t>Título de formación técnica profesional</t>
  </si>
  <si>
    <t>Consultor Categoría II Nivel 6</t>
  </si>
  <si>
    <t>TP+E+11-16ME</t>
  </si>
  <si>
    <t>TFT</t>
  </si>
  <si>
    <t>Titulo de formación tecnológica</t>
  </si>
  <si>
    <t>Consultor Categoría II Nivel 5</t>
  </si>
  <si>
    <t>TP+E+5-10ME</t>
  </si>
  <si>
    <t>TP</t>
  </si>
  <si>
    <t>Titulo Profesional</t>
  </si>
  <si>
    <t>Consultor Categoría II Nivel 4</t>
  </si>
  <si>
    <t>TP+E+25-33ME</t>
  </si>
  <si>
    <t>E</t>
  </si>
  <si>
    <t>Titulo de Posgrado en la modalidad de especialización</t>
  </si>
  <si>
    <t>Consultor Categoría II Nivel 3</t>
  </si>
  <si>
    <t>TP+18-24 ME</t>
  </si>
  <si>
    <t>MA</t>
  </si>
  <si>
    <t>Titulo de posgrado en la modalidad de maestría</t>
  </si>
  <si>
    <t>Consultor Categoría II Nivel 2</t>
  </si>
  <si>
    <t>TP+10- 17 ME</t>
  </si>
  <si>
    <t>ME</t>
  </si>
  <si>
    <t>Meses de Experiencia</t>
  </si>
  <si>
    <t>Consultor Categoría II Nivel 1</t>
  </si>
  <si>
    <t>TFT+7-15 ME, o TP+3-9 ME</t>
  </si>
  <si>
    <t>Consultor Categoría I Nivel 8</t>
  </si>
  <si>
    <t>TFT+ 4-6 ME, o TP+ 1 ME</t>
  </si>
  <si>
    <t>Consultor Categoría I Nivel 7</t>
  </si>
  <si>
    <t>TFT+1-3 ME</t>
  </si>
  <si>
    <t>Se supone para elaboración de estudios, conformación de grupos de trabajo de 5 personas, 1 líder y 4 profesionales de apoyo.</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</si>
  <si>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</si>
  <si>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</si>
  <si>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</si>
  <si>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</si>
  <si>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</si>
  <si>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</si>
  <si>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</si>
  <si>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</si>
  <si>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</si>
  <si>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</si>
  <si>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</si>
  <si>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</si>
  <si>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2021</t>
  </si>
  <si>
    <t>2. Tabla de viáticos  Contratos de Prestación de Servicios</t>
  </si>
  <si>
    <t>Semana ($/3,5 días)</t>
  </si>
  <si>
    <t>$/día</t>
  </si>
  <si>
    <t>Viáticos/ Tabla de base de liquidación.</t>
  </si>
  <si>
    <t>COMISIONES DE SERVICIO EN EL INTERIOR DEL PAÍS</t>
  </si>
  <si>
    <t>BASE DE LIQUIDACIÓN</t>
  </si>
  <si>
    <t>VIÁTICOS DIARIOS EN PESOS</t>
  </si>
  <si>
    <t>Viáticos diarios en pesos</t>
  </si>
  <si>
    <t xml:space="preserve">Hasta $0 a $1.138.856 </t>
  </si>
  <si>
    <t>Hasta</t>
  </si>
  <si>
    <t>De $1.138.857 a $1.789.604</t>
  </si>
  <si>
    <t xml:space="preserve">De  $1.789.605 a $2.389.756 </t>
  </si>
  <si>
    <t>De  $2.389.757  a $3.031.083</t>
  </si>
  <si>
    <t>De  $3.031.084 a $3.660.661</t>
  </si>
  <si>
    <t>De  $3.660.662 a $5.520.831</t>
  </si>
  <si>
    <t>De  $5.520.831 a $7.716.221</t>
  </si>
  <si>
    <t>De  $7.716.222 a $9.161.941</t>
  </si>
  <si>
    <t>De  $9.161.942 a $11.278.691</t>
  </si>
  <si>
    <t>De $11.278.692 a $13.638.099</t>
  </si>
  <si>
    <t>De $13.638.100  en adelante</t>
  </si>
  <si>
    <t>Fuente: Valores referencia obtenidos del Decreto No. 1013 de 2019 "Por el cual se fijan las escalas de viáticos"</t>
  </si>
  <si>
    <t>Valor promedio ida y regreso</t>
  </si>
  <si>
    <t xml:space="preserve">Nota: Corresponde a un valor promedio simple  del costo de vuelos de rutas nacionales. </t>
  </si>
  <si>
    <t>c. Tiquetes internacionales</t>
  </si>
  <si>
    <t>Países De referencia</t>
  </si>
  <si>
    <t>Valor tiquetes</t>
  </si>
  <si>
    <t>Holanda</t>
  </si>
  <si>
    <t>Argentina</t>
  </si>
  <si>
    <t xml:space="preserve">Nueva Zelanda </t>
  </si>
  <si>
    <t>Ecuador/Costa Rica</t>
  </si>
  <si>
    <t xml:space="preserve">Nota: Corresponde a un valor promedio simple del costo de vuelos  a dichos destinos. </t>
  </si>
  <si>
    <t>Combustible Región Urbana</t>
  </si>
  <si>
    <t>800 km mensuales</t>
  </si>
  <si>
    <t>Combustible Región 2. Intermedia</t>
  </si>
  <si>
    <t>1600 km mensuales</t>
  </si>
  <si>
    <t>Combustible Región 3. Lejana</t>
  </si>
  <si>
    <t>3200 km mensuales</t>
  </si>
  <si>
    <t>35 km por galón</t>
  </si>
  <si>
    <t>Valor aprox Combustible</t>
  </si>
  <si>
    <t>Aproximación a número mayor</t>
  </si>
  <si>
    <t>f. Peaje promedio</t>
  </si>
  <si>
    <t>Rodamientos</t>
  </si>
  <si>
    <t>g. Desplazamiento Terrestre Profesionales</t>
  </si>
  <si>
    <t>h. Tiquetes aéreos para visitar las subregiones</t>
  </si>
  <si>
    <t>i. Apoyos tecnológicos</t>
  </si>
  <si>
    <t>Alquiler GPS</t>
  </si>
  <si>
    <t>Alquiler Tablet</t>
  </si>
  <si>
    <t>j. Alquiler de Vehículo</t>
  </si>
  <si>
    <t>Por día</t>
  </si>
  <si>
    <t>Por semana</t>
  </si>
  <si>
    <t>Por mes</t>
  </si>
  <si>
    <t>Fuente: https://www.autoalquilados.com/, https://www.localiza.com/colombia/es-co?src=mobile</t>
  </si>
  <si>
    <t>m. Mesas de trabajo virtuales</t>
  </si>
  <si>
    <t>n. Talleres Virtuales ( Nacionales y/regionales)</t>
  </si>
  <si>
    <t>a. Talleres  y/o Eventos de divulgación Nacionales</t>
  </si>
  <si>
    <t>Auditorio</t>
  </si>
  <si>
    <t>Salón social</t>
  </si>
  <si>
    <t>Líder</t>
  </si>
  <si>
    <t>Refrigerio</t>
  </si>
  <si>
    <t>Desplazamiento persona por predio</t>
  </si>
  <si>
    <t>Estación de café y otros</t>
  </si>
  <si>
    <t>Material de apoyo</t>
  </si>
  <si>
    <t>Apoyos tecnológicos</t>
  </si>
  <si>
    <t>Material de divulgación</t>
  </si>
  <si>
    <t>Materia de divulgación</t>
  </si>
  <si>
    <t>Talleres Nacionales</t>
  </si>
  <si>
    <t>Estación de café y agua</t>
  </si>
  <si>
    <t>Aprox Mayor</t>
  </si>
  <si>
    <t>Aprox</t>
  </si>
  <si>
    <t>Apoyo (2)</t>
  </si>
  <si>
    <t>Desplazamiento persona (3)</t>
  </si>
  <si>
    <t>Investigación</t>
  </si>
  <si>
    <t xml:space="preserve">Nota: </t>
  </si>
  <si>
    <t>Desplazamiento (30 personas)</t>
  </si>
  <si>
    <t>Su costo incluye viáticos del líder, viáticos de 5 expertos, desplazamiento de 10 personas, apoyos tecnológicos para 5 personas, preparación del suelo, insumos, materia prima y consumibles, material de apoyo, refrigerio, estación de café y agua, profesional/fotográfico, insumos especializados.</t>
  </si>
  <si>
    <t>Profesionales expertos</t>
  </si>
  <si>
    <t>Desplazamiento (10 personas)</t>
  </si>
  <si>
    <t>Talleres Regionales y/o eventos de divulgación regionales</t>
  </si>
  <si>
    <t xml:space="preserve"> Regiones lecheras: En el ejercicio del proceso presupuestal se consideran 10 regiones lecheras: </t>
  </si>
  <si>
    <t>Regiones</t>
  </si>
  <si>
    <t>Insumos/materia prima y consumibles</t>
  </si>
  <si>
    <t>Preparación del suelo</t>
  </si>
  <si>
    <t xml:space="preserve">Se consideran  30 subregiones lecheras, en coherencia con el documento de contexto territorial.  </t>
  </si>
  <si>
    <t>Subregiones</t>
  </si>
  <si>
    <t>Logística y Salud 3 personas</t>
  </si>
  <si>
    <t>Material de apoyo/guía</t>
  </si>
  <si>
    <t xml:space="preserve">Región </t>
  </si>
  <si>
    <t xml:space="preserve">Subregión </t>
  </si>
  <si>
    <t>Talleres Regionales</t>
  </si>
  <si>
    <t>Costo estimado</t>
  </si>
  <si>
    <t>Talleres Altiplano Cundiboyacense</t>
  </si>
  <si>
    <t>Talleres Almeidas y Guavio en Cundinamarca</t>
  </si>
  <si>
    <t>Talleres Regionales/ costo estándar 30 personas</t>
  </si>
  <si>
    <t>Profesionales apoyo promocional</t>
  </si>
  <si>
    <t>Aprox Costo estimado</t>
  </si>
  <si>
    <t>Profesional/fotográfico</t>
  </si>
  <si>
    <t>Talleres Corredor Lechero de Boyacá</t>
  </si>
  <si>
    <t>Insumos especializados</t>
  </si>
  <si>
    <t>Talleres Sabana de Bogotá</t>
  </si>
  <si>
    <t>Talleres Valles Ubaté y Chiquinquirá</t>
  </si>
  <si>
    <t xml:space="preserve">Sub total región </t>
  </si>
  <si>
    <t>Capacitador</t>
  </si>
  <si>
    <t>Almuerzo</t>
  </si>
  <si>
    <t>Talleres Caribe Húmedo</t>
  </si>
  <si>
    <t>Talleres Bajo Cauca</t>
  </si>
  <si>
    <t>Talleres Franja Litoral de Bolívar y Golfo de Morrosquillo</t>
  </si>
  <si>
    <t>Talleres Sabanas de Córdoba, Sucre y Bolívar</t>
  </si>
  <si>
    <t>Insumos/ lavado de botas/manos, tapabocas.</t>
  </si>
  <si>
    <t>Talleres Urabá Antioqueño</t>
  </si>
  <si>
    <t>Se estima quelas personas provean sus propios medios para llegar a los puntos de encuentro</t>
  </si>
  <si>
    <t>Talleres Valle del Río Sinú</t>
  </si>
  <si>
    <t>Talleres Caribe Seco</t>
  </si>
  <si>
    <t>Talleres Centro y Sur del Atlántico</t>
  </si>
  <si>
    <t>Talleres Centro y Sur del Magdalena</t>
  </si>
  <si>
    <t>Talleres Valle del Cesar - Sur de la Guajira</t>
  </si>
  <si>
    <t>Talleres Eje Cafetero</t>
  </si>
  <si>
    <t>Talleres Norte del Valle</t>
  </si>
  <si>
    <t>Zona Cafetera Caldas, Quindío y Risaralda</t>
  </si>
  <si>
    <t>SMLLV</t>
  </si>
  <si>
    <t>Talleres Magdalena Medio</t>
  </si>
  <si>
    <t>Magdalena Medio Central</t>
  </si>
  <si>
    <t>Sur del Cesar y Norte del Dpto. de Santander</t>
  </si>
  <si>
    <t>Talleres Nororiente</t>
  </si>
  <si>
    <t>Centro y Sur de Norte de Santander</t>
  </si>
  <si>
    <t>García Rovira</t>
  </si>
  <si>
    <t>Zona Metropolitana Santander</t>
  </si>
  <si>
    <t>Talleres Norte y Oriente de Antioquia</t>
  </si>
  <si>
    <t>Altiplano Norte de Antioquia</t>
  </si>
  <si>
    <t>Oriente Cercano de Antioquia</t>
  </si>
  <si>
    <t>Talleres Orinoquía</t>
  </si>
  <si>
    <t>Oeste y Norte de Arauca</t>
  </si>
  <si>
    <t>Piedemonte del Meta y Cundinamarca</t>
  </si>
  <si>
    <t>Talleres Suroccidente</t>
  </si>
  <si>
    <t>Región Alta del Centro y Sur de Nariño</t>
  </si>
  <si>
    <t>Región Alta y Media del Cauca</t>
  </si>
  <si>
    <t>Valle del Sibundoy</t>
  </si>
  <si>
    <t>Talleres Suroriente</t>
  </si>
  <si>
    <t>Centro del Tolima</t>
  </si>
  <si>
    <t>Centro y Sur del Huila</t>
  </si>
  <si>
    <t>Norte del Huila</t>
  </si>
  <si>
    <t>Piedemonte Caqueteño</t>
  </si>
  <si>
    <t>Promedio zonas</t>
  </si>
  <si>
    <t xml:space="preserve">Promedio simple del período contemplado </t>
  </si>
  <si>
    <t>Ítem</t>
  </si>
  <si>
    <t xml:space="preserve">Sección radiales Nacionales </t>
  </si>
  <si>
    <t xml:space="preserve">Remoto radiales Nacionales </t>
  </si>
  <si>
    <t>Noticiero mediodía</t>
  </si>
  <si>
    <t>Promedio</t>
  </si>
  <si>
    <t>Noticiero 10 am</t>
  </si>
  <si>
    <t>Noticiero 6 am</t>
  </si>
  <si>
    <t>Aprox al # mayor</t>
  </si>
  <si>
    <t>Fuente: Basada en cotizaciones de ventas@caracol.com.co, 3 de marzo 2021, https://mediakit.caracol.com.co/buscar.aspx?q=caracol</t>
  </si>
  <si>
    <t>b. Cuñas Radiales Regionales (Promedio aprox)</t>
  </si>
  <si>
    <t>Rubro</t>
  </si>
  <si>
    <t>Cuñas radiales regionales</t>
  </si>
  <si>
    <t>Cuña radial regional región 1 (Apartada)</t>
  </si>
  <si>
    <t>Cali</t>
  </si>
  <si>
    <t>Entre 95.000 y 46200</t>
  </si>
  <si>
    <t>Cuña radial regional región 2 (Intermedia)</t>
  </si>
  <si>
    <t>Medellín</t>
  </si>
  <si>
    <t>Entre 182.000 y 1.055.000</t>
  </si>
  <si>
    <t>Cuña radial principal 3 (Principal)</t>
  </si>
  <si>
    <t>Pasto</t>
  </si>
  <si>
    <t>Entre 14.000 y 68.000</t>
  </si>
  <si>
    <t>Montería</t>
  </si>
  <si>
    <t>Entre 23.000 y 125.000</t>
  </si>
  <si>
    <t>Cuñas radiales regionales (Promedio aprox)</t>
  </si>
  <si>
    <t>Nota: Definición Cuñas Publicitaria: El valor standard es de 30 seg., pero puede pautarse valores diferentes segundos que se calcularan con tabla de conversión.</t>
  </si>
  <si>
    <t>o. Eventos de promoción  y divulgación nacional</t>
  </si>
  <si>
    <t>Definición Sección Radiales: Presentación con marca y slogan hasta de 5", desarrollo de contenido y cuña hasta de 30". En los programas especiales las secciones podrán patrocinar el contenido habitual de los programas, previa autorización del Director del programa.</t>
  </si>
  <si>
    <t>p. Eventos de promoción y divulgación regional</t>
  </si>
  <si>
    <t>Observaciones</t>
  </si>
  <si>
    <t>q. Brochures/imprimibles</t>
  </si>
  <si>
    <t>k. Campaña Nacional de promoción</t>
  </si>
  <si>
    <t>Campaña nacional de promoción al consumo de leche: Referencia a campaña promoción de leche y productos lácteos, en el 2017. (Costo 800.000 euros en 2017, es decir 3500 millones) , se estima para el 2021 un crecimiento del 30% presencia en tv, cadenas estatales, diversas emisoras de radio, campañas en centros comerciales de las principales provincias. https://www.lavanguardia.com/vida/20171017/432146091202/economia--agricultura-lanza-una-campana-de-promocion-de-la-leche-y-productos-lacteos-para-impulsar-su-consumo.html</t>
  </si>
  <si>
    <t>Definición Remoto Radial: Participación Comercial de una anunciante, que incluye:
a) Diez cuñas grabadas hasta de 20" cada una. (El cliente lo puede utilizar a discreción dentro de los cinco días previos al evento)</t>
  </si>
  <si>
    <t>c. Vallas Publicitarias Nacional</t>
  </si>
  <si>
    <t>l. Stand promoción Nacional</t>
  </si>
  <si>
    <t>a. Rueda de negocio Nacional y regional</t>
  </si>
  <si>
    <t>d. Vallas Publicitarias Regionales</t>
  </si>
  <si>
    <t>m. Stand promoción regional</t>
  </si>
  <si>
    <t>Persona locales ( tiquete, hospedaje)</t>
  </si>
  <si>
    <t>Incluye el costo de diseño, elaboración y alquiler del sitio de publicación de la valla.</t>
  </si>
  <si>
    <t>Nota. Fuente comerciales tv nacional y regional, experto.</t>
  </si>
  <si>
    <t>Incluye diseño, mobiliario y  alquiler. Fuente Experto.</t>
  </si>
  <si>
    <t>Montaje</t>
  </si>
  <si>
    <t>Diseño y elaboración valla: $5 millones y  $20 millones alquiler nacional.
El valor a tener en cuenta es $25 millones para nacional y 15 para regional.</t>
  </si>
  <si>
    <t>Almuerzos</t>
  </si>
  <si>
    <t xml:space="preserve">Rueda de negocio </t>
  </si>
  <si>
    <t>Se estima pagar desplazamiento a 30 empresas. $1.000.000 por empresa</t>
  </si>
  <si>
    <t xml:space="preserve">b. Participación en ferias comerciales </t>
  </si>
  <si>
    <t>h. Campaña Publicitaria Nacional</t>
  </si>
  <si>
    <t>Cantidad</t>
  </si>
  <si>
    <t>q.  Brochures</t>
  </si>
  <si>
    <t>Impresos</t>
  </si>
  <si>
    <t>Brochures</t>
  </si>
  <si>
    <t>Inscripciones</t>
  </si>
  <si>
    <t>Cuñas radiales</t>
  </si>
  <si>
    <t xml:space="preserve">Stand </t>
  </si>
  <si>
    <t xml:space="preserve">Participación en ferias comerciales </t>
  </si>
  <si>
    <t>Comerciales tv nivel nacional</t>
  </si>
  <si>
    <t>se estima la participación de 5 empresas a la feria</t>
  </si>
  <si>
    <t>Pautas redes sociales</t>
  </si>
  <si>
    <t>Material promocional</t>
  </si>
  <si>
    <t>c. Participación en ferias comerciales internacionales</t>
  </si>
  <si>
    <t>Total campaña publicitaria Nacional</t>
  </si>
  <si>
    <t>Persona  ( tiquete)</t>
  </si>
  <si>
    <t xml:space="preserve">l. Campañas Publicitarias Regionales </t>
  </si>
  <si>
    <t>j.  Campaña publicitaria institucional</t>
  </si>
  <si>
    <t>se estima la participación de 5 empresas a la feria internacional, no incluye el hospedaje</t>
  </si>
  <si>
    <t>Apoyos Tecnológicos</t>
  </si>
  <si>
    <t>Paquete Cuñas radiales regionales</t>
  </si>
  <si>
    <t>Comerciales tv a nivel regional</t>
  </si>
  <si>
    <t>Total Campaña publicitaria Regional</t>
  </si>
  <si>
    <t>Vallas Promocionales</t>
  </si>
  <si>
    <t>o. Eventos Gestión y divulgación Nacional</t>
  </si>
  <si>
    <t>p. Eventos Gestión y divulgación Regional</t>
  </si>
  <si>
    <t>Campaña publicitaria institucional</t>
  </si>
  <si>
    <t>Ítems</t>
  </si>
  <si>
    <t>Nacional</t>
  </si>
  <si>
    <t>Regional</t>
  </si>
  <si>
    <t>Plan de medios radial regional</t>
  </si>
  <si>
    <t>Costos Invima</t>
  </si>
  <si>
    <t>Certificación en BPM</t>
  </si>
  <si>
    <t>Certificaciones en HACCP</t>
  </si>
  <si>
    <t>ñ. Plan de Medios Institucional</t>
  </si>
  <si>
    <t>Aprox mayor valor.</t>
  </si>
  <si>
    <t>Fuente: Invima tarifas 2021</t>
  </si>
  <si>
    <t>https://www.invima.gov.co/tarifas, 2021</t>
  </si>
  <si>
    <t>Plan de medios institucional</t>
  </si>
  <si>
    <t>Se estima que un capacitador cobre 300.000 por cada persona capacitada, se estima un promedio de 30 personas por curso corto. Incluye refrigerio, material de divulgación, auditorio.</t>
  </si>
  <si>
    <t>Valor persona capacitada</t>
  </si>
  <si>
    <t>g. Cursos libres virtuales</t>
  </si>
  <si>
    <t>h. Diplomado virtual</t>
  </si>
  <si>
    <t>9. Componente Ambiental</t>
  </si>
  <si>
    <t>Plan de Medios Institucional</t>
  </si>
  <si>
    <t>a. Infraestructura Ambiental</t>
  </si>
  <si>
    <t xml:space="preserve">Planta de tratamiento pequeña (Caudal de 2500 lt/hora) </t>
  </si>
  <si>
    <t>Planta de tratamiento mediana ( Caudal de 5000 lt/hora)</t>
  </si>
  <si>
    <t>Planta de tratamiento grande ( Caudal mayor a 5000 lts/hora)</t>
  </si>
  <si>
    <t>Fuente: https://www.bayingsas.com/</t>
  </si>
  <si>
    <t>Consultoría</t>
  </si>
  <si>
    <t>Costo Certificaciones ambientales</t>
  </si>
  <si>
    <t>Total costo certificaciones</t>
  </si>
  <si>
    <t>Fuente. Bureau Veritas</t>
  </si>
  <si>
    <t>Caracterizaciones de laboratorios para aire, agua, suelo</t>
  </si>
  <si>
    <t>Fuente: Analizar 2021</t>
  </si>
  <si>
    <t>Fuente</t>
  </si>
  <si>
    <t>Incluye (% de grasa, % de proteína, sólidos totales, Unidad Formadoras de Colonia (UFC), Nitrógeno Úrico en leche (MUN) , Recuento de células somáticas ( RCS).</t>
  </si>
  <si>
    <t>Universidad de Antioquia 2021</t>
  </si>
  <si>
    <t>Incluye ( Laboratorios de Ambiente, personal, producto, materia prima, utensilios)</t>
  </si>
  <si>
    <t>Laboratorio ALSGlobal 2021</t>
  </si>
  <si>
    <t>Incluye microbiológico y fisicoquímico</t>
  </si>
  <si>
    <t>Incluye bromatológico completo y tabla nutricional</t>
  </si>
  <si>
    <t>Incluye bromatológico completo, tabla nutricional y análisis sensorial.</t>
  </si>
  <si>
    <t>Incluye  microbiológico, fisicoquímico, bromatológico completo, tabla nutricional y análisis sensorial.</t>
  </si>
  <si>
    <t>8000 lts</t>
  </si>
  <si>
    <t>40000 lts</t>
  </si>
  <si>
    <t xml:space="preserve">Centros de acopio Pequeño </t>
  </si>
  <si>
    <t xml:space="preserve"> Incluye equipo de descarga de leche, tanque de recepción, tanque de enfriamiento y laboratorio de plataformas.</t>
  </si>
  <si>
    <t>Fuente: Tecnilac 2021</t>
  </si>
  <si>
    <t>ICR 20%</t>
  </si>
  <si>
    <t>Bodega 500.000 por mt , se estima un área de 750 mts</t>
  </si>
  <si>
    <t>Equipos e infraestructura específica</t>
  </si>
  <si>
    <t>Cuarto fio</t>
  </si>
  <si>
    <t>Bandas transportadoras</t>
  </si>
  <si>
    <t>Montacargas</t>
  </si>
  <si>
    <t>Carrotanque</t>
  </si>
  <si>
    <t>Camión refrigerado</t>
  </si>
  <si>
    <t>Tanques de frio</t>
  </si>
  <si>
    <t>Camión transportador refrigerado</t>
  </si>
  <si>
    <t>Fuente: Delaval 2021,  Técnica 2021, Agrilac 2021.</t>
  </si>
  <si>
    <t>Se realizó el cálculo de los equipos que componen una empresa logística, que son Bodega 500.000 mts, equipos de infraestructura específica, cuarto frio, bandas transportadoras, montacargas, carrotanque, camión refrigerado, tanques de frio. Y Se calculó  un ICR de 20%para la compra de dichos equipos.</t>
  </si>
  <si>
    <t>Valor ( Dólar)</t>
  </si>
  <si>
    <t>TRM</t>
  </si>
  <si>
    <t xml:space="preserve">Planta elaboradora de leche en polvo. (30.000 lts día) ( Incluye equipo evaporador y secador spray  para concentración y secado de leche entera) </t>
  </si>
  <si>
    <t xml:space="preserve">Planta elaboradora de leche en polvo. (50.000 lts día) ( Incluye equipo evaporador y secador spray  para concentración y secado de leche entera) </t>
  </si>
  <si>
    <t>Fuente :Essi Colombia- Soluciones de procesado y envasado aséptico. 2021, 7 de mayo</t>
  </si>
  <si>
    <t>Incluye: Sala de ordeño, equipos de ordeño, tanques de frio, adecuaciones)</t>
  </si>
  <si>
    <t>Menos de 1000lts</t>
  </si>
  <si>
    <t>Más  de 1000lts</t>
  </si>
  <si>
    <t>Fuente: Delaval 2021</t>
  </si>
  <si>
    <t>Producto</t>
  </si>
  <si>
    <t>Laboratorio para control de calidad en alimentos (Infraestructura)</t>
  </si>
  <si>
    <t>Equipos ( Neveras, horno de secado, incubadora, potenciómetros, cabina de flujo, etc.)</t>
  </si>
  <si>
    <t>Implementos de laboratorio</t>
  </si>
  <si>
    <t>Adecuación Instalaciones laboratorio (de 96 mts)</t>
  </si>
  <si>
    <t>Mobiliario</t>
  </si>
  <si>
    <t>Licencias para acreditar el laboratorio</t>
  </si>
  <si>
    <t>Fuente: Blamis 2021, Global Química 2021, Isla 2021.</t>
  </si>
  <si>
    <t>f. Equipos, líneas de producción</t>
  </si>
  <si>
    <t>Marmitas 1000 a 2000 lts</t>
  </si>
  <si>
    <t>Descremadoras (5000 lts hora)</t>
  </si>
  <si>
    <t>Tanques de enfriamiento</t>
  </si>
  <si>
    <t>Empacadoras</t>
  </si>
  <si>
    <t>Pasteurizadores de placas (1000 lts hora)</t>
  </si>
  <si>
    <t>Cuartos fríos</t>
  </si>
  <si>
    <t xml:space="preserve"> Equipos, líneas de producción</t>
  </si>
  <si>
    <t>Infraestructura para plantas procesadoras</t>
  </si>
  <si>
    <t>mts</t>
  </si>
  <si>
    <t>Valor mts cuadrado</t>
  </si>
  <si>
    <t>Valor total</t>
  </si>
  <si>
    <t>Mejoramiento de infraestructura en las áreas de proceso. Se estima un área de 400 mts</t>
  </si>
  <si>
    <t>Incentivos infraestructura  y equipos 6,3</t>
  </si>
  <si>
    <t>Líneas de producción / Adecuación infraestructura</t>
  </si>
  <si>
    <t>11 . Apoyos e Incentivos</t>
  </si>
  <si>
    <t>Clasificación 957 del 2019, Clasificación empresarial- DIAN Por valor de Ingresos</t>
  </si>
  <si>
    <t xml:space="preserve">UVT (Unidad de Valor Tributario- DIAN 2021) </t>
  </si>
  <si>
    <t>Empresas Manufactureras</t>
  </si>
  <si>
    <t>Clasificación DIAN</t>
  </si>
  <si>
    <t xml:space="preserve">Microempresas </t>
  </si>
  <si>
    <t>Pequeñas Empresas</t>
  </si>
  <si>
    <t>Medianas Empresas</t>
  </si>
  <si>
    <t>Supuestos de cantidad de empresas</t>
  </si>
  <si>
    <t>Empresas</t>
  </si>
  <si>
    <t>10 años</t>
  </si>
  <si>
    <t>8 años</t>
  </si>
  <si>
    <t>Micro</t>
  </si>
  <si>
    <t>Pequeñas</t>
  </si>
  <si>
    <t>Medianas</t>
  </si>
  <si>
    <t>Supuestos de tipo de productor</t>
  </si>
  <si>
    <t>Tipo de productor</t>
  </si>
  <si>
    <t>Animales</t>
  </si>
  <si>
    <t>Cantidad Agricultores</t>
  </si>
  <si>
    <t>Meta</t>
  </si>
  <si>
    <t>Productores a intervenir al año durante 20 años</t>
  </si>
  <si>
    <t>Pequeños</t>
  </si>
  <si>
    <t>Medianos</t>
  </si>
  <si>
    <t>Se supone que un productor es pequeño cuando tiene menos de 10 animales y es mediano cuando tiene entre 10  y hasta 40 animales.</t>
  </si>
  <si>
    <t>Tamaño</t>
  </si>
  <si>
    <t>Valor Predio</t>
  </si>
  <si>
    <t>% de inversión pública</t>
  </si>
  <si>
    <t>Valor Incentivo por predio</t>
  </si>
  <si>
    <t>Costo de Predio (E) Pequeños</t>
  </si>
  <si>
    <t>Menor de 50 animales</t>
  </si>
  <si>
    <t>Costo de predio (E)</t>
  </si>
  <si>
    <t>Mayor de 50 animales</t>
  </si>
  <si>
    <t>Valor de los ingresos</t>
  </si>
  <si>
    <t>%  estimado para equipos y adecuaciones locativas</t>
  </si>
  <si>
    <t>Valor estimado para inversiones locativas</t>
  </si>
  <si>
    <t>% Estimado para apoyo por tipo de empresa</t>
  </si>
  <si>
    <t>Incentivo/crédito</t>
  </si>
  <si>
    <t>Empresas Intervenidas Anual</t>
  </si>
  <si>
    <t>%  estimado de ingresos para i+d+i</t>
  </si>
  <si>
    <t xml:space="preserve">Valor estimado de ingresos para i+d+i </t>
  </si>
  <si>
    <t>%  estimado para incentivo  i+d+i</t>
  </si>
  <si>
    <t>Valor estimado para incentivo  i+d+i pequeñas</t>
  </si>
  <si>
    <t>d. Incentivos para la creación de empresas/ formalización  y fortalecimiento de I+d+i. Proyecto 5.2 /8.1</t>
  </si>
  <si>
    <t>%  estimado de ingresos para emprendimiento</t>
  </si>
  <si>
    <t>Valor estimado de ingresos para emprendimiento</t>
  </si>
  <si>
    <t>%   estimado inversión privada</t>
  </si>
  <si>
    <t xml:space="preserve">Valor estimado para inversión privada. </t>
  </si>
  <si>
    <t xml:space="preserve">% estimado para formalización </t>
  </si>
  <si>
    <t>El valor del incentivo a la formalización para microempresas se calculó estimando un 10% del valor de los ingresos y a este valor se le calculó un 20% para el valor de incentivo otorgado.</t>
  </si>
  <si>
    <t>El valor del incentivo para el emprendimiento es el 20% del valor del 10% del ingresos de las microempresas, de acuerdo a la clasificación empresarial de la Dian.</t>
  </si>
  <si>
    <t>Ingresos</t>
  </si>
  <si>
    <t>Crédito (hasta el 70%)</t>
  </si>
  <si>
    <t>FAG</t>
  </si>
  <si>
    <t>FAG por animal</t>
  </si>
  <si>
    <t>% Crédito</t>
  </si>
  <si>
    <t>Valor Crédito</t>
  </si>
  <si>
    <t xml:space="preserve">Se estima que los productores pequeños  tienen hasta 10 animales y los medianos hasta 40 animales, el valor de la producción anual es de $5.000.000 para pequeños y 4.000.000 para medianos, de acuerdo a la cantidad de lts de leche y al valor de la producción promedio de leche año (USP).  Se calcula un % de crédito del 70% y de este se calcula un incentivo del 20% y 10% dependiendo el tipo de productor. </t>
  </si>
  <si>
    <t>%  estimado modernización de empresas</t>
  </si>
  <si>
    <t>Valor estimado para modernización de empresas</t>
  </si>
  <si>
    <t>g. Desarrollo de empaques y etiquetas pequeñas 6.1</t>
  </si>
  <si>
    <t>%  estimado para desarrollo de empaques</t>
  </si>
  <si>
    <t xml:space="preserve">Valor estimado para desarrollo de empaques </t>
  </si>
  <si>
    <t>g. Desarrollo de empaques y etiquetas pequeñas 6.3</t>
  </si>
  <si>
    <t xml:space="preserve">%  estimado para exportación </t>
  </si>
  <si>
    <t xml:space="preserve">Valor estimado para exportación </t>
  </si>
  <si>
    <t>Ha</t>
  </si>
  <si>
    <t>Promedio tamaño de Upas</t>
  </si>
  <si>
    <t>Valor de la producción promedio de leche al año ( Un animal)</t>
  </si>
  <si>
    <t>Cantidad de lts que produce un animal al año (Promedio OL y DP)</t>
  </si>
  <si>
    <t>Precio promedio venta de litro leche nacional año 2020 (USP)</t>
  </si>
  <si>
    <t>Promedio anual de producción de leche (Línea Base- lineamientos)</t>
  </si>
  <si>
    <t>Incentivo modular (50% producción promedio)</t>
  </si>
  <si>
    <t>Aprox mayor valor</t>
  </si>
  <si>
    <t xml:space="preserve">Hace referencia a incentivo modular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para promover la asociatividad, corresponde al 50% del valor de la producción promedio de leche al año de un animal. </t>
  </si>
  <si>
    <t>k. Cuota de mantenimiento a una asociación 10.1</t>
  </si>
  <si>
    <t>Costo mensual mantenimiento</t>
  </si>
  <si>
    <t>Meses</t>
  </si>
  <si>
    <t>Se estima el costo anual para un agricultor pertenecer a una asociación.</t>
  </si>
  <si>
    <t>l. Incentivo integración vertical  y horizontal  10.2</t>
  </si>
  <si>
    <t>Estimación de recursos para iniciar el montaje por organización apoyada. 250 empresas en los primeros 5 años y las otras 250 empresas en el resto del tiempo.</t>
  </si>
  <si>
    <t>Asociación</t>
  </si>
  <si>
    <t>Cantidad de asociados</t>
  </si>
  <si>
    <t>Vacas</t>
  </si>
  <si>
    <t>Cantidad de lts que producen</t>
  </si>
  <si>
    <t>Producción de leche en lts</t>
  </si>
  <si>
    <t>Pequeño</t>
  </si>
  <si>
    <t>Producción de leche al día estimado para una asociación</t>
  </si>
  <si>
    <t>Se estima una asociación compuesta por 90 productores, 50 pequeños y 40 medianos.  Los productores pequeños  tienen hasta 10 animales y los medianos hasta 40 animales. Se estima el valor de su producción de acuerdo al valor promedio de producción de 6,36 lts diarios (Fuente AS). La producción diaria es de 13356 lts día.</t>
  </si>
  <si>
    <t>Cantidad de lts de producción  anual de la asociación</t>
  </si>
  <si>
    <t>Valores</t>
  </si>
  <si>
    <t>Diario</t>
  </si>
  <si>
    <t>Días</t>
  </si>
  <si>
    <t>Cantidad de lts procesados al año</t>
  </si>
  <si>
    <t>Se calcula la producción al año, para alcanzar la meta de 9 millones de litros procesados por empresas al año, la cual da $8.051.400</t>
  </si>
  <si>
    <t>m Infraestructura Integración Vertical 10.2</t>
  </si>
  <si>
    <t>Incentivo</t>
  </si>
  <si>
    <t xml:space="preserve">Precio </t>
  </si>
  <si>
    <t>Precio promedio venta de litro leche nacional año 2020 (USL)</t>
  </si>
  <si>
    <t>Lts día de la integración</t>
  </si>
  <si>
    <t>Lts mes integración</t>
  </si>
  <si>
    <t>Total Venta de la integración en un día</t>
  </si>
  <si>
    <t>Total Venta en un mes</t>
  </si>
  <si>
    <t>% Incentivo</t>
  </si>
  <si>
    <t>Incentivo Integración Vertical</t>
  </si>
  <si>
    <t>Apoyo por productor</t>
  </si>
  <si>
    <t>Apoyo por litro ( 10% respecto al precio de compra mes)</t>
  </si>
  <si>
    <t>Una vez de tiene, la cantidad de lts procesados al año, se multiplica por el precio promedio de venta del litro de leche nacional en el 2020 (1230), lo cual arroja un valor mensual de $360.612.000.  El Incentivo Integral a las empresas es el 10% del valor de la leche procesada al año.</t>
  </si>
  <si>
    <t>Infraestructura Línea de producción/quesos/yogures</t>
  </si>
  <si>
    <t xml:space="preserve">%  estimado  de ingresos para inversiones relacionadas con la integración horizontal. </t>
  </si>
  <si>
    <t xml:space="preserve">Valor estimado </t>
  </si>
  <si>
    <t>Promedio Incentivo</t>
  </si>
  <si>
    <t>Valor ingreso productor</t>
  </si>
  <si>
    <t>Ingreso anual</t>
  </si>
  <si>
    <t>Crédito (hasta el 10%)</t>
  </si>
  <si>
    <t xml:space="preserve">Se realiza una estimación de los requerimientos de crédito formal, de acuerdo al tipo de productor. Pequeños productores se consideran menores de 10 animales con ingresos anuales de 50 millones y un mediano productor es aquel que tenga 40 animales con ingresos anuales de 160 millones. Se estima un % de crédito de hasta el 70% del valor de los ingresos, cifra que sería el valor de  requerimiento de crédito para los agricultores pequeños y medianos.  </t>
  </si>
  <si>
    <t>Financiamiento</t>
  </si>
  <si>
    <t>Estimaciones Para FAG</t>
  </si>
  <si>
    <t>%  estimado para crédito</t>
  </si>
  <si>
    <t>Valor estimado para crédito</t>
  </si>
  <si>
    <t>Valor estimado para fag</t>
  </si>
  <si>
    <t xml:space="preserve">De acuerdo a la Resolución 957 del 2019  de la DIAN, relacionado con la clasificación de las empresas por el valor de ingresos, en micro, pequeñas y medianas, se tomó el valor de los ingresos  y se estimó un porcentaje del 50% y 20% para crédito solo para de microempresas y pequeñas empresas. . Se estima intervenir 250 micro empresas, 150 pequeñas empresas y 100 medianas , es decir 25, 15  y 10 cada año, durante 10 años. </t>
  </si>
  <si>
    <t>o. Inclusión financiera 11.3.</t>
  </si>
  <si>
    <t>Cantidad de lts que produce un animal al año (AS)</t>
  </si>
  <si>
    <t>Promedio anual de producción de leche</t>
  </si>
  <si>
    <t>Crédito 11.3</t>
  </si>
  <si>
    <t>Agricultores</t>
  </si>
  <si>
    <t>% de cobertura de crédito</t>
  </si>
  <si>
    <t>Diferencia</t>
  </si>
  <si>
    <t>% Pequeños</t>
  </si>
  <si>
    <t>% medianos</t>
  </si>
  <si>
    <t>Incremento Anual</t>
  </si>
  <si>
    <t>Productores con cobertura de crédito en otros proyectos del plan (anual)***</t>
  </si>
  <si>
    <t>***Proyecto1.3: 670 productores, proyecto 5.2: 15 productores, Proyecto 10.1: 1500 productores</t>
  </si>
  <si>
    <t>Cantidad en 10 años (Hasta 2030)</t>
  </si>
  <si>
    <t>Has para leche (40%)</t>
  </si>
  <si>
    <t>Ha años 4 al 10 /valor anual durante 7 años</t>
  </si>
  <si>
    <t>Valor USD/ha</t>
  </si>
  <si>
    <t>Valor COP/ha</t>
  </si>
  <si>
    <t>Sistemas Silvopastoriles SSP</t>
  </si>
  <si>
    <t>Sistemas Silvopastoriles Intensivos SSPi</t>
  </si>
  <si>
    <t>Áreas en praderas mejoradas</t>
  </si>
  <si>
    <t>Sistemas Silvopastoriles SSP: Costo indicativo para el establecimiento de una hectárea de un sistema silvopastoril no intensivo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</si>
  <si>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Clasificación DIAN UVT</t>
  </si>
  <si>
    <t xml:space="preserve">%  estimado  de ingresos </t>
  </si>
  <si>
    <r>
      <rPr>
        <b/>
        <sz val="10"/>
        <color rgb="FFFF0000"/>
        <rFont val="Calibri"/>
        <family val="2"/>
        <scheme val="minor"/>
      </rPr>
      <t>r</t>
    </r>
    <r>
      <rPr>
        <b/>
        <sz val="10"/>
        <color theme="1"/>
        <rFont val="Calibri"/>
        <family val="2"/>
        <scheme val="minor"/>
      </rPr>
      <t>- Recuperación de coberturas y áreas degradadas 13.2</t>
    </r>
  </si>
  <si>
    <t>Ha para leche (40%)</t>
  </si>
  <si>
    <t>Insumos cerca</t>
  </si>
  <si>
    <t>Mano de obra cerca</t>
  </si>
  <si>
    <t xml:space="preserve">Valor Instalación cerca </t>
  </si>
  <si>
    <t>Aislamiento áreas para conservación</t>
  </si>
  <si>
    <r>
      <rPr>
        <b/>
        <sz val="10"/>
        <color rgb="FFFF0000"/>
        <rFont val="Calibri"/>
        <family val="2"/>
        <scheme val="minor"/>
      </rPr>
      <t>s</t>
    </r>
    <r>
      <rPr>
        <b/>
        <sz val="10"/>
        <color theme="1"/>
        <rFont val="Calibri"/>
        <family val="2"/>
        <scheme val="minor"/>
      </rPr>
      <t>- Procesos de aprovechamiento de residuos orgánicos 14.1</t>
    </r>
  </si>
  <si>
    <t>% de inversión Pública</t>
  </si>
  <si>
    <t>% Inversión Privada</t>
  </si>
  <si>
    <t>% de inversión privada</t>
  </si>
  <si>
    <t>g</t>
  </si>
  <si>
    <r>
      <rPr>
        <b/>
        <sz val="10"/>
        <color rgb="FFFF0000"/>
        <rFont val="Calibri"/>
        <family val="2"/>
        <scheme val="minor"/>
      </rPr>
      <t>t</t>
    </r>
    <r>
      <rPr>
        <b/>
        <sz val="10"/>
        <color theme="1"/>
        <rFont val="Calibri"/>
        <family val="2"/>
        <scheme val="minor"/>
      </rPr>
      <t>. Implementación Gestión ambiental 14.3/14.4</t>
    </r>
  </si>
  <si>
    <t>%  estimado  de ingresos</t>
  </si>
  <si>
    <t>Valor estimado</t>
  </si>
  <si>
    <t xml:space="preserve">% Estimado </t>
  </si>
  <si>
    <t>Prima (50% producción)</t>
  </si>
  <si>
    <t xml:space="preserve">Valor de la prima </t>
  </si>
  <si>
    <t>Incentivo gobierno</t>
  </si>
  <si>
    <t xml:space="preserve">Hace referencia a incentivo modular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 la prima para aseguramiento asociativo, corresponde al 50% del valor de la producción promedio de leche al año de un animal. </t>
  </si>
  <si>
    <t>EJE ESTRUCTURAL</t>
  </si>
  <si>
    <t>OBJETIVO ESTRATÉGICO</t>
  </si>
  <si>
    <t>PROGRAMA</t>
  </si>
  <si>
    <t>PROYECTO</t>
  </si>
  <si>
    <t>SITUACIÓN PROBLEMA</t>
  </si>
  <si>
    <t>RESULTADO ESPERADO 2039</t>
  </si>
  <si>
    <t>PRODUCTOS</t>
  </si>
  <si>
    <t>ACTIVIDADES</t>
  </si>
  <si>
    <t>ACTORES ALIADOS</t>
  </si>
  <si>
    <t>SUPUESTOS ESTIMACION DE COSTOS</t>
  </si>
  <si>
    <t xml:space="preserve">ESTIMACION DE COSTOS </t>
  </si>
  <si>
    <t>EE1. Productividad y competitividad</t>
  </si>
  <si>
    <t>OE1. Mejorar la sanidad e inocuidad de la cadena</t>
  </si>
  <si>
    <t>1. Sanidad e inocuidad en la producción de leche</t>
  </si>
  <si>
    <t>1.1. Fortalecimiento del programa nacional de erradicación de fiebre aftosa.</t>
  </si>
  <si>
    <t xml:space="preserve">Aunque la cadena láctea colombiana ha contado con políticas, programas, reglamentos técnicos para la sanidad animal y la inocuidad de la leche y sus derivados15; en la actualidad, en el país, persisten la alta vulnerabilidad a riesgos en la salud de los bovinos y las debilidades en la inocuidad de los productos lácteos. </t>
  </si>
  <si>
    <t>Colombia no solo ha mantenido el estatus de país libre de fiebre aftosa, sino que ha transitado hacia un estatus de libre sin vacunación,(NOTA) a través de una estrategia de zonificación y priorización regional, fijada por la autoridad sanitaria en coordinación con todos los actores de la cadena. 
Se han aumentado los esfuerzos colectivos de los actores públicos y privados en sectores geográficos estratégicos, como las regiones fronterizas, lo que ha permitido obtener logros duraderos en el control y erradicación de la enfermedad
NOTA: Para el segundo año del POP se debe contar con el plan de acción claro para transitar al estatus de libre de aftosa sin vacunación, definiendo la priorización regional y los plazos para la declaración de zonas libres sin vacunación.</t>
  </si>
  <si>
    <t xml:space="preserve">
1. Documentos técnicos para la cadena láctea.
2. Servicio de prevención, vigilancia y control de fiebre aftosa
3. Servicio de seguimiento y evaluación del programa nacional de erradicación de fiebre aftosa</t>
  </si>
  <si>
    <t>1.1.1. Actualizar y socializar ante los actores y partes interesadas, el programa nacional de erradicación de la fiebre aftosa, de acuerdo con las necesidades del sector.</t>
  </si>
  <si>
    <t>ICA (Entidad líder); 
MinAgricultura, Fedegan - FNG, Gremios de la Cadena Láctea Bovina, PNC.</t>
  </si>
  <si>
    <t>1.1.2. Evaluar las necesidades del programa nacional de erradicación de la fiebre aftosa y fortalecer la realización de estudios epidemiológicos para determinar y/o monitorear la situación actual con miras a la obtención del estatus de libre sin vacunación.</t>
  </si>
  <si>
    <t xml:space="preserve">1.1.3. Definir en el marco del programa nacional de erradicación de la fiebre aftosa, la hoja de ruta para transitar al estatus de libre de aftosa sin vacunación, estableciendo la priorización regional y los plazos para la declaración de zonas libres sin vacunación  y acorde con el fortalecimiento de la autoridad sanitaria, los estudios epidemiológicos y las características particulares de las diferentes regiones del país. </t>
  </si>
  <si>
    <t>1.1.4. Formalizar o reactivar acuerdos con países fronterizos, en articulación con los actores de la cadena láctea, para fortalecer el control en estas áreas estratégicas.</t>
  </si>
  <si>
    <t xml:space="preserve">1.1.5. Promover los esquemas de vigilancia activa, acorde con los riesgos sanitarios identificados en los sistemas de producción de leche. </t>
  </si>
  <si>
    <t>1.1.6. Implementar estrategias diferenciales de vacunación, que consideren las características regionales, edades de los animales, zonas con potencial exportador, entre otros aspectos, con miras a obtención del estatus de libre sin vacunación.</t>
  </si>
  <si>
    <t>1.1.7. Evaluar de forma permanente el programa nacional de erradicación de fiebre aftosa, principalmente en aspectos como metas, vacunas, ciclos de vacunación, estado de las zonas fronterizas.</t>
  </si>
  <si>
    <t>1.2. Fortalecimiento de los programas de control, erradicación y prevención de brucelosis y tuberculosis, bovina, y de otras enfermedades que afectan la producción de leche.</t>
  </si>
  <si>
    <t>6.637 predios libres de Tb y 6.376 predios libres de Br y prevalencia Br 29%.
Para otras las enfermedades sujetas o no a programas de control oficial, aún no se logran los resultados esperados. Adaptado de LP</t>
  </si>
  <si>
    <t xml:space="preserve">De igual forma, se continúa avanzando con medidas preventivas y de control en enfermedades sujetas a programas oficiales de control como en las que no, dado que representan, tanto riesgos sanitarios, como barreras para la admisibilidad de productos lácteos. Se hace especial énfasis en las zoonóticas dado su impacto en la salud humana. 
El enfoque en la erradicación de la brucelosis y la tuberculosis bovina, se fortaleció gracias a las alianzas público - privadas. Se disminuyó significativamente la prevalencia y se cuenta con un importante número de predios certificados libre de estas enfermedades. (NOTA) El avance en ambos programas ha contribuido a la disminución de las pérdidas económicas al productor y a un mayor volumen de leche proveniente de hatos libres de estas enfermedades. 
Así mismo, se viene avanzando en la prevención y control de otras enfermedades que representan, tanto riesgos sanitarios, como barreras para la admisibilidad de productos lácteos.
NOTA: Para el tercer año del POP se debe contar con la meta clara en % de disminución de prevalencia de Br y en número de predios libres de esta enfermedad. Para el quinto año del POP se debe contar con la meta clara en % de disminución de prevalencia de Tb y en número de predios libres de esta enfermedad. Estas metas se definirán como parte de la implementación del POP, coherentes con el fortalecimiento de la autoridad sanitaria, los estudios epidemiológicos, los planes de acompañamiento técnico a los productores y procesadores, y las características particulares de las diferentes regiones del país. </t>
  </si>
  <si>
    <t xml:space="preserve">1. Documentos técnicos para la cadena láctea 
2. Servicio de certificación de predios libres de brucelosis y tuberculosis
3. Servicio de control de enfermedades que afectan la producción de leche
</t>
  </si>
  <si>
    <t>1.2.1. Realizar estudios epidemiológicos para determinar y/o monitorear la situación actual y la prevalencia de la brucelosis y la tuberculosis bovina.</t>
  </si>
  <si>
    <t>ICA (Entidad líder);
MinAgricultura, Productores, Gremios de la Cadena Láctea Bovina.</t>
  </si>
  <si>
    <t>1.2.3. Definir las metas para los programas nacionales de control y erradicación de la Brucelosis (año 3) y la Tuberculosis bovina (año 5), en términos de: porcentaje de disminución de la prevalencia y número de predios libres de cada enfermedad y acorde con el fortalecimiento de la autoridad sanitaria, los estudios epidemiológicos, los planes de acompañamiento técnico a los productores y procesadores, y las características particulares de las diferentes regiones del país.</t>
  </si>
  <si>
    <t>1.2.4. Realizar acompañamiento técnico y financiero para promover la certificación de predios y zonas libres de brucelosis y tuberculosis.</t>
  </si>
  <si>
    <t>1.2.5. Desarrollar estrategias de implementación gradual de la obligatoriedad de la certificación de predios libres de brucelosis y tuberculosis, bovina.</t>
  </si>
  <si>
    <t>1.2.6. Identificar las necesidades en aspectos técnicos, humanos, físicos y presupuestales, de las demás enfermedades sujetas o no a programas oficiales de control que más afectan la producción de leche.</t>
  </si>
  <si>
    <t>1.2.7. Definir e implementar mecanismos para el control o erradicación de las demás enfermedades priorizadas que afectan la producción de leche, previa definición de las mismas según su impacto en la productividad o su carácter zoonótico.</t>
  </si>
  <si>
    <t>1.2.8. Realizar estudios para determinar la situación actual y ocurrencia de enfermedades como la mastitis y la fiebre de leche, con miras a fortalecer su control y articulación con procesos de BPG.</t>
  </si>
  <si>
    <t>1.2.9. Evaluar de forma permanente los programas nacionales de control de la brucelosis y tuberculosis bovina, los mecanismos de control para las enfermedades priorizadas, la mastitis y la fiebre de leche, principalmente en aspectos como estrategias, metas, vacunas, ciclos de vacunación y avance de los procesos.</t>
  </si>
  <si>
    <t>1.3. Promoción de la inocuidad y las buenas prácticas, en la producción de leche</t>
  </si>
  <si>
    <t>Bajo número de predios productores de leche con autorización sanitaria y de inocuidad que para el año 2018 fue de 7.728. 
Para el año 2019, tan solo se identificaron 632 predios productores de leche que contaban con la certificación BPG</t>
  </si>
  <si>
    <t>El país cuenta con un importante número de predios con autorización sanitaria y de inocuidad, así como de predios certificados en BPG.(NOTA) El mejoramiento continuo y la apropiación de procesos y herramientas, orientados al aseguramiento de la inocuidad desde la producción primaria, han permitido que un mayor número de predios provean leche con altos estándares de inocuidad.
NOTA: Para el cuarto año del POP se debe contar con la meta clara en número de predios con certificación en BPG, y que se definirá como parte de la implementación del POP, coherente con el fortalecimiento de la autoridad sanitaria, los avances en autorización sanitaria y de inocuidad, los planes de acompañamiento técnico a los productores y procesadores, y las características particulares de las diferentes regiones del país.</t>
  </si>
  <si>
    <t xml:space="preserve">1. Servicio de promoción y divulgación de la autorización sanitaria y de inocuidad
2. Servicio de certificación de predios en autorización sanitaria y de inocuidad
3. Documentos de planeación para la cadena láctea
4. Servicio de apoyo para la certificación de predios en buenas prácticas ganaderas
5. Documentos técnicos para la cadena láctea
6. Servicio de apoyo financiero para promover la certificación de predios en buenas prácticas ganaderas
7. Documento técnico con la medición de los indicadores de bienestar animal.
</t>
  </si>
  <si>
    <t>1.3.1. Promover y divulgar la importancia de la autorización sanitaria y de inocuidad, en los predios dedicados a la producción de leche.</t>
  </si>
  <si>
    <t>ICA (Entidad líder);
MinAgricultura, MinSalud, Fedegan- FNG, Productores de Leche, Gremios de la Cadena Láctea Bovina</t>
  </si>
  <si>
    <t>1.3.2. Establecer las zonas estratégicas prioritarias para la implementación gradual de la autorización sanitaria y de inocuidad.</t>
  </si>
  <si>
    <t>1.3.3. Coordinar la implementación de los planes sanitarios a nivel predial, en las regiones lecheras, garantizando la continuidad de las actividades enmarcadas en los programas sanitarios nacionales o de interés.</t>
  </si>
  <si>
    <t>1.3.4. Evaluar el proceso de certificación en Buenas Prácticas Ganaderas, identificando los criterios de difícil implementación y su posible flexibilización.</t>
  </si>
  <si>
    <t xml:space="preserve">1.3.5. Divulgar los beneficios de las Buenas Prácticas Ganaderas y sensibilizar a los productores de leche mediante predios demostrativos, capacitaciones y otros mecanismos, sobre su importancia e impacto en la salud animal y en aspectos empresariales, ambientales y productivos. </t>
  </si>
  <si>
    <t xml:space="preserve">1.3.6. Definir las metas del Programa de Buenas Prácticas Ganaderas, en términos de número de predios certificados, y acordes con el fortalecimiento de la autoridad sanitaria, los avances en autorización sanitaria y de inocuidad, los planes sanitarios y las características particulares de las diferentes regiones del país. </t>
  </si>
  <si>
    <t>1.3.7. Promover las inversiones requeridas en los procesos de certificación de Buenas Prácticas Ganaderas en predios productores de leche, a través de instrumentos financieros e incentivos.</t>
  </si>
  <si>
    <t>2. Inocuidad de los productos lácteos</t>
  </si>
  <si>
    <t>Ahora, en cuanto a la inocuidad, una de las amenazas que afecta al comercio de lácteo, está relacionada con el alto riesgo de contaminación al que está expuesta la leche y sus derivados; esta contaminación se da, entre otros aspectos, por las deficiencias en la higiene en la etapa de ordeño, por falta de refrigeración adecuada, por el bajo conocimiento sobre la importancia de la inocuidad, a lo largo de la cadena; a lo anterior se suma, ausencia de un sistema de trazabilidad oficial y debilidades en las certificaciones de inocuidad láctea en el país.</t>
  </si>
  <si>
    <t xml:space="preserve">Se controlan los residuos y contaminantes en el 100% del acopio formal de leche, a través de un sistema oficial de trazabilidad. Este sistema opera con alianzas público - privadas y genera información oportuna sobre los movimientos y calidades de la leche comercializada a nivel nacional; convirtiéndose en un pilar del control efectivo en la inocuidad de la leche y productos lácteos. </t>
  </si>
  <si>
    <t>1. Servicio de trazabilidad en el eslabón primario.
2. Documentos normativos para la cadena láctea. 
3. Servicio de trazabilidad de la leche y sus productos
4. Servicio de información para la gestión de la inocuidad de la leche</t>
  </si>
  <si>
    <t>ICA, INVIMA y ETS (Entidades líderes);
MinTic, MinTransporte, MinHacienda, MinAgricultura, MinSalud, Gremios de la Cadena Láctea Bovina.</t>
  </si>
  <si>
    <t>2.1.5. Desarrollar pilotos de la operatividad del sistema oficial de trazabilidad de la leche con miras a su implementación en el corto plazo y masificación en el mediano plazo.</t>
  </si>
  <si>
    <t>2.1.8. Fomentar la interoperabilidad del sistema con los otros sistemas de información de la cadena láctea.</t>
  </si>
  <si>
    <t xml:space="preserve">2.2. Implementación de normas de calidad e inocuidad en la fabricación de productos lácteos 
</t>
  </si>
  <si>
    <t>A nivel nacional se cuenta con siete plantas certificadas en HACCP y 10 plantas certificadas en BPM. 
En Colombia se estima que un 45% de la producción de leche no cumple con los requisitos previstos para el procesamiento y comercialización; tanto la leche como los productos lácteos que no son sometidos a procesos de higienización, generan la presencia de brotes y casos de enfermedades de transmisión por alimentos y riesgo para la salud pública.</t>
  </si>
  <si>
    <t xml:space="preserve">De igual manera, se incrementó el número de plantas de proceso certificadas en Buenas Prácticas de Manufactura – BPM, y en Análisis de riesgos y puntos críticos de control – HACCP , alcanzando en su orden, 100 y 70 plantas certificadas; las operaciones, procesos y medidas de control de estas plantas se fortalecieron, así como las capacidades físicas y técnicas asociadas. </t>
  </si>
  <si>
    <t>1. Servicio de certificación en normas de Buenas Prácticas de Manufactura - BPM y HACCP
2. Servicio de educación informal sobre la implementación de BPM y HACCP
3. Servicio de apoyo financiero para promover la certificación en BPM y HACCP
4. Plan Nacional Subsectorial de Vigilancia y Control de residuos de Medicamentos Veterinarios y Contaminantes Químicos en Bovinos de Leche ejecutado en su totalidad.</t>
  </si>
  <si>
    <t>2.2.1. Caracterizar los procesos productivos de las plantas de transformación de leche, respecto a los requerimientos de las certificaciones de calidad.</t>
  </si>
  <si>
    <t xml:space="preserve">
ICA, INVIMA, ETS (Entidad líder);
MinSalud, MinAgricultura, SENA, SIC, Fedegan - FNG, Gremios de la Cadena Láctea Bovina, Productores, Comercializadores y Procesadores de Leche.</t>
  </si>
  <si>
    <t xml:space="preserve">2.2.2. Diseñar modelos de gestión de inocuidad, para la industria láctea, articulados con los estándares de inspección de los entes de control. </t>
  </si>
  <si>
    <t>2.2.3. Promover la adquisición de equipos, las adecuaciones locativas y la contratación de personal especializado, que contribuyan a la certificación en BPM y HACCP en las plantas de procesamiento de leche, a través de instrumentos financieros e incentivos.</t>
  </si>
  <si>
    <t>2.2.4. Realizar capacitaciones al personal de las plantas de procesamiento de leche sobre la implementación de BPM y HACCP.</t>
  </si>
  <si>
    <t>2.2.5. Fomentar la fabricación de productos lácteos acordes con los sistemas de certificación en BPM y HACCP.</t>
  </si>
  <si>
    <t xml:space="preserve">2.2.6. Promover alianzas entre empresas y entes certificadores para el acompañamiento, seguimiento y verificación de los procesos de certificación. </t>
  </si>
  <si>
    <t>OE2. Fortalecer la investigación, innovación y transferencia de conocimiento y tecnología para la cadena</t>
  </si>
  <si>
    <t>3. Investigación, Desarrollo e Innovación para la cadena láctea</t>
  </si>
  <si>
    <t xml:space="preserve">
3.1. Desarrollo del modelo de I+D+i para la cadena láctea, con énfasis en las temáticas priorizadas por el sector. (pastos y forrajes, mejoramiento genético, lácteos diferenciados, aspectos ambientales, sanidad e inocuidad, entre otros)</t>
  </si>
  <si>
    <t>En Colombia la investigación, la innovación y la transferencia de conocimiento y tecnología de la cadena láctea, es insuficiente y deficiente. Estas debilidades inciden en el nivel actual que tiene la productividad y la sostenibilidad de la leche y sus productos en el ámbito nacional, y en la competitividad frente a otros países. 
Algunos temas con mayor debilidad en la investigación y transferencia de tecnología y que son de interés para la cadena láctea, están relacionados con los pastos y forrajes para la alimentación y el manejo sostenible de los mismos; el mejoramiento genético, principalmente por la baja implementación del control lechero , el bajo aprovechamiento de las razas bovinas criollas y sus cruces; la gestión de riesgos sanitarios y de inocuidad, la apropiación de tecnologías y oferta de lácteos diferenciados.</t>
  </si>
  <si>
    <t>Se dieron importantes avances en investigación, desarrollo e innovación, así como en transferencia y apropiación de tecnologías, que en conjunto, han sido determinantes para incrementar la productividad de la cadena. La nutrición bovina, el mejoramiento genético, los productos lácteos diferenciados, la gestión de riesgos sanitarios y de inocuidad, el manejo de aspectos ambientales y otros desarrollos priorizados por los actores de la cadena láctea, fueron los frentes de avance en estos procesos.
La investigación e innovación en el mejoramiento y manejo de pastos y forrajes, y en el desarrollo de los sistemas silvopastoriles, ha fortalecido la implementación de modelos sostenibles de producción basados en pasturas. 
Los resultados en el desarrollo, transferencia y apropiación de tecnologías en la cadena láctea, son visibles en el incremento de la productividad y calidad nacional de la leche. En Colombia, en promedio una vaca produce 10,65 litros por día. Para el trópico alto y bajo con orientación en leche, en su orden, produce 18 y 10 litros por día, y en doble propósito en trópico bajo produce 8,5 litros por día. En cuanto a la productividad por área se alcanzó un promedio nacional por hectárea de 2.905 litros por año, lo que representa que en el trópico alto con orientación en leche se producen 10.200 litros por año y en el trópico bajo con esta misma orientación se producen 3.380 litros por año. Para el caso del doble propósito en trópico bajo se alcanzó una producción por hectárea de 2.250 litros por año. Así mismo se incrementó el promedio de la calidad de la leche, llegando a 7,55% de sólidos útiles.</t>
  </si>
  <si>
    <t>1. Servicio de investigación, desarrollo e innovación en pastos y forrajes para nutrición bovina
2. Servicio de investigación, desarrollo e innovación en mejoramiento genético bovino
3. Servicio de investigación, desarrollo e innovación en lácteos diferenciados
4. Servicio de investigación, desarrollo e innovación en manejo ambiental para la cadena láctea
5. Servicio de investigación, desarrollo e innovación en sanidad e inocuidad para la cadena láctea</t>
  </si>
  <si>
    <t>3.1.1. Desarrollar la agenda de I+D+i en nutrición, pastos, forrajes y subproductos agrícolas, para mejorar la producción de sólidos útiles de la leche, en un proceso concertado entre los actores, utilizando la información disponible y bajo los lineamientos del SNIA y el PECTIA, encaminados al desarrollo de modelos de producción regionales rentables, eficientes, competitivos y sostenibles.</t>
  </si>
  <si>
    <t>Agrosavia (Entidad líder);
MinAgricultura, ICA, INVIMA, MinCiencias, Universidades, UNAGA, MinAmbiente, Minsalud, MinComercio, SENA, CAR, ONG, CNL, Fedegan - FNG, Gremios de la Cadena Láctea Bovina, Productores, Comercializadores y Procesadores de leche.</t>
  </si>
  <si>
    <t>3.1.2. Desarrollar la agenda de I+D+i en mejoramiento genético para la producción de leche, en un proceso concertado entre los actores, utilizando la información disponible y bajo los lineamientos del SNIA y el PECTIA, encaminado al desarrollo de modelos de producción regionales competitivos, que tengan en cuenta las diferentes características agroecológicas y de biotipo animal</t>
  </si>
  <si>
    <t xml:space="preserve">3.1.3. Desarrollar la agenda de I+D+i, en lácteos diferenciados, enfocada en definir y caracterizar las líneas de productos y procesos técnicos de leche y lácteos diferenciados por aspectos como denominaciones de origen, funcionalidades, sellos verdes, sellos de calidad, marcas colectivas, certificaciones orgánicas, entre otros, con mayor potencial para que sean fabricados en Colombia y que tengan demanda actual o potencial en los mercados nacionales e internacionales. </t>
  </si>
  <si>
    <t>3.1.4. Desarrollar la agenda de I+D+i enfocada en la sostenibilidad ambiental de la cadena láctea, en un proceso concertado entre los actores, utilizando la información disponible y bajo los lineamientos del SNIA y el PECTIA, y contemplando aspectos como conservación de los recursos agua y suelo, medidas de mitigación y adaptación a la variabilidad y al cambio climático, modelos de producción sostenibles ambientalmente, eficientes y rentables, manejo de residuos, energías alternativas, entre otros.</t>
  </si>
  <si>
    <t>3.1.5. Desarrollar la agenda de I+D+i en sanidad animal, bienestar animal, e inocuidad de productos lácteos, en un proceso concertado entre los actores, utilizando la información disponible y bajo los lineamientos del SNIA y el PECTIA e impulsando la investigación en salud pública, bienestar animal e inocuidad en línea con los conceptos "Una sola salud" y "Un solo bienestar"</t>
  </si>
  <si>
    <t>3.1.6. Realizar acompañamiento técnico y comercial para que los desarrollos tecnológicos en manejo de pastos, forrajes y aprovechamiento de subproductos agrícolas, mejoramiento genético, lácteos diferenciados, aspectos ambientales para la cadena láctea, y en sanidad animal e inocuidad de productos lácteos, sean transferidos acorde con lo establecido en el programa 4 que aborda procesos de asistencia técnica, extensión y formación de talento humano.</t>
  </si>
  <si>
    <t>3.1.7. Promover la masificación de los desarrollos tecnológicos, acompañando, los procesos de asistencia técnica y la extensión agropecuaria, con actividades de seguimiento y evaluación.</t>
  </si>
  <si>
    <t xml:space="preserve">4. Transferencia y apropiación de conocimientos y tecnologías, de los actores de la cadena láctea </t>
  </si>
  <si>
    <t>4.1. Mejora de las capacidades básicas y técnicas de los productores, procesadores y comercializadores de leche</t>
  </si>
  <si>
    <t>Dentro de las brechas sociales del sector ganadero nacional, se encuentran las relacionadas con las dificultades en la capacitación y formación, dadas, por el bajo relevo e integración generacional dentro de la actividad lechera y el bajo nivel educativo; presente en la población rural del sector. 
Respecto a los niveles educativos se evidenció que el sector rural presenta importantes deficiencias en cuanto a logro educativo de los productores identificados al interior de las UPAs orientadas a la producción láctea, donde se establece que el 59,91 % alcanza estudios de básica primaria, el 10.42 % alcanza a nivel de educación básica secundaria, mientras que el 11.97 % logra ingresar a la educación media o superior y el 16.33 % no presenta ningún tipo de educación.
Así mismo y a partir de la información plasmada en la GEIH (2019), se determinó que, para el eslabón de la producción de productos lácteos, predominan las personas que logran la educación media (34,95 %), seguido por aquellos que culminan la educación superior (25,05 %), en tercer lugar, se encuentra la población que alcanza la educación básica (20,10 %), mientras que el 14,90 % termina la básica secundaria. Tan solo el 2,73 % no cuenta con ningún nivel educativo.</t>
  </si>
  <si>
    <t xml:space="preserve">Paralelamente con estos desarrollos, los productores de leche aumentaron su nivel educativo; actualmente, el 90% de los productores cuenta con educación básica primaria y el 20% con educación superior.
Sumado a los niveles de educación y capacitación que ha venido presentando los productores, se encuentra que las personas vinculadas al segundo eslabón de la cadena han incrementado su nivel educativo, el porcentaje de empleados que alcanza la educación media es del 65%, aquellos que logran estudios superiores o universitarios alcanzan un 35%, mientras que las personas que han logrado culminar tanto la educación básica como la básica secundaria asciende a un 90%.
</t>
  </si>
  <si>
    <t>1. Servicio de promoción del acceso a programas de educación formal 
2. Servicio de educación informal para productores de leche</t>
  </si>
  <si>
    <t>4.1.1. Promover convenios con las entidades competentes y establecer una red colaborativa para la formación de los productores, procesadores y comercializadores de leche, en educación básica primaria y en educación superior.</t>
  </si>
  <si>
    <t>MinEducación (Entidad líder); 
SENA, MinAgricultura, ADR, CNL, SAD, Entidades Territoriales, Universidades, Gremios de la Cadena Láctea Bovina, Productores, Comercializadores y Procesadores de Leche.</t>
  </si>
  <si>
    <t>4.1.2. Definir e implementar una agenda de capacitaciones a los productores, procesadores y comercializadores de leche, sobre temas específicos como sanidad, mejoramiento genético, alimentación, manejo de praderas, manejo ambiental, herramientas tecnológicas, costos, factores económicos básicos, indicadores, entre otros, teniendo en cuenta las diferencias regionales y la capacidad replicadora de los actores.</t>
  </si>
  <si>
    <t>4.1.3. Mejorar las habilidades pedagógicas de los capacitadores en educación básica con enfoque práctico hacia los productores, procesadores y comercializadores, considerando las diferencias en las regiones lecheras.</t>
  </si>
  <si>
    <t>4.1.4. Impulsar instrumentos masivos de capacitación a productores, procesadores y comercializadores de leche, como emisoras comunitarias, herramientas radiales de gran impacto, talleres "aprender haciendo".</t>
  </si>
  <si>
    <t>4.1.5. Promover programas de educación informal para los productores, procesadores y comercializadores de leche.</t>
  </si>
  <si>
    <t>4.1.6. Diseñar e implementar estrategias que incluyan la integración generacional a lo largo de la cadena (p ej: programas de capacitación y fomento del emprendimiento para hijos de los productores).</t>
  </si>
  <si>
    <t xml:space="preserve">4.2. Fortalecimiento de la formación de profesionales y técnicos para la prestación del servicio de extensión y asistencia técnica agropecuaria e industrial. </t>
  </si>
  <si>
    <t xml:space="preserve">Tan solo el 17% de ganaderos han recibido asistencia técnica ; otros datos señalan que entre el 2012 y 2017 se atendieron con asistencia técnica integral tan solo 70 mil productores de las 500 mil UPAS ganaderas, es decir, cerca de un 14%.  También es importante resaltar que en la actualidad existen demoras en la implementación de la política pública que contempla la asistencia técnica y extensión agropecuaria en el país. </t>
  </si>
  <si>
    <t>Este aumento en el nivel de formación, conjuntamente con la alta calidad y la amplia cobertura como atributos permanentes de la asistencia técnica que, a través de profesionales y técnicos llega al 75% de los ganaderos; han favorecido los procesos de transferencia de conocimiento y tecnologías, brindando más y mejores herramientas y prácticas sostenibles para el desarrollo de la actividad lechera. 
Los resultados en el desarrollo, transferencia y apropiación de tecnologías en la cadena láctea, son visibles en el incremento de la productividad y calidad nacional de la leche. En Colombia, en promedio una vaca produce 10,65 litros por día. Para el trópico alto y bajo con orientación en leche, en su orden, produce 18 y 10 litros por día, y en doble propósito en trópico bajo produce 8,5 litros por día. En cuanto a la productividad por área se alcanzó un promedio nacional por hectárea de 2.905 litros por año, lo que representa que en el trópico alto con orientación en leche se producen 10.200 litros por año y en el trópico bajo con esta misma orientación se producen 3.380 litros por año. Para el caso del doble propósito en trópico bajo se alcanzó una producción por hectárea de 2.250 litros por año. Así mismo se incrementó el promedio de la calidad de la leche, llegando a 7,55% de sólidos útiles.</t>
  </si>
  <si>
    <t>1. Servicio de promoción del acceso a programas de formación integral de profesionales y técnicos 
2. Servicio de educación informal en extensión agropecuaria</t>
  </si>
  <si>
    <t>4.2.1. Fortalecer la articulación entre la academia y entidades del estado para definir las necesidades en formación de profesionales, técnicos y tecnólogos a lo largo de la cadena láctea.</t>
  </si>
  <si>
    <t>MinEducación y SENA (Entidades líderes); 
MinTrabajo, MinAgricultura, ADR, EPSEA, CNL, SAD, Entidades Territoriales, ONG, Universidades, Gremios de la Cadena Láctea Bovina, Productores, Comercializadores y Procesadores de Leche.</t>
  </si>
  <si>
    <t>4.2.2. Evaluar la oferta de profesionales, técnicos y tecnólogos para temas específicos requeridos por la cadena láctea.</t>
  </si>
  <si>
    <t xml:space="preserve">4.2.3. Diseñar e implementar programas de formación integral y capacitación por competencias, a transferidores para los eslabones primario e industrial. </t>
  </si>
  <si>
    <t xml:space="preserve">4.2.4. Promover acuerdos para la certificación de profesionales, técnicos y tecnólogos, como extensionistas y asistentes técnicos agropecuarios. </t>
  </si>
  <si>
    <t>4.2.5. Formar extensionistas y asistentes técnicos agropecuarios en aspectos de andragogía, pedagogía y en general en habilidades blandas, acorde con las características y orientación de los productores.</t>
  </si>
  <si>
    <t>4.2.6. Formar extensionistas y asistentes técnicos en temas de cambio climático, energías alternativas, cosechas de agua, sistemas silvopastoriles y en general en lo relacionado con la sostenibilidad ambiental, para los productores primarios y MiPymes lácteas.</t>
  </si>
  <si>
    <t>4.2.7. Fortalecer los conocimientos de los extensionistas y asistentes técnicos, en BPG, BPM, inocuidad, socialización de modelos de producción, procesamiento, normatividad, entre otros, para los productores primarios y MiPymes lácteas.</t>
  </si>
  <si>
    <t xml:space="preserve">4.3. Desarrollo del modelo de Extensión y Asistencia Técnica, para la cadena láctea, acorde con las diferentes características regionales </t>
  </si>
  <si>
    <t>1. Servicio de EA y AT para la cadena láctea
2. Servicio de apoyo para la transferencia de conocimiento y tecnología</t>
  </si>
  <si>
    <t>4.3.1. Fortalecer la articulación y coordinación de los programas y proyectos de transferencia de tecnologías, capacitación y extensión agropecuaria, en los instrumentos de planificación departamental y municipal de las regiones lecheras</t>
  </si>
  <si>
    <t>ADR (Entidad líder);
MinAgricultura, EPSEA, SAD, Entidades Territoriales, CNL, CCR, Universidades, Agrosavia, ICA, Gremios de la Cadena Láctea Bovina, Productores, comercializadores y procesadores de leche.</t>
  </si>
  <si>
    <t>4.3.2. Identificar y caracterizar productores, organizaciones y empresas de servicios, por regiones lecheras, que favorezcan la transferencia de tecnologías para la cadena láctea.</t>
  </si>
  <si>
    <t>4.3.3. Conformar y fortalecer redes colaborativas para la extensión agropecuaria, consolidando estrategias direccionadas al sector lácteo, teniendo en cuenta los desarrollos tecnológicos generados por la agenda de I+D+i, (p.ej. acompañamiento técnico en temas específicos en sanidad animal, benchmarking, mejoramiento genético, alimentación, manejo de praderas, entre otros).</t>
  </si>
  <si>
    <t xml:space="preserve">4.3.6.Diseñar e implementar mecanismos para conectar la oferta con la demanda de extensión y asistencia técnica de los productores, comercializadores y procesadores de leche con las empresas especializadas en estos servicios. </t>
  </si>
  <si>
    <t>4.3.7. Promover alianzas con la industria láctea para la concurrencia de recursos financieros que le faciliten a los ganaderos la recepción del servicio de Extensión y Asistencia Técnica.</t>
  </si>
  <si>
    <t>4.3.8. Promover alianzas entre la industria láctea y la academia, los entes territoriales, cámaras de comercio y otras entidades de apoyo, para la concurrencia de recursos financieros que le faciliten a las MiPymes lácteas la recepción del servicio de Extensión y Asistencia Técnica</t>
  </si>
  <si>
    <t>4.3.9. Fomentar el uso de herramientas tecnológicas que apoyen los procesos de transferencia de tecnologías para la cadena láctea.</t>
  </si>
  <si>
    <t>4.3.10. Desarrollar instrumentos de seguimiento, monitoreo y evaluación de la Extensión y la Asistencia Técnica, en los diferentes momentos (solicitud, prestación y adopción de tecnologías).</t>
  </si>
  <si>
    <t>4. Transferencia y apropiación de conocimientos y tecnologías, de los actores de la cadena láctea</t>
  </si>
  <si>
    <t>4.4. Mejora de las capacidades de innovación en el sector lácteo colombiano.</t>
  </si>
  <si>
    <t xml:space="preserve">Las debilidades en las capacidades institucionales de los actores que desarrollan investigación y transferencia de tecnología para la producción ganadera del país, parten del hecho que gran parte de la investigación, no se centra en las necesidades de los productores y no privilegia la investigación aplicada; haciéndose evidentes en desarrollos investigativos y sus validaciones alejadas de los productores; así como en la baja divulgación y socialización entre los productores y en desacuerdos entre investigadores, gobierno y productores para hacer más efectivos los modelos de transferencia y la adopción e implementación de los resultados de investigaciones desarrolladas. 
De igual forma no se conoce con precisión la información sobre los recursos públicos y privados que se destinan en el país para atender las necesidades de investigación y transferencia de tecnología para la cadena láctea. </t>
  </si>
  <si>
    <t>La innovación permanente en procesos, maquinaria y equipos, y en nuevos productos, cada vez se integra más en la visión de las empresas procesadoras de leche y derivados lácteos, quienes, con el apoyo de entidades públicas y privadas, dirigen y desarrollan esfuerzos para el crecimiento tecnológico de la industria nacional en sus diferentes escalas. El fortalecimiento de las capacidades técnicas en el procesamiento de la leche y la apropiación de los avances tecnológicos que se desarrollan, reflejan también mejoras en la productividad laboral.</t>
  </si>
  <si>
    <t>1. Servicios de apoyo para la implementación de innovación en las empresas
2. Servicio de apoyo para la modernización y fomento de la innovación empresarial</t>
  </si>
  <si>
    <t>4.4.1. Tipificar la oferta de servicios de innovación y las capacidades de innovación en las empresas de la cadena láctea.</t>
  </si>
  <si>
    <t>MinAgricultura y MinCiencias (Entidades líderes); 
MinComercio, Innpulsa, Agrosavia, ADR, EPSEAS, SAD, SENA, Universidades, CCR, Fedegan - FNG, Gremios de la Cadena Láctea Bovina, Productores, Comercializadores y Procesadores de Leche</t>
  </si>
  <si>
    <t>4.4.2. Fortalecer la oferta de servicios de innovación para la cadena láctea en aspectos como propiedad intelectual, desarrollo de nuevos productos, optimización y desarrollo de nuevos procesos, inteligencia competitiva, entre otros.</t>
  </si>
  <si>
    <t xml:space="preserve">4.4.3. Diseñar e implementar  mecanismos para conectar la oferta con la demanda de servicios, para promover la innovación en las empresas de la cadena láctea. </t>
  </si>
  <si>
    <t>4.4.4. Realizar acompañamiento técnico, comercial y financiero a las empresas del sector lácteo para la creación o fortalecimiento de las áreas de I+D+i y para la comercialización de productos innovadores teniendo en cuenta los desarrollos tecnológicos de la agenda de I+D+i.</t>
  </si>
  <si>
    <t>4.4.5. Desarrollar mecanismos para la inclusión de recurso humano de alto nivel de formación en las empresas lácteas.</t>
  </si>
  <si>
    <t>4.4.6. Apoyar la elaboración de planes estratégicos de I+D+i, en empresas del sector lácteo.</t>
  </si>
  <si>
    <t>OE3. Mejorar la eficiencia de la producción y procesamiento de leche</t>
  </si>
  <si>
    <t>5. Mejora de la eficiencia productiva en la cadena láctea.</t>
  </si>
  <si>
    <t xml:space="preserve">5.1. Incremento de la producción de sólidos útiles de leche por área.
</t>
  </si>
  <si>
    <t xml:space="preserve">En el eslabón primario la productividad del país, por área y por animal, es baja si se compara con países competitivos en la producción de leche y donde predominan sistemas de producción basados en pasturas. Del mismo modo en el eslabón procesador existe una gran brecha en productividad, medida en los litros de leche procesados por trabajador al día y derivada principalmente de una baja escala de producción y un bajo nivel tecnológico. Estos bajos niveles productivos se reflejan en altos costos a lo largo de la cadena, donde también influyen factores como los insumos, la tierra, la disponibilidad de mano de obra y la capacidad de acopio de leche.  </t>
  </si>
  <si>
    <t xml:space="preserve">Los productores lácteos mejoraron su productividad en los últimos 20 años, impulsados por la implementación de sistemas de producción sostenibles, la aplicación de BPG, la mano de obra calificada y tecnologías de bajos insumos; todo esto contribuyó a que el promedio nacional de producción de leche por animal se haya elevado en un 70% (10,65 l/vaca/día), que el promedio de productividad por área se haya triplicado (2.905 l/ha/año) y que el promedio de la calidad de la leche haya aumentado a 7,55% de solidos útiles. 
Los acuerdos entre grupos de productores de leche y proveedores de insumos, permitieron la disminución significativa del precio de estos, contribuyendo así, a reducir los costos de producción de la leche a niveles competitivos; adicionalmente, se reconoce que esta reducción también es resultado de la implementación de sistemas silvopastoriles, y del mayor aprovechamiento de pasturas y forrajes, entre otras, aportando a disminuir la dependencia de los agroquímicos. </t>
  </si>
  <si>
    <t>1. Documentos técnicos para la cadena láctea
2. Servicio de extensión agropecuaria para la cadena láctea
3. Documentos de planeación para la cadena láctea</t>
  </si>
  <si>
    <t>5.1.1. Identificar y seleccionar las organizaciones de productores o unidades productivas, con avances en temas genéticos y nutrición animal, que comercialicen la leche por canales formales, para que puedan concentrar esfuerzos en mejorar la calidad, la productividad de la leche, la rentabilidad y competitividad de su actividad.</t>
  </si>
  <si>
    <t>MinAgricultura y Agrosavia (Entidades líderes) 
ADR, EPSEAS, SENA, SAD, CAR, Universidades, Finagro, Entidades Financieras, Gremios de la Cadena Láctea Bovina, MinCiencias, Fedegan - FNG, Productores, Comercializadores y Procesadores de Leche.</t>
  </si>
  <si>
    <t>5.1.2. Capacitar y acompañar técnicamente a los productores en la gestión de los recursos y de información  de sus sistemas de producción de leche, orientados al aumento en la producción de sólidos útiles en leche y a la mejora de la rentabilidad y competitividad (control lechero, mejoramiento genético, planes de alimentación, monitoreo de costos, etc.).</t>
  </si>
  <si>
    <t>5.1.3. Realizar el monitoreo y seguimiento de indicadores claves en las unidades productivas fortalecidas.</t>
  </si>
  <si>
    <t>5.1.4. Seleccionar casos exitosos para realizar transferencias de productor a productor bajo métodos de benchmarking.</t>
  </si>
  <si>
    <t>5.2. Aumento de la oferta y de los estándares de calidad en la producción de forrajes frescos y conservados, y de subproductos agrícolas de interés en la nutrición bovina.</t>
  </si>
  <si>
    <t>Entre las cifras que ayudan a dimensionar las brechas existentes en la productividad del eslabón primario, se tiene que por vaca la productividad en promedio en el país es de 6,36 l/día , mientras que los litros por vaca obtenidos en Nueva Zelanda son del orden de 18,01 l/día, para Uruguay y Argentina las productividades son de 18,3 l/vaca/día y 20,5 l/vaca/día respectivamente. Así mismo, la productividad anual por área, en el ámbito nacional en promedio es de 993 l/ha/año.  Siendo importante resaltar que para los sistemas de producción orientados a leche, en trópico alto se alcanza 3.460 l/ha/año y en trópico bajo 1.127 l/ha/año; al hacer comparaciones con los países de referencia como Nueva Zelanda (11.965 l/ha/año) y Argentina (7.954 l/ha/año), se observan grandes distancias en este indicador, sin embargo los sistemas especializados en Colombia registran valores más cercanos a los reportados por Uruguay (2.880 l/ha/año).</t>
  </si>
  <si>
    <t xml:space="preserve">Los productores lácteos mejoraron su productividad en los últimos 20 años, impulsados por la implementación de sistemas de producción sostenibles, la aplicación de BPG, la mano de obra calificada y tecnologías de bajos insumos; todo esto contribuyó a que el promedio nacional de producción de leche por animal se haya elevado en un 70% (10,65 l/vaca/día), que el promedio de productividad por área se haya triplicado (2.905 l/ha/año) y que el promedio de la calidad de la leche haya aumentado a 7,55% de solidos útiles. 
Los acuerdos entre grupos de productores de leche y proveedores de insumos, permitieron la disminución significativa del precio de estos, contribuyendo así, a reducir los costos de producción de la leche a niveles competitivos; adicionalmente, se reconoce que esta reducción también es resultado de la implementación de sistemas silvopastoriles, y del mayor aprovechamiento de pasturas y forrajes, entre otras, aportando a disminuir la dependencia de los agroquímicos. </t>
  </si>
  <si>
    <t>1. Documentos técnicos para la cadena láctea
2. Servicio de extensión agropecuaria para la cadena láctea</t>
  </si>
  <si>
    <t>5.2.1. Socializar la normatividad y normas técnicas relacionadas con la producción, transformación, transporte y comercialización de forrajes conservados y con la comercialización de subproductos agrícolas de interés para alimentación bovina acorde con el desarrollo de la actividad 16.1.6.</t>
  </si>
  <si>
    <t>MinAgricultura y Agrosavia (Entidades líderes);
ADR, EPSEAS, ICA, Finagro, Entidades Financieras, BMC, SENA, Entidades Territoriales, CAR, Fedegan - FNG, Gremios de la Cadena Láctea Bovina, Productores, Comercializadores y Procesadores de Leche</t>
  </si>
  <si>
    <t>5.2.2. Definir procesos de manejo, establecimiento, aprovechamiento, gestión y potencial productivo para praderas para pastoreo y para cosecha y conservación de forrajes, así como procesos para el aprovechamiento y gestión de subproductos agrícolas de interés para la nutrición bovina, acorde a las características de cada subregión.</t>
  </si>
  <si>
    <t>5.2.3. Realizar el acompañamiento técnico para el establecimiento, manejo de pasturas mejoradas, para la producción y almacenamiento de forrajes conservados, y para obtención y aprovechamiento de subproductos agrícolas de interés para la nutrición bovina.</t>
  </si>
  <si>
    <t>5.3. Incrementar la eficiencia en el acopio de leche y la fabricación de productos lácteos.</t>
  </si>
  <si>
    <t xml:space="preserve">Otro factor que influye en los altos costos, corresponde a los costos de energía y equipos, en que se incurre para el enfriamiento de la leche, a través de los tanques instalados para este fin, de la construcción de centros de acopio, y también, en algunos casos, de la adquisición de plantas eléctricas en sitios donde no se tiene una interconexión eléctrica estable.
En este eslabón también predomina un bajo nivel tecnológico; aunque existen grandes empresas con importantes inversiones en tecnología e infraestructura, si se comparan con los tamaños de grandes empresas en otros países, se encuentran grandes brechas en escala y productividad, de otra parte en Colombia existe un gran número de micro y pequeñas empresas dedicadas a la fabricación de productos lácteos, donde las que tienen altos niveles tecnológicos son la excepción. </t>
  </si>
  <si>
    <t>Actualmente en el país se procesa la leche a costos equiparables a los internacionales, esto gracias a la mejora en la escala de producción del eslabón industrial, al aumento de la capacidad de producción, a la eficiencia de la mano de obra, a la modernización del aparato productivo y a la adopción de nuevas tecnologías; todo lo anterior condujo a la reducción de los costos del procesamiento de la leche, al aumento de su productividad y a la mejora de la calidad. Se destaca que esto redujo el valor de la pulverización de la leche a un costo competitivo.
La conformación de alianzas público-privadas contribuyó a aumentar la capacidad instalada de acopio en el país llegando a 40,8 millones de litros de leche. Adicionalmente, estos acuerdos han jugado un papel muy importante en el mejoramiento de la infraestructura de acopio y de procesamiento, con el fortalecimiento de la red de frio para el transporte y almacenamiento de la leche y el robustecimiento de la infraestructura requerida para los procesos de concentración de la leche.</t>
  </si>
  <si>
    <t>1. Servicio de apoyo para mejorar el acopio y transporte de leche
2. Laboratorios de control de calidad de la leche</t>
  </si>
  <si>
    <t>5.3.1. Identificar las brechas de ineficiencias actuales en las subregiones para leche cruda y productos lácteos en los procesos de acopio, transformación y transporte, a partir del desarrollo de la actividad 15.2.2.</t>
  </si>
  <si>
    <t>MinComercio e Innpulsa (Entidades líderes); 
MinAgricultura, MinSalud, MinTransporte, ADR, Bancóldex, ICA, INVIMA, SIC, Finagro, Entidades Financieras, Fedegan -FNG, Gremios de la Cadena Láctea Bovina, Productores, Comercializadores y Procesadores de Leche</t>
  </si>
  <si>
    <t>5.3.2. Identificar y seleccionar MiPymes formales, comercializadoras y procesadoras de leche que requieran optimizar sus procesos.</t>
  </si>
  <si>
    <t>5.3.3. Realizar acompañamiento técnico a las empresas seleccionadas para la elaboración y puesta en marcha de un plan de negocios, incluyendo el fortalecimiento comercial y el desarrollo de proveedores.</t>
  </si>
  <si>
    <t>5.3.4. Realizar acompañamiento técnico a las empresas seleccionadas para optimizar los procesos y la infraestructura para el acopio de leche cruda y la fabricación de productos lácteos y disminuir costos logísticos de acuerdo con avances en procesos de I+D+i del programa 3 y estudios sobre la vocación industrial de la leche del Proyecto 15.2.</t>
  </si>
  <si>
    <t>5.3.5. Fomentar la adquisición y/o modernización de equipos y maquinaria requerida para acopio y transporte de leche y para fabricación de productos lácteos, a través de instrumentos financieros e incentivos.</t>
  </si>
  <si>
    <t xml:space="preserve">5.3.6. Realizar acompañamiento técnico a las pymes y empresas para implementar herramientas de seguimiento de indicadores sobre eficiencia y costos en el acopio leche, fabricación de productos lácteos y transporte de leche y derivados. </t>
  </si>
  <si>
    <t xml:space="preserve">5.4. Optimizar los procesos distribución de productos lácteos en Colombia.
</t>
  </si>
  <si>
    <t>Otro factor que influye en los altos costos, corresponde a los costos de energía y equipos, en que se incurre para el enfriamiento de la leche, a través de los tanques instalados para este fin, de la construcción de centros de acopio, y también, en algunos casos, de la adquisición de plantas eléctricas en sitios donde no se tiene una interconexión eléctrica estable.</t>
  </si>
  <si>
    <t>La conformación de alianzas público-privadas contribuyó a aumentar la capacidad instalada de acopio en el país llegando a 40,8 millones de litros de leche. Adicionalmente, estos acuerdos han jugado un papel muy importante en el mejoramiento de la infraestructura de acopio y de procesamiento, con el fortalecimiento de la red de frio para el transporte y almacenamiento de la leche y el robustecimiento de la infraestructura requerida para los procesos de concentración de la leche.</t>
  </si>
  <si>
    <t>1. Servicio de apoyo para mejorar el acopio y transporte de leche</t>
  </si>
  <si>
    <t>5.4.1. Definir los cuellos de botella logísticos para los productos lácteos transformados.</t>
  </si>
  <si>
    <t>MinComercio y Colombia Productiva (Entidades líderes);
MinAgricultura, MinSalud, INVIMA, CAR, Finagro, Entidades Financieras, Bancóldex, Innpulsa, BMC, CCR, Fedegan - FNG, Gremios de la Cadena Láctea Bovina, Productores, Comercializadores y Procesadores de Leche</t>
  </si>
  <si>
    <t>5.4.2. Promover el transporte de productos lácteos garantizando la cadena de frío durante los procesos logísticos.</t>
  </si>
  <si>
    <t>5.4.3. Desarrollar e implementar estrategias para disminuir las brechas en el proceso logístico.</t>
  </si>
  <si>
    <t>5.4.4. Fortalecer la implementación de tecnologías de transporte con combustibles alternativos.</t>
  </si>
  <si>
    <t>5.4.5. Fomentar la creación de centros de distribución de derivados lácteos en puntos geográficos intermedios a los centros de consumo.</t>
  </si>
  <si>
    <t>OE4. Aumentar el consumo de los productos lácteos colombianos en el mercado nacional e internacional</t>
  </si>
  <si>
    <t>6. Aumento del consumo interno de productos lácteos</t>
  </si>
  <si>
    <t xml:space="preserve">6.1. Posicionamiento de la leche y sus derivados en el mercado colombiano </t>
  </si>
  <si>
    <t>El consumo de lácteos en Colombia tiene una tendencia creciente, entre el 2009 y 2013 el consumo de leche alcanzaba los 140 litros per cápita/año, y entre 2014 y 2019 se ubicó alrededor de los 150 litros per cápita.
Por otra parte, en Colombia, existe un consumo de derivados lácteos bajo, mientras que en Europa el consumo es de 55 a 60% de leche y 40 a 45% de derivados lácteos, el comportamiento en Colombia es 92% de consumo de leche y 8% de derivados, sin considerar el queso; lo cual indica que el desafío del consumo está centrado en derivados, cuyo desarrollo y producción industrial están afectados por la actualización normativa y el poder adquisitivo de los consumidores, entre otros.</t>
  </si>
  <si>
    <t xml:space="preserve">El consumo de productos lácteos ha superado los 186 litros per cápita año, mejorando en especial el consumo en estratos bajos; gracias a una mayor conciencia de la población sobre la importancia del consumo de leche higienizada y de productos lácteos elaborados a partir de esta, y a los esfuerzos en innovación de productos y procesos logrando así, una oferta de productos lácteos más accesibles. </t>
  </si>
  <si>
    <t>1. Documentos técnicos para la cadena láctea 
2. Servicio de promoción al consumo de leche y derivados lácteos
3. Servicio de educación informal en consumo de leche y derivados lácteos
4. Servicio de divulgación y comunicación para la cadena láctea</t>
  </si>
  <si>
    <t>6.1.1. Elaborar un diagnóstico enfocado en estudios que respalden los beneficios del consumo de leche y derivados lácteos.</t>
  </si>
  <si>
    <t>MinAgricultura (Entidad líder);
MinComercio, MinSalud, Colombia Productiva, BMC, CNL, Fedegan - FEP, Asoleche, Gremios de la Cadena Láctea Bovina, Productores, Comercializadores y Procesadores de Leche.</t>
  </si>
  <si>
    <t>6.1.2. Identificar periódicamente las tendencias, oportunidades y desafíos relacionados con el consumo de leche y productores lácteos, así como los canales de comercialización y segmentos de mercado, entre otras variables de importancia para impulsar el consumo interno, a partir del desarrollo de la actividad 15.2.1, que está enfocada en realizar estudios de mercado para productos lácteos, y de los análisis del observatorio de la cadena láctea.</t>
  </si>
  <si>
    <t>6.1.3. Diseñar una campaña integral de largo plazo para fomentar el consumo masivo de la leche y productos lácteos local, regional y nacional, teniendo en cuenta aspectos de educación al consumidor, respaldo médico, segmentación de mercado, desarrollo de nuevos productos, sellos o distintivos para productos lácteos formales, metas e indicadores para corto, mediano y largo plazo que considere diferencias entre estratos, edades de los consumidores y beneficios del consumo de leche y derivados lácteos.</t>
  </si>
  <si>
    <t>6.1.4. Desarrollar y posicionar nuevos productos lácteos, presentaciones, empaques y formas de consumo entre otros aspectos, a partir de los avances en I+D+i.</t>
  </si>
  <si>
    <t>6.1.5. Diseñar e implementar mecanismos de comunicación y comercialización con los consumidores, para diferenciar los productos lácteos de otros que pretenden sustituirlos.</t>
  </si>
  <si>
    <t>6.1.6. Establecer convenios público-privados, para promover las compras públicas de leche y sus derivados a través de los programas oficiales de alimentación oficial a nivel nacional, departamental y municipal.</t>
  </si>
  <si>
    <t>6.1.7. Evaluar y reorientar permanentemente, las estrategias de promoción al consumo nacional de leche y derivados lácteos, acorde con el comportamiento y tendencias del mercado.</t>
  </si>
  <si>
    <t xml:space="preserve">6.2. Desarrollo de estrategias para el posicionamiento de leche y derivados lácteos diferenciados </t>
  </si>
  <si>
    <t xml:space="preserve">Otro factor, que afecta el consumo de lácteos, tiene que ver con los consumidores más exigentes y conscientes, que buscan productos diferenciados con mejores características no solo en el producto sino en sus procesos, sin embargo en Colombia aún es muy baja la oferta de lácteos diferenciados para satisfacer estos consumidores; un ejemplo de esto, es que en la actualidad solo existen dos empresas de productos lácteos con certificación orgánica. </t>
  </si>
  <si>
    <t xml:space="preserve">Colombia, cuenta con una amplia gama de productos lácteos con valor agregado; se destacan aquellos que en su producción y procesamiento aplican prácticas sostenibles que contribuyen al cuidado del ambiente, al bienestar animal y al progreso social de las comunidades rurales. 
Existe una oferta creciente de producción de leche con certificaciones en: producción orgánica, libre pastoreo, cero deforestación, entre otras, así como productos lácteos con denominaciones de origen, indicaciones geográficas y marcas colectivas, que resaltan el valor cultural y las tradiciones colombianas en la producción y procesamiento de leche. </t>
  </si>
  <si>
    <t>1. Documentos de investigación para la cadena láctea
2. Servicio de promoción al consumo de lácteos diferenciados
3. Servicio de educación informal en consumo de lácteos diferenciados
4. Servicio de divulgación y comunicación para la cadena láctea</t>
  </si>
  <si>
    <t>6.2.1.Identificar periódicamente las tendencias, oportunidades y desafíos relacionados con el consumo de productos lácteos diferenciados, así como los canales de comercialización y segmentos de mercado, entre otras variables de importancia para impulsar el consumo de este tipo de productos, a partir del desarrollo de las actividades 15.2.1 y 15.2.5, que están enfocadas en realizar estudios de mercado para productos lácteos y sobre la oferta actual y potencial de productos lácteos diferenciados en Colombia, y en general de los análisis del observatorio de la cadena láctea.</t>
  </si>
  <si>
    <t>MinAgricultura (Entidad líder);
MinComercio, MinSalud, Innpulsa, Colombia Productiva, Universidades, CNL, CCR, Fedegan - FNG, Gremios de la Cadena Láctea Bovina, Productores, Comercializadores y Procesadores de Leche.</t>
  </si>
  <si>
    <t>6.2.2. Diseñar e implementar campañas de promoción al consumo de lácteos diferenciados.</t>
  </si>
  <si>
    <t>6.2.3. Implementar estrategias de consumo para lácteos diferenciados por la funcionalidad de sus componentes, la aplicación de prácticas de responsabilidad social y/o ambiental, o por el valor cultural que les aporta un territorio o una tradición específica.</t>
  </si>
  <si>
    <t>6.2.4. Integrar sectores complementarios que potencialicen las características de los derivados lácteos diferenciados en el mercado.</t>
  </si>
  <si>
    <t>6.3. Competitividad de productos lácteos nacionales frente a importaciones.</t>
  </si>
  <si>
    <t>La apertura comercial ha beneficiado al consumidor nacional con una mayor oferta de productos lácteos, pero amenaza a los agentes locales con seguir restando su participación en el mercado, sumado a que en Colombia no se han consolidado mercados de exportación para los productos lácteos.</t>
  </si>
  <si>
    <t xml:space="preserve">El sector lácteo colombiano participa de manera activa en el comercio internacional; a pesar de la apertura comercial, las importaciones no superan una participación del 10% del mercado interno, mientras que las mejoras en productividad y formalización permitieron un crecimiento suficiente de las exportaciones para alcanzar una balanza comercial positiva. </t>
  </si>
  <si>
    <t>1. Documentos de investigación para la cadena láctea
2. Servicio de apoyo para la suscripción e implementación de acuerdos comerciales y de inversión</t>
  </si>
  <si>
    <t>6.3.1. Identificar y analizar el consumo nacional de productos lácteos importados, tanto del consumidor final como a nivel de la industria de alimentos, con el fin de establecer acciones estratégicas que le permitan a la industria láctea colombiana suplir de manera competitiva, sostenible, y en el corto y largo plazo esa demanda.</t>
  </si>
  <si>
    <t>MinAgricultura (Entidad líder); 
MinComercio, Innpulsa, Procolombia, Colombia Productiva, CNL, Fedegan - FEP, Gremios de la Cadena Láctea Bovina, Productores, Comercializadores y Procesadores de Leche</t>
  </si>
  <si>
    <t>6.3.2. Identificar las empresas oferentes nacionales actuales y potenciales de los productos lácteos que podrían suplir productos lácteos que actualmente son importados, y analizar su capacidad de cumplir con cantidades y calidades requeridas por los clientes nacionales.</t>
  </si>
  <si>
    <t xml:space="preserve">6.3.3. Promover acuerdos a corto y largo plazo entre empresas importadoras de productos lácteos y empresas nacionales fabricantes de productos lácteos. </t>
  </si>
  <si>
    <t>6.3.4. Realizar acompañamiento técnico y comercial a las industrias lácteas para que puedan reemplazar de manera competitiva las importaciones de productos lácteos.</t>
  </si>
  <si>
    <t>6.3.5. Promover la inversión en tecnología y montaje y/o mejoramiento de líneas de producción de productos lácteos, enfocada en suplir la demanda de empresas importadoras, a través de instrumentos financieros e incentivos.</t>
  </si>
  <si>
    <t>7. Promoción a las exportaciones de productos lácteos</t>
  </si>
  <si>
    <t>7.1. Posicionamiento de los productos lácteos colombianos en el mercado internacional.</t>
  </si>
  <si>
    <t xml:space="preserve">La apertura comercial ha beneficiado al consumidor nacional con una mayor oferta de productos lácteos, pero amenaza a los agentes locales con seguir restando su participación en el mercado, sumado a que en Colombia no se han consolidado mercados de exportación para los productos lácteos. </t>
  </si>
  <si>
    <t>El sector lácteo colombiano participa de manera activa en el comercio internacional; a pesar de la apertura comercial, las importaciones no superan una participación del 10% del mercado interno, mientras que las mejoras en productividad y formalización permitieron un crecimiento suficiente de las exportaciones para alcanzar una balanza comercial positiva. 
Además de que el país cuenta con una oferta creciente de lácteos diferenciados con reconocimiento internacional, las inversiones estratégicas en pulverización han permitido contar también con una oferta considerable de leche en polvo para el mercado externo.</t>
  </si>
  <si>
    <t>ProColombia (Entidad líder);
MinAgricultura, MinComercio, ICA, INVIMA, Innpulsa, Colombia Productiva, Bancóldex, Fedegan - FEP, Gremios de la Cadena Láctea Bovina, Productores, Comercializadores y Procesadores de Leche.</t>
  </si>
  <si>
    <t xml:space="preserve">7.1.2. Definir y priorizar los productos lácteos con los que Colombia puede competir en el mercado internacional, identificando las denominaciones de origen, lácteos funcionales, sellos verdes, producción orgánica, marca colectiva, entre otros. </t>
  </si>
  <si>
    <t>7.1.3. Identificar y fortalecer las empresas con potencial exportador.</t>
  </si>
  <si>
    <t>7.1.4. Promover mecanismos de relacionamiento entre industriales locales y clientes internacionales.</t>
  </si>
  <si>
    <t xml:space="preserve"> 7.1.5. Realizar acompañamiento técnico, comercial, financiero, legal, normativo, entre otros, a los procesos de exportación.</t>
  </si>
  <si>
    <t>EE2. Formalización y desarrollo social</t>
  </si>
  <si>
    <t>OE5. Aumentar la formalización laboral, empresarial y de producto, de la cadena</t>
  </si>
  <si>
    <t>8. Aumento de la formalización a lo largo de la cadena</t>
  </si>
  <si>
    <t>8.1. Promoción de la formalización empresarial y laboral en la cadena láctea</t>
  </si>
  <si>
    <t xml:space="preserve">Con respecto al panorama laboral para el eslabón primario, existen 125.326 UPAs orientadas exclusivamente a la producción de leche y 196.035 dedicadas al doble propósito, las cuales en su conjunto emplean a más de 700.000 trabajadores permanentes, que representan el 16% del total del empleo del sector agropecuario. Sin embargo al revisar las cifras del DANE relacionadas con el porcentaje de afiliación a los sistemas de pensión, salud y riesgos laborales como un indicador de formalidad laboral, se evidencia que en la actividad ganadera solo el 16% está afiliado a fondo de pensiones, el 15% cuenta con afiliación a riesgos laborales y el 89% se encuentra afiliado a salud y de este solo el 27% pertenece al régimen contributivo.
Para el eslabón procesador, se estima que en promedio 90.000 personas se dedican a la fabricación de productos lácteos en el país , de los cuales alrededor de un 25% pertenecen al canal formal y el 75% al canal informal ; estas cifras también indican que cerca del doble de personas que se dedican a la fabricación de lácteos no cuentan con las condiciones laborales adecuadas. De acuerdo con cifras del DANE de las personas ocupadas en procesamiento de leche, el 46% está afiliado a fondo de pensiones, el 45% cuenta con afiliación a riesgos laborales y el 94% se encuentra afiliado a salud y de este solo el 56% pertenece al régimen contributivo. </t>
  </si>
  <si>
    <t>La gran mayoría de empresas que se dedican a la comercialización y procesamiento de leche se encuentran dentro de la formalidad; cuentan por lo menos con certificado de existencia y representación legal, sus productos tienen registro sanitario y se han incrementado los niveles de formalidad laboral; el 55% de los trabajadores dedicados al procesamiento de leche cuenta con afiliación a fondo de pensiones, un 54% está afiliado a riesgos laborales, y el 100% cuenta con afiliación al sistema de salud logrando que de este, un 67% se encuentre en régimen contributivo.
La formalidad laboral de los trabajadores en la actividad ganadera se ha incrementado en más de un 20%; el 19% está afiliado a fondo de pensiones, el 18% cuenta con afiliación a riesgos laborales, y el 100% está afiliado al sistema de salud alcanzando que de este, el 32% pertenezca al régimen contributivo.</t>
  </si>
  <si>
    <t>1. Documentos técnicos para la cadena láctea
2. Servicio para la formalización empresarial
3. Servicio de promoción para el fortalecimiento de la Red de formalización laboral
4. Servicios de apoyo financiero para la creación de empresas
5. Servicio de seguimiento y monitoreo</t>
  </si>
  <si>
    <t xml:space="preserve">8.1.1. Diseñar e implementar estrategias que promuevan la formalización empresarial y laboral, de la cadena láctea. </t>
  </si>
  <si>
    <t>MinTrabajo y CCR (Entidades líderes);
 MinAgricultura, MinComercio, MinAmbiente, MinSalud, INVIMA SENA, Innpulsa, Bancóldex, SIC, Confecámaras, CAR, Gremios de la Cadena Láctea Bovina, Productores, Comercializadores y Procesadores de Leche.</t>
  </si>
  <si>
    <t>8.1.2. Formular e implementar alternativas para promover la formalización de la mano de obra en la producción de leche y la empresarización de las actividades que desarrollan esos trabajadores.</t>
  </si>
  <si>
    <t>8.1.3. Fortalecer la formación y capacitación a los actores de la cadena, en aspectos de constitución empresarial, contratación de personal y cumplimiento de normatividad ambiental.</t>
  </si>
  <si>
    <t>8.1.4. Realizar el acompañamiento técnico a los procesos de formalización empresarial, ambiental y laboral de la cadena láctea.</t>
  </si>
  <si>
    <t xml:space="preserve">8.1.5. Diseñar e implementar herramientas de seguimiento y monitoreo en relación con el avance en la formalización empresarial, ambiental y laboral a lo largo de la cadena láctea.
</t>
  </si>
  <si>
    <t>8.2. Promoción de la formalización en el acopio y transporte de leche y la fabricación de productos lácteos.</t>
  </si>
  <si>
    <t xml:space="preserve">Se estima que la comercialización informal de leche cruda es de alrededor del 45% de la producción del país, a su vez el 50% de esta leche se destina a la fabricación de quesos artesanales, el 12% al consumo humano directo y el restante, a otras categorías de productos lácteos.  
</t>
  </si>
  <si>
    <t xml:space="preserve">Cerca del 80% de la producción nacional de leche se comercializa y procesa por canales formales, lo cual ha contribuido a la mejora de calidad e inocuidad de los productos lácteos colombianos y a una competencia más justa entre los empresarios. La actualización regular de los reglamentos técnicos y la inversión privada en acopio y procesamiento de leche ha sido de suma importancia en este proceso.
</t>
  </si>
  <si>
    <t>1. Documentos técnicos para la cadena láctea
2. Servicio para la formalización en el acopio y procesamiento de leche
3. Servicio de apoyo para los procesos de formalización
4. Servicio de seguimiento y monitoreo</t>
  </si>
  <si>
    <t>8.2.1. Identificar y seleccionar comercializadores y transportadores de leche y fabricantes de productos lácteos que requieran apoyo para el cumplimiento de los requisitos técnicos de su respectiva actividad, de acuerdo con el desarrollo de la actividad 17.1.9.</t>
  </si>
  <si>
    <t>MinAgricultura y MinComercio (Entidades líderes);
MinSalud, ICA, INVIMA, ADR, Finagro, Entidades financieras, Entes Territoriales de Salud, SENA, Innpulsa, Bancóldex, Colombia Productiva, SIC, Confecámaras, CCR, CAR, Gremios Cadena Láctea Bovina, Productores, Comercializadores y Procesadores de Leche.</t>
  </si>
  <si>
    <t xml:space="preserve">8.2.2. Fortalecer la capacitación y formación en calidad, inocuidad, administración, tecnología, acopio y transporte de leche y la fabricación de productos lácteos y normatividad relacionada con la compra de leche cruda, entre otros. </t>
  </si>
  <si>
    <t>8.2.3.  Realizar acompañamiento técnico a comercializadores y transportadores de leche y a fabricantes de productos lácteos, para el elaboración y puesta en marcha de un plan de negocios, incluyendo el fortalecimiento comercial y el desarrollo de proveedores o alianzas comerciales con productores de leche.</t>
  </si>
  <si>
    <t>8.2.4. Fomentar la adquisición y modernización de equipos, maquinaria y adecuaciones físicas, requeridas para acopio y transporte de leche y la fabricación de productos lácteos.</t>
  </si>
  <si>
    <t>8.2.5. Desarrollo de una estrategia para la implementación de sellos o distintivos para promover el consumo de productos lácteos formales.</t>
  </si>
  <si>
    <t>8.2.6. Realizar el seguimiento y monitoreo del avance en la formalización del acopio y transporte de leche y la fabricación de productos lácteos.</t>
  </si>
  <si>
    <t>OE6. Contribuir al Ordenamiento Productivo del Territorio</t>
  </si>
  <si>
    <t>9. Mejora del ordenamiento y uso productivo de la tierra</t>
  </si>
  <si>
    <t xml:space="preserve">9.1. Fortalecimiento de los mecanismos de articulación territorial </t>
  </si>
  <si>
    <t xml:space="preserve">Con relación a las debilidades en la formulación e implementación de la normatividad que regula el uso del suelo, el tema se asocia principalmente a las áreas agropecuarias de interés compartido con otros sectores productivos, ambientales o las dinámicas propias de algunos territorios. La debilidad de la articulación de las políticas de ordenamiento territorial y sectorial, generan conflicto y desplazamiento de la actividad productiva. 
Algunos de estos conflictos se evidencian porque los productores deben competir por el uso del suelo con otros usos no agropecuarios que encarecen el precio de la tierra y hacen que la producción se desplace a zonas más alejadas, donde se incrementan los costos de producción , como es el caso de regiones del altiplano cundiboyacense y del oriente antioqueño. </t>
  </si>
  <si>
    <t xml:space="preserve">Gracias a los esfuerzos de los actores del sector lácteo y de los entes nacionales y territoriales, se cuenta con una política sectorial completamente articulada e integrada a los diferentes instrumentos de desarrollo y ordenamiento territorial, principalmente, en las 10 regiones lecheras del país. 
Esta misma colaboración también ha permitido orientar el uso del suelo para el desarrollo de las regiones lecheras dentro de la frontera agrícola; de tal forma que se ha optimizado el uso del suelo de acuerdo con su aptitud, hacia el crecimiento sectorial requerido por el país; crecimiento que es respaldado por el cumplimiento de la normativa que regula el uso del suelo. 
</t>
  </si>
  <si>
    <t>1. Documentos técnicos para la cadena láctea
2. Servicios de apoyo para la gestión de procesos de participación de los actores de la cadena láctea</t>
  </si>
  <si>
    <t>9.1.1. Identificar los paisajes agropecuarios ganaderos, al interior de las regiones lecheras e impulsar su vinculación en los procesos de revisión, ajuste y modificación de los instrumentos de ordenamiento y planificación territorial, en el nivel departamental o municipal.</t>
  </si>
  <si>
    <t xml:space="preserve">MinAgricultura (Entidad líder);
UPRA, ANT, CNL, Entidades Territoriales, SAD, Productores, Comercializadores y Procesadores de leche. </t>
  </si>
  <si>
    <t xml:space="preserve"> 9.1.2. Realizar un análisis de impacto de la normatividad que regula el uso del suelo, en áreas estratégicas de producción de leche, para desarrollar mecanismos que contribuyan al fortalecimiento en la formulación y aplicación de esta normatividad y que promuevan la protección de estas áreas estratégicas, frente a otros usos no agropecuarios, en las regiones lecheras.</t>
  </si>
  <si>
    <t xml:space="preserve">9.1.3. Promover mecanismos de participación de los actores de la cadena láctea en los arreglos institucionales para la articulación de la política sectorial con las políticas de ordenamiento y planificación territorial. </t>
  </si>
  <si>
    <t>9.1.4. Promover la incorporación de incentivos por el uso adecuado del suelo en los predios de producción de leche, a partir de la gestión articulada de las instancias regionales de la cadena láctea en los procesos de fortalecimiento de los instrumentos de planificación territorial.</t>
  </si>
  <si>
    <t>9.2. Ordenamiento territorial de las regiones lecheras</t>
  </si>
  <si>
    <t xml:space="preserve">La cadena láctea colombiana cuenta desde hace varios años con una instancia de concertación y gestión, que tiene capacidad ejecutiva y visión de largo plazo, y que se caracteriza por ser representativa de todos los eslabones de la cadena y por gestionar entre otros, los recursos para la implementación de la política sectorial.
Así mismo, se crearon y consolidaron al menos ocho instancias ejecutivas regionales que tienen representatividad ante el nivel nacional, y que han estado dedicadas principalmente a apoyar el desarrollo de las regiones lecheras del país. Estos espacios regionales cuentan con capacidades técnicas y disponen de recursos de diferente índole, para la ejecución de proyectos de desarrollo territorial.
Los esfuerzos colectivos entre los actores públicos y privados, de orden nacional y regional, que participan en el desarrollo y transferencia de tecnologías, y las inversiones planificadas y articuladas se vienen implementando de forma coordinada con los instrumentos de planeación formulados para el sector lácteo.
</t>
  </si>
  <si>
    <t xml:space="preserve">Gracias a los esfuerzos de los actores del sector lácteo y de los entes nacionales y territoriales, se cuenta con una política sectorial completamente articulada e integrada a los diferentes instrumentos de desarrollo y ordenamiento territorial, principalmente, en las 10 regiones lecheras del país. 
Esta misma colaboración también ha permitido orientar el uso del suelo para el desarrollo de la cadena láctea, dentro de la frontera agrícola a través de la implementación y ejecución del Plan Maestro de Reconversión Productiva (PMRP) (1), con instrumentos de política diferenciados, en función de las necesidades de cada zona y las particularidades que registran en términos biofísicos y socioeconómicos, optimizado el uso del suelo de acuerdo con su aptitud y por consiguiente el crecimiento sectorial requerido por el país. 
A partir de los enfoques de la reconversión productiva (2), se brindo acompañamiento integral a los productores de leche, tanto a aquellos en zonas productivas que no presentan ningún tipo de condicionante (zonas con altas ventajas comparativas (3) zonas con ventajas comparativas moderadas (4) y zonas sin aptitud), como a aquellos que se ubican en áreas con condicionantes, (Zonas con condicionantes por ordenamiento ambiental, y zonas con condicionantes por ordenamiento étnico).
Se logró que los productores de leche con actividad productiva en áreas de exclusión legal adelantarán acuerdos voluntarios con las autoridades ambientales para realizar la transición hacia otras actividades acordes con los objetivos de conservación del ecosistema, así mismo aquellos productores de leche, que adelantaban actividades por fuera de la frontera agrícola, pero si ubicarse en áreas de exclusión legal, coordinaron acciones con autoridades ambientales que les permitieron avanzar con programas de reconversión productiva acorde con los lineamientos de la zonificación ambiental. 
Se viene promoviendo un uso más eficiente de la tierra en las regiones lecheras, lo que ha contribuido a incrementar la productividad por área de manera sostenible; las unidades productivas con áreas mayores a 500 hectáreas cuentan con altas productividades o se han reconvertido a otros usos agropecuarios; así mismo, se protegen áreas estratégicas para el desarrollo de la ganadería de leche disminuyendo la competencia con usos no agropecuarios, y evitando que la ganadería se desplace a zonas más alejadas con deficiencia de infraestructura; De igual forma, se cuenta con mecanismos o instrumentos para disponer de información relacionada con el mercado de tierras rurales que lo hacen más transparente y operante. </t>
  </si>
  <si>
    <t>1. Documentos técnicos para la cadena láctea.
2. Servicio de fomento para el desarrollo de procesos agroindustriales. 
3. Servicio de apoyo para la implementación de alternativas de reconversión productiva</t>
  </si>
  <si>
    <t>9.2.1. Identificar las áreas para el fortalecimiento y desarrollo de clústeres o núcleos productivos, en las regiones lecheras.</t>
  </si>
  <si>
    <t>MinAgricultura (Entidad líder); 
UPRA, ANT, MinAmbiente, CCR, CNL, Entidades Territoriales, Gremios de la Cadena Láctea Bovina, Productores, Comercializadores y Procesadores de Leche.</t>
  </si>
  <si>
    <t>9.2.2. Realizar la zonificación de aptitud de la leche, a una escala más detallada, de las áreas identificadas para el fortalecimiento y desarrollo de clústeres o núcleos productivos en las regiones lecheras.</t>
  </si>
  <si>
    <t>9.2.3. Implementar los planes maestros de reconversión productiva para las regiones lecheras, en el marco de la frontera agrícola, brindando acompañamiento técnico y financiero a los productores de leche en los diferentes enfoques de la reconversión productiva. (Transformación e innovación tecnológica, agregación de valor, diversificación agropecuaria, cambios sistema productivo, producción en zonas condicionadas y recuperación de la capacidad productiva).</t>
  </si>
  <si>
    <t>9.3. Seguridad jurídica de los predios dedicados a la producción de leche</t>
  </si>
  <si>
    <t xml:space="preserve">Igualmente, el eficiente uso de la tierra se afecta por la alta informalidad observada en la tenencia de esta en el país, la cual se estima en un porcentaje superior al 50%.  Para la cadena, las UPAs que no declararon ninguna forma de tenencia, muestran áreas más grandes y una carga animal más baja respecto a las formas de tenencia declaradas en el Censo Nacional Agropecuario.
La alta informalidad en la tenencia de la tierra se presume en cerca del 42% de la producción de leche, que corresponde al 51% del total de predios con orientación en leche y doble propósito; esta situación, limita el acceso a líneas de crédito, subsidios e incentivos, principalmente para los productores que se ubican en áreas de agricultura familiar. Se refleja que la informalidad en la tenencia de la tierra tiende a ser relativamente menor en los departamentos con mayor producción de leche, como es el caso de Antioquia, Cundinamarca y Boyacá, donde la presunción de informalidad de los predios con producción láctea dentro de la frontera agrícola, es inferior al 50%. En promedio más del 30% de la producción en los departamentos del país, se obtiene en predios presuntamente informales, y más del 20% de la producción se obtiene en predios presuntamente informales dentro de la frontera agrícola, y el mismo comportamiento se observa en relación a la zonificación de aptitud para la leche bovina, es decir, que en los departamentos con mayor producción de leche tiende a ser mayor la informalidad en predios sin aptitud. 
</t>
  </si>
  <si>
    <t xml:space="preserve">Por su parte, la seguridad jurídica de los predios ha aumentado; la presunción de la informalidad en la tenencia de la tierra se ubica en los niveles cercanos al 40% lo que facilita el acceso a la oferta de bienes y servicios del Estado y genera mayor confianza sobre la propiedad, en especial a productores en áreas de agricultura familiar, quienes han mejorado su competitividad y calidad de vida. </t>
  </si>
  <si>
    <t xml:space="preserve">1. Servicio de apoyo para los procesos de formalización de la propiedad en los predios con producción de leche
2. Servicio de apoyo para la regularización de la propiedad </t>
  </si>
  <si>
    <t xml:space="preserve">9.3.1. Realizar acompañamiento a los productores de leche, en los procesos de formalización de la propiedad, para favorecer su acceso a los programas y beneficios que contribuyan a mejorar el desarrollo de la actividad productiva. </t>
  </si>
  <si>
    <t>ANT (Entidad líder);
MinAgricultura, Gremios de la Cadena Láctea Bovina, Productores de Leche.</t>
  </si>
  <si>
    <t>9.3.2. Realizar la articulación con la ANT para identificar, focalizar e implementar programas de regularización de la propiedad de predios con producción de leche.</t>
  </si>
  <si>
    <t>OE7. Incrementar la integración a lo largo de la cadena productiva</t>
  </si>
  <si>
    <t>10. Promoción de estrategias colectivas a lo largo de la cadena láctea</t>
  </si>
  <si>
    <t xml:space="preserve">10.1. Impulso al desarrollo de esquemas asociativos en la cadena láctea </t>
  </si>
  <si>
    <t>En el país el 70% de los ganaderos, no están vinculados a ningún tipo de organización, lo cual es un indicador que revela el bajo nivel de asociatividad de los productores de leche, la cual se explica por la existencia de barreras culturales, pero sobre todo por un bajo conocimiento en la gestión de organizaciones de economía solidaria. Por su parte la integración vertical en la cadena, tradicionalmente se ha realizado en el eslabón productivo, a partir del acopio y enfriamiento de la leche, lo cual ha aumentado el poder de negociación de los ganaderos y ha generado economías de escala, sin embargo, se evidencia que solo el 14% de la leche que se produce en Colombia se procesa por cooperativas de productores, porcentaje que es muy inferior frente a países como Nueva Zelanda, Costa Rica y Uruguay, donde más del 75% de la producción nacional es procesada por los propios productores de leche.</t>
  </si>
  <si>
    <t>Un elevado número de productores de leche se organizó en esquemas asociativos; estas organizaciones han logrado reducir sus costos de producción, generar economías de escala, aumentar su capacidad de negociación, optimizar el aprovechamiento de los recursos, un mejor acceso a mercados, financiamiento e innovación tecnológica; con lo cual han logrado mayores márgenes de ganancia. Lo anterior, contribuyó notablemente a aumentar la rentabilidad de la actividad lechera, mejorando de manera significativa los ingresos de los productores, favoreciendo su calidad de vida.</t>
  </si>
  <si>
    <t>1. Documentos técnicos para la cadena láctea.
2. Servicio de asesoría para el fortalecimiento de la asociatividad.
3. Servicio de apoyo para el fortalecimiento de las organizaciones de economía solidaria existentes.
4. Servicio de educación informal en economía solidaria</t>
  </si>
  <si>
    <t>10.1.1. Identificar productores y organizaciones de productores para el fortalecimiento y/o desarrollo de esquemas asociativos en las diferentes subregiones lecheras, y clasificar de acuerdo con su estado de avance.</t>
  </si>
  <si>
    <t>MinAgricultura y ADR (Entidades líderes);
MinTrabajo, MinComercio, SENA, Innpulsa, Bancóldex, SIC, Confecámaras, CCR, Entidades Territoriales, Fedegan - FNG, Gremios de la Cadena Láctea Bovina, Productores, Comercializadores y Procesadores de Leche.</t>
  </si>
  <si>
    <t xml:space="preserve">10.1.2. Diseñar e implementar estrategias de promoción, socialización y divulgación de los beneficios de los esquemas asociativos. </t>
  </si>
  <si>
    <t>10.1.3. Aumentar y fortalecer la formación y capacitación en economía solidaria y gestión empresarial para los productores de leche, organizaciones de productores y demás agentes económicos de la cadena láctea.</t>
  </si>
  <si>
    <t>10.1.4. Realizar el acompañamiento técnico a productores de leche y a organizaciones de productores, en planeación estratégica, enfocada a la definición, constitución, desarrollo y gestión empresarial de esquemas asociativos, al desarrollo de alianzas comerciales con procesadores de leche formales y a la adecuada gestión de proveedores de servicios e insumos.</t>
  </si>
  <si>
    <t>10.1.5. Realizar acompañamiento técnico para el fortalecimiento productivo y comercial de las organizaciones de economía solidaria, que cuenten con vocación empresarial para el sector lácteo, promoviendo la construcción de capacidades al interior de la organización para fomentar su sostenibilidad.</t>
  </si>
  <si>
    <t>10.1.6. Promover la adquisición y modernización de equipos, maquinaria y adecuaciones físicas, requeridas para acopio y transporte de leche por parte de organizaciones de productores de leche, a través de instrumentos financieros e incentivos.</t>
  </si>
  <si>
    <t>10.1.7. Brindar acompañamiento técnico y financiero para fortalecer la generación de ingresos complementarios en las organizaciones de economía solidarias del sector lácteo, teniendo en cuenta principalmente los grupos de mujeres y jóvenes; con el fin de fortalecer su autosostenibilidad y pertenencia con la organización.</t>
  </si>
  <si>
    <t>10.1.8. Fortalecer los mecanismos de financiamiento, aseguramiento asociativo y la priorización de incentivos y cofinanciación en programas estatales para las organizaciones de economía solidaria de la cadena láctea, a través de estrategias que articulen, fortalezcan y divulguen la oferta público-privada relacionada con programas de asociatividad.</t>
  </si>
  <si>
    <t xml:space="preserve">10.1.9. Promover el estudio para el diseño de un modelo de vigilancia y seguimiento para las asociaciones. </t>
  </si>
  <si>
    <t xml:space="preserve">10.2. Promoción y fortalecimiento de la integración vertical de los productores de leche </t>
  </si>
  <si>
    <t>En el país el 70% de los ganaderos, no están vinculados a ningún tipo de organización, lo cual es un indicador que revela el bajo nivel de asociatividad de los productores de leche, la cual se explica por la existencia de barreras culturales, pero sobre todo por un bajo conocimiento en la gestión de organizaciones de economía solidaria. Por su parte la integración vertical en la cadena, tradicionalmente se ha realizado en el eslabón productivo, a partir del acopio y enfriamiento de la leche, lo cual ha aumentado el poder de negociación de los ganaderos y ha generado economías de escala, sin embargo, se evidencia que solo el 14% de la leche que se produce en Colombia se procesa por cooperativas de productores (NOTA), porcentaje que es muy inferior frente a países como Nueva Zelanda, Costa Rica y Uruguay, donde más del 75% de la producción nacional es procesada por los propios productores de leche.
NOTA: Este 14% equivale a un 30% del acopio formal de leche.</t>
  </si>
  <si>
    <t xml:space="preserve">Con la integración vertical de productores de leche a través de cooperativas, alianzas estratégicas, asociaciones, maquilas, empresas privadas, entre otros esquemas, se logró que el 50% del acopio formal de leche sea procesada por estas organizaciones. </t>
  </si>
  <si>
    <t>1. Documentos técnicos para la cadena láctea.
2. Servicio de asesoría para el fortalecimiento de la integración vertical.
3. Servicio de apoyo para el fortalecimiento de la integración vertical</t>
  </si>
  <si>
    <t>10.2.1. Identificar y priorizar núcleos y zonas potenciales para el desarrollo de procesos de integración vertical que creen valor a la cadena láctea.</t>
  </si>
  <si>
    <t>MinAgricultura y MinComercio (Entidades líderes);
MinTrabajo, SENA, ADR, Innpulsa, Bancóldex, Confecámaras, CCR, Unidad Administrativa Especial de Organizaciones Solidarias, SuperSolidaria, Fedegan - FNG, Gremios de la Cadena Láctea Bovina, Productores, Comercializadores y Procesadores
de Leche.</t>
  </si>
  <si>
    <t>10.2.2. Fortalecer la formación y capacitación de organizaciones de productores de leche en constitución y gestión empresarial, funcionamiento de los mercados de productos lácteos, en requisitos y procesos de fabricación de productos lácteos, y en sistemas de asociación empresarial, así como en requisitos y procesos para proveer insumos y servicios a la producción de leche.</t>
  </si>
  <si>
    <t>10.2.3. Realizar el acompañamiento técnico para la planeación estratégica de procesos de integración vertical, teniendo en cuenta, diseño y puesta en marcha de líneas de producción, desarrollo de planes de negocios y alianzas comerciales, y la adecuada gestión de proveedores de servicios e insumos, entre otras.</t>
  </si>
  <si>
    <t>10.2.4. Promover la adquisición de equipos, maquinaria y adecuaciones físicas para acopio y transporte de leche y para fabricación de productos lácteos, que contribuyan a procesos de integración vertical de organizaciones de productores de leche, a través de instrumentos financieros e incentivos.</t>
  </si>
  <si>
    <t xml:space="preserve">10.2.5. Realizar el monitoreo y seguimiento a los impactos sociales, ambientales y económicos de los procesos de integración vertical. </t>
  </si>
  <si>
    <t>10.3. Promoción y fortalecimiento de la integración horizontal entre procesadores de leche.</t>
  </si>
  <si>
    <t xml:space="preserve">Por su parte la integración horizontal ha sido menos común en la cadena láctea y son pocos los encadenamientos de empresas que posicionan productos y marcas conjuntas; hasta ahora existen solamente intenciones de algunos procesadores que han pensado en la integración horizontal como mecanismo para compra conjunta de materia prima, comercialización de productos terminados, maquila con pequeñas y medianas industrias para comercializar productos lácteos con su propia marca y llegar a mercados locales.
</t>
  </si>
  <si>
    <t>Se incrementó la integración horizontal entre los procesadores de las diferentes regiones lecheras, logrando que las empresas lácteas mejoren su eficiencia productiva. El fortalecimiento de los sistemas de asociación empresarial de las medianas y grandes industrias con las pequeñas empresas, ha permitido de forma significativa mejorar la calidad, ampliar la cobertura y la eficiencia en los procesos de distribución y venta de productos lácteos, asimismo, han logrado consolidar y posicionar sus marcas y productos diferenciados en el ámbito regional y nacional.</t>
  </si>
  <si>
    <t>1. Documentos técnicos para la cadena láctea.
2. Servicio de asesoría para el fortalecimiento de la integración horizontal.
3. Servicio de apoyo para el fortalecimiento de la integración horizontal</t>
  </si>
  <si>
    <t>10.3.1. Identificar iniciativas actuales o potenciales de integración horizontal entre procesadores de leche.</t>
  </si>
  <si>
    <t>MinComercio (Entidad líder); 
MinAgricultura, ADR, Innpulsa, SENA, Bancóldex, SIC, Confecámaras, CCR, Fedegan - FNG, Gremios de la Cadena Láctea Bovina, Productores, Comercializadores y Procesadores de Leche.</t>
  </si>
  <si>
    <t>10.3.2. Fortalecer la formación y capacitación a los interesados en sistemas de asociación empresarial tales como alianzas estratégicas, maquilas, franquicias, entre otras.</t>
  </si>
  <si>
    <t>10.3.3. Realizar el acompañamiento técnico para la suscripción e implementación de acuerdos comerciales y de inversión entre empresas.</t>
  </si>
  <si>
    <t xml:space="preserve">10.3.4. Realizar el acompañamiento técnico y financiero para la promoción y el fortalecimiento de la integración horizontal. </t>
  </si>
  <si>
    <t xml:space="preserve">OE8. Mejorar las condiciones de inversión en la cadena </t>
  </si>
  <si>
    <t>11. Fomento de la inversión en la cadena láctea</t>
  </si>
  <si>
    <t xml:space="preserve">11.1. Diseño e implementación de instrumentos de comercialización específicos para la cadena láctea.
</t>
  </si>
  <si>
    <t>En cuanto a las distorsiones en el mercado nacional de leche cruda, aunque que el gobierno nacional ha establecido un sistema de pago por calidad de leche, el cual ha logrado disminuir las asimetrías de información, dar mayor transparencia en el mercado y evitar posiciones dominantes en la comercialización de leche cruda; aún persisten algunas distorsiones en el mercado manteniendo un alto volumen de leche cruda procesada informalmente, el cual genera no solo riesgos a la salud pública y una competencia desleal para los actores formales, sino que desmotiva la labor de los empresarios que le han apostado a la legalidad y dificulta la posibilidades de contar con nuevos agentes inversores tanto nacionales como extranjeros</t>
  </si>
  <si>
    <t xml:space="preserve">La mejora de las condiciones en la comercialización de la leche cruda fue un factor fundamental para atraer inversión privada, tanto nacional como extranjera, y generar una oferta competitiva de leche y productos lácteos; A través de instrumentos de comercialización específicos para el sector lácteo, se superaron las distorsiones en el mercado nacional de la leche cruda permitiendo la formación de precios acorde con la dinámica del mercado internacional.
Estos instrumentos de comercialización permitieron la implementación de acuerdos de largo plazo entre ganaderos e industriales, con garantías de cumplimiento a lo pactado, y con la permanente vigilancia del Estado para controlar irregularidades en el mercado, permitiendo proyectar y consolidar una oferta estable y competitiva de productos lácteos, tanto para el mercado nacional como internacional. </t>
  </si>
  <si>
    <t>1. Documentos de lineamientos técnicos
2. Servicio de apoyo para la comercialización
3. Servicio de asistencia técnica en alianzas para la comercialización</t>
  </si>
  <si>
    <t xml:space="preserve">11.1.1. Elaborar un estudio que identifique las necesidades de instrumentos de comercialización de leche cruda que incluya la caracterización de los usuarios del instrumento. 
 </t>
  </si>
  <si>
    <t xml:space="preserve">MinAgricultura, (Entidad líder);
 MinComercio, BMC, ADR, Colombia Productiva, Bancóldex, Finagro, Entidades Financieras, Innpulsa, SENA, Productores, Comercializadores y Procesadores de Leche.
</t>
  </si>
  <si>
    <t>11.1.2. Diseñar y validar el uso de instrumentos para la comercialización de leche cruda, que permitan acuerdos de largo plazo con garantías de cumplimiento a lo pactado.</t>
  </si>
  <si>
    <t>11.1.3. Diseñar y poner en marcha de un sistema de vigilancia que genere alertas sobre las irregularidades del mercado nacional de la leche y los productos lácteos (Dumping, triangulación, entre otros).</t>
  </si>
  <si>
    <t xml:space="preserve">11.1.4. Desarrollar pilotos de implementación para validar los instrumentos de comercialización de leche cruda. 
</t>
  </si>
  <si>
    <t>11.1.5. Escalar la implementación de los instrumentos de comercialización para la cadena láctea.</t>
  </si>
  <si>
    <t xml:space="preserve">11.1.6. Generar incentivos y cofinanciación específica para los usuarios de los instrumentos de comercialización implementados, así como priorizar su atención en los diferentes programas estatales. </t>
  </si>
  <si>
    <t xml:space="preserve">11.1.7 Diseñar, validar y fomentar el uso de instrumentos de comercialización para otros productos de la cadena láctea. </t>
  </si>
  <si>
    <t xml:space="preserve">
11.2. Identificación y gestión de las necesidades en conectividad, servicios públicos, seguridad y estabilidad jurídica, en las regiones lecheras.
</t>
  </si>
  <si>
    <t xml:space="preserve">
La deficiente infraestructura vial y de transporte en algunas regiones lecheras afectan de forma importante el desarrollo del sector; ya que la leche se produce diariamente y debe ser refrigerada o procesada con prontitud para mantener su buen estado, para lo cual la infraestructura vial resulta esencial para mejorar la comercialización de leche y mantener sus condiciones higiénicas
Otro factor que desestimula las decisiones de los inversionistas en el sector lácteo y en general en el sector agropecuario, son las deficientes condiciones en la prestación de servicios públicos básicos en el área rural, especialmente el suministro de energía eléctrica, factor que también es determinante para la refrigeración y procesamiento de la leche.
Así mismo es fundamental para cualquier inversionista contar con condiciones de seguridad y orden público a nivel nacional y regional.</t>
  </si>
  <si>
    <t>Así mismo, las diferentes regiones lecheras han sido dotadas de infraestructura de conectividad y de servicios públicos necesarios para su consolidación, de acuerdo con las necesidades incluidas en los planes nacionales y regionales. Los espacios de coordinación y articulación de las instancias ejecutivas para el desarrollo de las regiones lecheras han sido claves en este proceso.
Las condiciones favorables de seguridad del país también han facilitado la inversión privada en el sector lácteo colombiano; el rol de los actores de la cadena ha sido fundamental para contribuir a la consolidación de la paz y el bienestar en las regiones lecheras.</t>
  </si>
  <si>
    <t>1. Documentos técnicos para la cadena láctea
2. Servicio de promoción de la articulación para la cadena láctea</t>
  </si>
  <si>
    <t>11.2.1. Identificar y actualizar las necesidades de infraestructura para la conectividad vial, de servicios públicos, tecnologías de la información y las comunicaciones (TIC) y seguridad en las regiones lecheras.</t>
  </si>
  <si>
    <t xml:space="preserve">
MinAgricultura (Entidad líder);
MinTransporte, DNP, ART, Finagro, UPRA, SAC, ANSV, Entidades Territoriales, CNL, Gremios de la Cadena Láctea Bovina, Productores, Comercializadores y Procesadores de Leche.
</t>
  </si>
  <si>
    <t>11.2.2. Priorizar zonas estratégicas de intervención, para el mejoramiento de la infraestructura de conectividad, cobertura de servicios públicos y seguridad en las regiones lecheras.</t>
  </si>
  <si>
    <t xml:space="preserve">11.2.3. Desarrollar acciones que permitan incorporar las necesidades priorizadas por la cadena láctea, en los procesos de planificación nacional, departamental y local, propendiendo por la articulación entre las entidades competentes. 
</t>
  </si>
  <si>
    <t>11.2.4. Articular y gestionar fuentes de inversión y financiación para el desarrollo de la infraestructura y de los servicios logísticos.</t>
  </si>
  <si>
    <t xml:space="preserve">11.2.5. Identificar y gestionar aspectos que afecten la estabilidad jurídica de los inversionistas, relacionados con aspectos tributarios, financieros, ambientales, entre otros. </t>
  </si>
  <si>
    <t xml:space="preserve">
11.3. Aumento en la cobertura y el acceso de los instrumentos de financiamiento y de gestión de riesgos en la cadena láctea.
</t>
  </si>
  <si>
    <t>Con respecto a la dificultad para el acceso real al crédito, aunque en Colombia la ganadería es el principal usuario de créditos, de acuerdo al CNA 2014, tan solo el 17% de los productores de leche, manifestaron realizar gestiones para acceder a créditos, siendo este porcentaje bajo frente a las necesidades del sector. También se identifican limitantes en el destino de los créditos otorgados y en el monto destinado a las líneas especiales; lo que conlleva a los productores a obtener recursos por canales informales, en especial, los pequeños que en su mayoría no se encuentran bancarizados.</t>
  </si>
  <si>
    <t xml:space="preserve">Este mejoramiento en la comercialización de leche cruda también contribuyó a unas mejores condiciones de crédito para los agentes de la cadena, en especial para los productores de leche, logrando que el 100% de los productores estén bancarizados, y un 60% de ellos tenga acceso real al crédito, así como un aumento en los montos destinados a las líneas especiales de crédito. </t>
  </si>
  <si>
    <t>1. Servicio de divulgación sobre financiamiento y riesgos agropecuarios
2. Servicios de educación informal en inclusión financiera
3. Servicio de apoyo financiero para la cadena láctea</t>
  </si>
  <si>
    <t>11.3.1. Mejoramiento y/o diseño de instrumentos financieros para la formalización, asociatividad, integración y desarrollo productivo del sector lácteo.</t>
  </si>
  <si>
    <t>MinAgricultura y Finagro (Entidades líderes); 
Finagro, Bancóldex, Entidades Financieras, CNL, Fedegan - FNG, BMC, Gremios de la Cadena Láctea Bovina, Productores, Comercializadores y Procesadores de Leche</t>
  </si>
  <si>
    <t>11.3.2. Promover el crédito de fomento y mejorar el acceso a las garantías financieras de pequeños, medianos productores de leche y MiPymes lácteas.</t>
  </si>
  <si>
    <t>11.3.3. Mejorar las capacidades y conocimientos financieros en los pequeños, medianos productores de leche y MiPymes lácteas.</t>
  </si>
  <si>
    <t>11.3.4. Fortalecer y promocionar las actividades del sector lácteo ante las entidades financieras, para promover su inclusión financiera</t>
  </si>
  <si>
    <t>11.3.5. Diseñar, actualizar y fomentar pólizas de seguro y otros instrumentos de mitigación de riesgos biológicos, climáticos, financieros, de mercados, entre otros, en las diferentes actividades económicas de la cadena láctea bovina.</t>
  </si>
  <si>
    <t>11.3.6. Diseñar y fomentar instrumentos financieros para compra de leche en picos de producción.</t>
  </si>
  <si>
    <t>11.3.7. Diseñar e implementar instrumentos financieros preferenciales y prioritarios para los productores, procesadores y comercializadores vinculados a los POP adoptados como política pública.</t>
  </si>
  <si>
    <t>EE3. Compromiso ambiental</t>
  </si>
  <si>
    <t>OE9. Fortalecer la gestión climática en la cadena</t>
  </si>
  <si>
    <t>12. Fortalecimiento de la gestión climática en la cadena láctea</t>
  </si>
  <si>
    <t xml:space="preserve">12.1. Fortalecimiento de instrumentos para la gestión climática en la cadena láctea </t>
  </si>
  <si>
    <t>Puntualmente para la ganadería colombiana, en los últimos años se han desarrollado diferentes acciones y medidas tendientes a gestionar la mitigación de las emisiones de GEI ; igualmente se ha promovido y avanzado en la implementación de sistemas de producción ganaderos más sostenibles, a través de mejoras en la nutrición, en la gestión de los residuos, en el uso de forrajes más adecuados, en la implementación de sistemas silvopastoriles –SSP, entre otras medidas; sin embargo es un hecho que para la ganadería bovina y los sistemas de producción de leche, las diferentes acciones implementadas hasta el momento, para adaptarse a la variabilidad climática, a la estacionalidad en la producción y para reducir las emisiones de GEI, son insuficientes.</t>
  </si>
  <si>
    <t xml:space="preserve">La ganadería bovina ha contribuido a mitigar los efectos del cambio climático, disminuyendo las emisiones de GEI (nota al pie 87) y contribuyendo de manera importante en la captura de carbono. La adecuada capacitación y entrenamiento de los productores de leche, tanto de trópico alto como de trópico bajo, ha permitido la implementación de tecnologías y prácticas para la conservación y restauración de bosques ecosistemas naturales en predios ganaderos, la reducción considerable de la fermentación entérica, y la mejora en la gestión del estiércol y el establecimiento de acueductos ganaderos, entre otras. </t>
  </si>
  <si>
    <t>1. Servicio de apoyo técnico para la implementación de acciones de mitigación y adaptación al cambio climático
2. Servicio de promoción y divulgación del sello ambiental ganadero.
3. Documentos técnicos para la cadena</t>
  </si>
  <si>
    <t>12.1.1. Promover la implementación de las Acciones Nacionalmente Apropiadas de Mitigación - NAMA de ganadería bovina sostenible, relacionadas con la cadena láctea, en las zonas priorizadas para su desarrollo.</t>
  </si>
  <si>
    <t>MinAgricultura y MinAmbiente (Entidades líderes);
ICA, INVIMA, Gremios de la Cadena Láctea Bovina, Productores, Comercializadores y Procesadores de Leche.</t>
  </si>
  <si>
    <t>12.1.2. Socializar y divulgar los procesos para la obtención del sello ambiental ganadero, en los predios con producción de leche y fortalecer la continuidad en su desarrollo y consolidación a lo largo de la cadena láctea.</t>
  </si>
  <si>
    <t>12.2. Escalamiento de modelos de producción sostenibles ambientalmente, eficientes y rentables</t>
  </si>
  <si>
    <t xml:space="preserve">La alta vulnerabilidad de la ganadería a la variabilidad y cambio climático, presente en el eslabón productor, tiene efectos negativos asociados a fenómenos climáticos extremos; según reportes gremiales en el 2018 se generaron afectaciones a 377.417 animales y el desplazamiento de cerca de cinco millones de cabezas de ganado.
Con respecto a las emisiones de carbono en el país y específicamente para el caso de la ganadería, estás son del orden del 34% con respecto al total de la agricultura, silvicultura y otros usos del suelo ; al promediar los últimos 45 años, el país ocupa el puesto 16 a nivel mundial en emisiones de GEI generadas por la actividad ganadera. 
Con algunos proyectos como, el de Ganadería Colombiana Sostenible , se confirmó que la principal limitación, especialmente para la implementación de los SSP especialmente los de tipo intensivo, son los altos costos iniciales y el desconocimiento de los ganaderos sobre estos sistemas. </t>
  </si>
  <si>
    <t xml:space="preserve">La especialización de los sistemas de producción para cada región lechera ha permitido que la relación entre la demanda de los recursos naturales requeridos para la actividad ganadera esté acorde con la oferta local, mejorando su desempeño productivo. El trabajo colaborativo entre ganaderos, industriales, centros de investigación, universidades y entidades financieras, en torno a una mayor implementación de los sistemas silvopastoriles y praderas mejoradas (nueva nota al pie 88), permitió el desarrollo de modelos de producción más rentables (nota al pie 89 se elimina) , que se caracterizan por una menor inversión inicial y por ser acordes con la oferta ambiental de cada región. Estos modelos han sido transferidos exitosamente a los productores de leche, gracias a los instrumentos técnicos y financieros que vienen apoyando su implementación y han contribuido a la disminución de los costos de producción.  
</t>
  </si>
  <si>
    <t>1. Servicio de extensión agropecuario para la cadena láctea
2. Servicio de promoción y divulgación de modelos de producción sostenibles
3. Servicio de apoyo financiero para proyectos productivos sostenibles
4. Servicio de monitoreo para la cadena láctea</t>
  </si>
  <si>
    <t>12.2.1. Identificar y caracterizar los modelos, prácticas y tecnologías de producción de leche, rentables y adaptados al clima, acorde con las especificidades de las regiones lecheras.</t>
  </si>
  <si>
    <t>MinAgricultura y MinAmbiente (Entidades líderes);
 ADR, UPRA, Agrosavia, IDEAM, CAR, Universidades, Finagro, CNL, Entidades Territoriales, Gremios de la Cadena Láctea Bovina, Productores, Comercializadores y Procesadores de Leche.</t>
  </si>
  <si>
    <t>12.2.2. Fortalecer las capacidades de los extensionistas y los productores de leche, en el análisis y uso de los sistemas que disponen de información agroclimática.</t>
  </si>
  <si>
    <t>12.2.3. Promover y divulgar las medidas básicas y complementarias para establecer un sistema ganadero sostenible, incluyendo las buenas prácticas aplicables a la producción de leche (BPA, BPG, BPO), mediante escuelas de campo, predios demostrativos, asistencia productor a productor, entre otros.</t>
  </si>
  <si>
    <t xml:space="preserve">12.2.4. Realizar el acompañamiento técnico y financiero a los productores de leche, para el desarrollo de planes prediales y la implementación de modelos de producción sostenibles acordes con las características de las regiones lecheras y teniendo en cuenta tanto los avances en I+D+i en materia de sostenibilidad ambiental para la actividad productiva, como en el posicionamiento de productos lácteos diferenciados en el mercado nacional e internacional. </t>
  </si>
  <si>
    <t>12.2.5. Realizar capacitaciones a los productores de leche, sobre los procesos de certificación ambiental, sellos verdes, entre otros, permitiendo evaluar la relación costo beneficio en la obtención de estos.</t>
  </si>
  <si>
    <t>12.2.6. Fomentar el acceso de los productores de leche a instrumentos de reconocimiento económico por los servicios ambientales generados (mercados de carbono, bonos verdes, PSA, entre otros).</t>
  </si>
  <si>
    <t xml:space="preserve">12.2.7. Monitorear los impactos ambientales, sociales y económicos de la implementación de modelos de producción sostenibles. </t>
  </si>
  <si>
    <t>OE10. Mejorar la gestión ambiental en la cadena.</t>
  </si>
  <si>
    <t>13. Promoción de la conservación del agua y suelo en las regiones lecheras</t>
  </si>
  <si>
    <t>13.1. Fomento del desarrollo de procesos orientados hacia la gestión y conservación del agua, asociada a la actividad productiva</t>
  </si>
  <si>
    <t>Los datos indican que los pastos representan el 25% del total de la demanda hídrica agrícola, el 27% del total de la huella hídrica azul agrícola y el 82% del total de la huella hídrica verde agrícola en el país.  En términos generales para producir un litro de leche se requieren entre 1,6 y 2 m³ de agua , donde el mayor porcentaje está destinado para forrajes; estos indicadores señalan una correlación negativa entre la productividad y la huella hídrica. 
Otro aspecto que afecta la adecuada gestión, principalmente, del agua, es la debilidad en la coordinación institucional a nivel nacional y local de algunas entidades que otorgan permisos y vigilan la gestión del recurso. Es así que en algunas zonas las autoridades locales son muy estrictas con algunos sectores productivos, mientras que a otros sectores les permiten un mayor uso del agua y menores controles por parte ciertas autoridades de orden nacional. También afecta al recurso hídrico la desarticulación de los usuarios, incluidos los productores ganaderos, entorno a una buena gestión colectiva del agua de las cuencas hidrográficas.</t>
  </si>
  <si>
    <t xml:space="preserve">...la actividad ganadera se desarrolla exclusivamente al interior de la frontera agrícola. Este desarrollo reconoce las condiciones biofísicas, socioecosistémicas y socioeconómicas que no solo contribuyen con el incremento en la productividad, sino también con la disminución de conflictos ambientales y sociales que giren en torno a la actividad productiva. Así mismo, este aumento en la producción viene generando la liberación de áreas en pastos dedicadas a la ganadería, lo que ha permitido que estos reduzcan su huella hídrica verde a un 72%. 
El fortalecimiento de la coordinación entre los actores con influencia en las regiones lecheras, alrededor de una gestión más responsable de los recursos agua y suelo, han contribuido a que las buenas prácticas ambientales sean las mejores aliadas para el logro de los objetivos económicos de la producción de leche. La amplia implementación de sistemas silvopastoriles, y de prácticas de conservación de agua y suelo, entre otras medidas, han favorecido la disminución de los costos de producción por litro de leche y el aumento de la productividad por área.
Se dieron importantes avances en el mejoramiento de los sistemas de riego asociados a la producción lechera, para el manejo de praderas. Los actores mejor informados y más conscientes dimensionan de forma más precisa la demanda hídrica de su actividad productiva y prefieren el uso de tecnologías y herramientas orientadas a generar una menor huella hídrica. Las autoridades ambientales vinculadas en la gestión y aprovechamiento del recurso hídrico dan un mayor soporte para su eficiente uso. </t>
  </si>
  <si>
    <t>1. Documentos de lineamientos técnicos para la gestión integral del recurso hídrico
2. Servicio de extensión agropecuaria relacionada con calidad, planificación y usos del recurso hídrico
3. Documentos técnicos para la cadena láctea
4. Servicio de apoyo para la gestión eficiente y sostenible del agua</t>
  </si>
  <si>
    <t>13.1.1. Realizar un diagnóstico de la disponibilidad y capacidad de regulación del agua, en las regiones lecheras, así como priorizar zonas estratégicas para implementar iniciativas de conservación y recuperación.</t>
  </si>
  <si>
    <t xml:space="preserve">MinAgricultura y MinAmbiente (Entidades líderes);
CAR, Entidades Territoriales, Gremios de la Cadena Láctea Bovina, Productores, Comercializadores y Procesadores de Leche. </t>
  </si>
  <si>
    <t>13.1.2. Fortalecer la gestión colectiva del agua, promoviendo la articulación de las autoridades vinculadas a su uso y manejo, la aplicación de la normatividad y los mecanismos para la resolución de conflictos a nivel local.</t>
  </si>
  <si>
    <t>13.1.3. Promover la implementación de estrategias participativas de planificación comunitaria, dirigidas a la conservación del agua, en los paisajes ganaderos.</t>
  </si>
  <si>
    <t>13.1.4. Promover mecanismos financieros y no financieros dirigidos al aumento de la capacidad de captación, almacenamiento y aprovechamiento del agua, acordes con las regiones lecheras para soluciones individuales o colectivas.</t>
  </si>
  <si>
    <t>13.1.5. Elaborar un diagnóstico de las demandas de agua en las plantas de procesamiento y los centros de acopio de leche.</t>
  </si>
  <si>
    <t xml:space="preserve">
13.1.6. Realizar acompañamiento técnico y financiero para transferir conocimientos y tecnologías requeridas en el uso eficiente y sostenible del agua, dentro de los procesos de producción y procesamiento de leche.</t>
  </si>
  <si>
    <t>OE10. Mejorar la gestión ambiental en la cadena</t>
  </si>
  <si>
    <t>13.2. Promoción de procesos de conservación de los ecosistemas naturales y los paisajes ganaderos</t>
  </si>
  <si>
    <t>Con respecto al suelo, la baja implementación de las practicas adecuadas para manejar y conservar este recurso, por parte de los productores ganaderos, se refleja, principalmente, en efectos negativos para el suelo como, el pisoteo, la compactación, la disminución de infiltración y retención de agua, la dificulta de penetración de raíces, la excesiva acumulación de nutrientes por las cargas de estiércol, la susceptibilidad a la erosión con la perdida de estructura, fertilidad y la productividad de los suelos. Se resalta que entre las prácticas poco implementadas para manejar y conservar los suelos, está el bajo establecimiento de sistemas silvopastoriles presentando coberturas mínimas respecto al área total de pastos y un bajo alcance de beneficiarios.
Por otra parte sobre el uso del suelo, el 46% de las UPAs ganaderas con orientación lechera (148.807 UPAs con un área de 7.452.733 hectáreas) se encuentran en zonas no aptas para la actividad , lo que se refleja en bajas productividades de la actividad.  
Además la ubicación de las UPAs ganaderas con orientación lechera en zonas no aptas, evidencia la presencia en áreas condicionadas para la actividad, concretamente cerca del 22,4% de UPAs lecheras se encuentra superpuestas con áreas de interés ambiental como Reservas de la biosfera, Humedales, Distritos de Manejo Integrado, Zonas de Reserva Forestal declaradas mediante la ley 2da de 1959, AICAS entre otras, ubicadas en los departamentos de Cauca, Santander, Huila, Meta, Magdalena, Antioquia y Bolívar, principalmente. De igual manera existe un 9% de UPAs lecheras sobrepuestas en áreas con exclusiones ambientales para la actividad ganadera y presencia en ecosistema de páramos, en zonas de reserva forestal, en parques nacionales naturales y parques naturales regionales, entre otras, principalmente ubicadas en los departamentos de Boyacá, Nariño, Antioquia, Cundinamarca, Santander y Cauca.</t>
  </si>
  <si>
    <t>Las regiones lecheras se caracterizan por contar con un número creciente de áreas en bosques y otras coberturas naturales, siendo los predios ganaderos líderes en destinar áreas para conservación, lo que ha favorecido la preservación de la biodiversidad, la protección de ecosistemas frágiles, como páramos, humedales y rondas de los ríos y la disminución de áreas degradadas.
El fortalecimiento de la coordinación entre los actores con influencia en las regiones lecheras, alrededor de una gestión más responsable de los recursos agua y suelo, han contribuido a que las buenas prácticas ambientales sean las mejores aliadas para el logro de los objetivos económicos de la producción de leche. La amplia implementación de sistemas silvopastoriles, y de prácticas de conservación de agua y suelo, entre otras medidas, han favorecido la disminución de los costos de producción por litro de leche y el aumento de la productividad por área.</t>
  </si>
  <si>
    <t>1. Servicio de extensión agropecuaria para la cadena láctea
2. Servicio apoyo financiero para la conservación del suelo
3. Servicio de promoción de la articulación para la cadena láctea</t>
  </si>
  <si>
    <t xml:space="preserve">13.2.1. Socializar y divulgar la normatividad relacionada con los páramos y las áreas protegidas especiales, que se encuentren vinculados a la producción de leche. </t>
  </si>
  <si>
    <t>MinAgricultura y MinAmbiente (Entidades líderes);
 CAR, Entidades Territoriales, Productores, Comercializadores y Procesadores de Leche, Gremios de la Cadena Láctea Bovina.</t>
  </si>
  <si>
    <t>13.2.2. Fortalecer la articulación entre las entidades vinculadas al uso y manejo del suelo, para la aplicación de mecanismos de resolución de conflictos a nivel local.</t>
  </si>
  <si>
    <t>13.2.3. Promover la implementación de estrategias de planificación comunitaria, dirigidas a la conservación y restauración de los ecosistemas naturales, en los paisajes ganaderos.</t>
  </si>
  <si>
    <t>13.2.4. Realizar acompañamiento técnico a las comunidades para la implementación de prácticas de recuperación de coberturas y áreas degradadas, en los predios con producción de leche.</t>
  </si>
  <si>
    <t>13.2.5. Divulgar los mecanismos financieros y no financieros, para la conservación de áreas boscosas, en los paisajes ganaderos.</t>
  </si>
  <si>
    <t>13.2.6. Monitorear los procesos de conservación de los ecosistemas naturales y los paisajes ganaderos, teniendo en cuenta la información disponible sobre la trazabilidad pecuaria.</t>
  </si>
  <si>
    <t>14. Mejora de la gestión de residuos y el uso de energías alternativas</t>
  </si>
  <si>
    <t>14.1. Mejora de la gestión de residuos, en la producción de leche</t>
  </si>
  <si>
    <t xml:space="preserve">El recurso hídrico también se afecta por la transformación de ecosistemas como páramos, humedales y rondas, en parte por el establecimiento de pasturas para la ganadería y por la contaminación hídrica por aguas residuales y estiércoles producidos por el ganado. </t>
  </si>
  <si>
    <t>Así mismo, tanto en la producción primaria como en la industria procesadora se han venido adoptando energías alternativas con menor impacto ambiental que las de origen fósil y se ha reducido al mínimo el desperdicio de leche y productos lácteos, siendo estos entre otros, varios de los criterios de decisión de los actuales consumidores.</t>
  </si>
  <si>
    <t>1. Documentos técnicos para la cadena láctea
2. Servicios de apoyo para el fomento de capacidades en economía circular y sostenibilidad
3. Servicio de apoyo financiero para la gestión de residuos
4. Servicio de monitoreo para la cadena láctea</t>
  </si>
  <si>
    <t>14.1.1. Promover y divulgar alternativas y esquemas de manejo de residuos originados en la producción de leche a nivel intrapredial, según su tipología: sólidos, líquidos, olores ofensivos o peligrosos, entre otros, y su grado de impacto en el ambiente.</t>
  </si>
  <si>
    <t>MinAgricultura y MinAmbiente (Entidades líderes);
ADR, Finagro, SENA, Gremios de la Cadena Láctea Bovina. Productores, Comercializadores y Procesadores de Leche, SENA.</t>
  </si>
  <si>
    <t>14.1.2. Realizar acompañamiento técnico y financiero a los productores de leche, para la mejora de los procesos de aprovechamiento de los residuos orgánicos (compostaje, biometanización, potencial energético).</t>
  </si>
  <si>
    <t xml:space="preserve">14.1.3. Identificar y socializar mecanismos para la gestión de residuos de envases y empaques, en la producción de leche, desde su fabricación hasta su disposición final.  </t>
  </si>
  <si>
    <t>14.1.4. Monitorear los impactos ambientales, sociales y económicos de la implementación de prácticas e inversiones en economía circular para el manejo de residuos en la producción de leche.</t>
  </si>
  <si>
    <t xml:space="preserve">
14.2. Mejora de la gestión de los residuos en el procesamiento de leche
</t>
  </si>
  <si>
    <t>Así mismo la industria láctea con el inadecuado manejo de residuos y vertimientos contamina la fuentes hídricas</t>
  </si>
  <si>
    <t xml:space="preserve">De otro lado, se avanzó en la gestión eficiente de los residuos a lo largo de la cadena. Además de incorporar prácticas para el manejo de residuos en la producción de leche, se dieron importantes logros en la innovación de productos a partir del lactosuero, contribuyendo a la disminución de los vertimientos generados en el procesamiento de la leche y a la creación de valor para la cadena y en especial para el consumidor. Así mismo, los envases y empaques han sido objeto de desarrollos tecnológicos, que vienen brindando características diferenciales a los productos lácteos por identificar e incorporar alternativas más amigables con el ambiente, y se viene dando cumplimiento a la normatividad en materia de gestión de residuos de envases y empaques.(Nota al pie). De igual forma, tanto en la producción primaria como en la industria procesadora se han venido adoptando energías alternativas con menor impacto ambiental que las de origen fósil y se ha reducido al mínimo el desperdicio de leche y productos lácteos, siendo estos entre otros, varios de los criterios de decisión de los actuales consumidores. 
Nota al pie: De acuerdo con la resolución 1407 de 2018 del MADS, para el 2030 se establece una meta del 30% de aprovechamiento de residuos de envases y empaques de papel, cartón, plástico, vidrio y metal.  </t>
  </si>
  <si>
    <t xml:space="preserve">14.2.1. Promover la formación de capital humano especializado en manejo ambiental, asociado a plantas de procesamiento de leche. </t>
  </si>
  <si>
    <t xml:space="preserve">MinAgricultura y MinAmbiente (Entidades líderes);
ADR, Finagro, SENA, Gremios de la Cadena Láctea Bovina, Productores, Comercializadores y Procesadores de Leche. </t>
  </si>
  <si>
    <t>14.2.2. Realizar el acompañamiento técnico y financiero a las MiPymes lácteas en la mejora de la gestión ambiental, a partir de los avances y desarrollos tecnológicos en este aspecto.</t>
  </si>
  <si>
    <t>14.2.3. Promover mecanismos de financiación y cofinanciación, para mejorar la infraestructura requerida en el tratamiento de aguas residuales</t>
  </si>
  <si>
    <t>14.2.4. Monitorear los impactos ambientales, sociales y económicos de la implementación de prácticas e inversiones, para el manejo de residuos en el procesamiento de leche.</t>
  </si>
  <si>
    <t xml:space="preserve">
14.3. Promoción del aprovechamiento y valorización del lactosuero </t>
  </si>
  <si>
    <t>Así mismo la industria láctea con el inadecuado manejo de residuos y vertimientos contamina la fuentes hídricas; uno de los principales efluentes líquidos generados en la industria láctea es el suero, según datos del 2013 en Colombia el 70% de lactosuero fue destinado a alimentación animal o vertido como efluente liquido; un vez desechado el suero se convierte en un producto fuertemente contaminante ; con lo cual no solo se genera un problema ambiental sino que se está desperdiciando un producto que contiene gran cantidad de nutrientes y múltiples alternativas de innovación.</t>
  </si>
  <si>
    <t xml:space="preserve">De otro lado, se avanzó en la gestión eficiente de los residuos a lo largo de la cadena. Además de incorporar prácticas para el manejo de residuos en la producción de leche, se dieron importantes logros en la innovación de productos a partir del lactosuero, contribuyendo a la disminución de los vertimientos generados en el procesamiento de la leche y a la creación de valor para la cadena y en especial para el consumidor. Así mismo, los envases y empaques han sido objeto de desarrollos tecnológicos, que vienen brindando características diferenciales a los productos lácteos por identificar e incorporar alternativas más amigables con el ambiente, y se viene dando cumplimiento a la normatividad en materia de gestión de residuos de envases y empaques.(Nota al pie). De igual forma, tanto en la producción primaria como en la industria procesadora se han venido adoptando energías alternativas con menor impacto ambiental que las de origen fósil y se ha reducido al mínimo el desperdicio de leche y productos lácteos, siendo estos entre otros, varios de los criterios de decisión de los actuales consumidores. 
Nota al pie: De acuerdo con la resolución 1407 de 2018 del MADS, para el 2030 se establece una meta del 30% de aprovechamiento de residuos de envases y empaques de papel, cartón, plástico, vidrio y metal. </t>
  </si>
  <si>
    <t>1. Servicio de transferencia de conocimiento y tecnología para la industria láctea
2. Servicio de apoyo para el aprovechamiento del lactosuero
3.Servicio de monitoreo para la cadena láctea</t>
  </si>
  <si>
    <t>14.3.1. Promover y divulgar los desarrollos tecnológicos para aprovechar y valorizar el lactosuero, a partir de los avances en investigación, desarrollo e innovación en aspectos ambientales y lácteos diferenciados.</t>
  </si>
  <si>
    <t>MinAgricultura y MinAmbiente (Entidades líderes); 
CAR, CCR, Universidades, Gremios de la Cadena Láctea Bovina, Productores, Comercializadores y Procesadores de Leche.</t>
  </si>
  <si>
    <t>14.3.2. Realizar el acompañamiento técnico y financiero a las MiPymes lácteas, en la implementación de procesos y tecnologías para aprovechar y valorizar el lactosuero, a partir de los avances en investigación, desarrollo e innovación en aspectos ambientales y lácteos diferenciados.</t>
  </si>
  <si>
    <t>14.3.3. Monitorear los impactos ambientales, sociales y económicos de la implementación de desarrollos tecnológicos para aprovechar y valorizar el lactosuero.</t>
  </si>
  <si>
    <t xml:space="preserve">
14.4. Promoción de la gestión integral de residuos de envases y empaques </t>
  </si>
  <si>
    <t>1. Servicio de promoción y divulgación de la normatividad sobre la gestión ambiental de envases y empaques
2. Servicio de apoyo para recuperación de envases y empaques
3.Servicio de monitoreo para la cadena láctea</t>
  </si>
  <si>
    <t>14.4.1. Realizar capacitaciones a la industria láctea sobre la implementación de la normatividad aplicable a la gestión ambiental de los residuos de envases y empaques y el posconsumo de estos.</t>
  </si>
  <si>
    <t>MinAmbiente (Entidad líder); 
ANLA, MinAgricultura, CCR, Entidades Territoriales, Gremios de la Cadena Láctea Bovina, Productores, Comercializadores y Procesadores de Leche.</t>
  </si>
  <si>
    <t>14.4.2. Realizar el acompañamiento técnico y financiero a las MiPymes lácteas, en la implementación de la normatividad aplicable a la gestión ambiental de los residuos de envases y empaques y el posconsumo de estos.</t>
  </si>
  <si>
    <t xml:space="preserve">14.4.3. Promover y divulgar iniciativas de ecodiseño de envases y empaques para la leche y derivados lácteos, a partir de los avances en investigación, desarrollo e innovación en aspectos ambientales. </t>
  </si>
  <si>
    <t>14.4.4. Desarrollar mecanismos de monitoreo de los impactos ambientales, sociales y económicos en la implementación de la normatividad para la gestión ambiental de residuos de envases y empaques, en la industria láctea.</t>
  </si>
  <si>
    <t xml:space="preserve">
14.5. Promoción de la utilización de energías alternativas en la cadena láctea</t>
  </si>
  <si>
    <t>1. Documentos técnicos para la cadena láctea 
2. Servicio de promoción y divulgación de energías alternativas
3. Servicio de apoyo para incorporación de energías alternativas
4. Servicio de monitoreo para la cadena láctea</t>
  </si>
  <si>
    <t>14.5.1. Identificar y divulgar los avances tecnológicos en energías alternativas, aplicables a la cadena láctea.</t>
  </si>
  <si>
    <t xml:space="preserve">MinAgricultura, MinAmbiente, MinEnergia y la UPME 
(Entidades líderes); 
Finagro, SENA, CCR, Gremios de la Cadena Láctea Bovina, Productores, Comercializadores y Procesadores de Leche.
</t>
  </si>
  <si>
    <t>14.5.2. Realizar acompañamiento técnico para impulsar la incorporación de tecnologías orientadas al uso de energías alternativas, en el proceso de producción de leche.</t>
  </si>
  <si>
    <t>14.5.3. Promover mecanismos de financiación y cofinanciación, para mejorar la infraestructura requerida para la incorporación de energías alternativas en la cadena láctea.</t>
  </si>
  <si>
    <t>14.5.4. Monitorear los impactos ambientales, sociales y económicos de la implementación de energías alternativas en la cadena láctea.</t>
  </si>
  <si>
    <t>EE4. Institucionalidad</t>
  </si>
  <si>
    <t>OE11. Mejorar la gestión de la información</t>
  </si>
  <si>
    <t>15. Mejora de la gestión de la información</t>
  </si>
  <si>
    <r>
      <t xml:space="preserve">15.1. Diseño y operación del observatorio de la cadena láctea
</t>
    </r>
    <r>
      <rPr>
        <strike/>
        <sz val="10"/>
        <color rgb="FF990000"/>
        <rFont val="Arial"/>
        <family val="2"/>
      </rPr>
      <t/>
    </r>
  </si>
  <si>
    <t>Entre las debilidades que restan efectividad a la institucionalidad del sector lácteo, se encuentra la inadecuada gestión de la información, presentando ciertas deficiencias en la generación de datos estadísticos, en la calidad, oportunidad, disponibilidad, problemas de asimetría y dispersión de las fuentes. Se ha identificado que los vacíos de información están presentes a lo largo de la cadena y tienen efectos negativos en cada uno de los eslabones, limitando así al sector público y privado en el manejo y monitoreo de los datos, afectando la toma de decisiones empresariales y de política sectorial y en consecuencia el desempeño y competitividad de la cadena. 
La misma situación se tiene con el levantamiento, organización y procesamiento de la información que da cuenta de las dinámicas sobre el precio de la tierra y el costo del arriendo en los predios con actividad lechera; mostrando así las debilidades de la institucionalidad tanto pública como privada para integrar información que brinde transparencia al mercado de tierras rurales agropecuarias, lo que se identifica como un desafío cuando se habla del ordenamiento productivo y social de la cadena.</t>
  </si>
  <si>
    <t>La gestión de la información del sector lácteo ha mejorado con el observatorio de la cadena, integrando distintas fuentes de información y realizando importantes estudios técnicos. Este observatorio, constituido hace varios años, genera y recopila grandes volúmenes de información, que se caracteriza por ser precisa, objetiva, creíble, relevante, completa, con valor agregado y oportuna. La consolidación estandarizada de la información ha contribuido al fortalecimiento de la investigación, revisión, descripción, caracterización, evaluación y discusión de los aspectos de interés para la cadena.
Así mismo, el observatorio se encarga de realizar actividades de monitoreo, que recopilan de manera permanente información esencial y oportuna, aportando elementos para determinar la efectividad de las acciones que enmarcan el desarrollo y desempeño competitivo de la cadena láctea colombiana. 
.</t>
  </si>
  <si>
    <t>1. Servicios tecnológicos para el observatorio de la cadena láctea
2. Servicio de información del observatorio para la cadena láctea
3. Boletines técnicos, Bases de datos, Cuadros de resultados
4. Servicio de monitoreo de la información para la cadena láctea</t>
  </si>
  <si>
    <t xml:space="preserve">MinAgricultura (Entidad líder);
 DANE, UPRA, DNP, ICA, INVIMA, Agrosavia, ANT, Gremios de la Cadena Láctea Bovina, Entidades Territoriales, SAD, CCR y Universidades.
</t>
  </si>
  <si>
    <t>15.2. Desarrollo de estudios y caracterizaciones para la formulación y seguimiento de los instrumentos de política</t>
  </si>
  <si>
    <t>...de igual forma se originan rezagos importantes entre la captura, la publicación y la actualización de los datos, aspectos que influyen en la oportunidad de la información para ser empleada con propósitos empresariales o de política pública.</t>
  </si>
  <si>
    <t xml:space="preserve">La planeación sectorial de la cadena láctea se apoya en información confiable que ha sido esencial para la toma de decisiones estratégicas. </t>
  </si>
  <si>
    <t>1. Documentos de lineamientos técnicos para la cadena láctea 
2. Documentos de planeación para la cadena láctea</t>
  </si>
  <si>
    <t>15.2.1. Realizar un estudio del mercado nacional e internacional de productos lácteos, con énfasis en lácteos diferenciados, diseñando y poniendo en marcha un sistema de actualización de información sobre el comportamiento de la demanda de leche y productos lácteos.</t>
  </si>
  <si>
    <t>MinAgricultura, CNL y MinAmbiente (Entidades líderes); 
MinComercio, MinSalud, INVIMA, ICA, CAR, CCR, Entidades Territoriales, Gremios de la Cadena Láctea Bovina, Productores, Comercializadores y Procesadores de leche.</t>
  </si>
  <si>
    <t>15.2.2. Caracterizar a nivel subregional de la producción, comercialización y procesamiento de leche, identificando la situación de formalidad empresarial, laboral y ambiental en la cadena láctea, informalidad en la producción, procesamiento y comercialización de la leche y sus derivados lácteos, identificando necesidades de formación básica y técnica de productores, procesadores y comercializadores de leche, elaborando análisis de los diferentes sistemas productivos de leche, del estado de las organizaciones de economía solidaria, esquemas asociativos y de integración vertical y horizontal, e identificando casos y modelos exitosos, y núcleos actuales y potenciales para el desarrollo del sector.</t>
  </si>
  <si>
    <t>15.2.3. Elaborar estudios sobre la productividad y competitividad de la cadena láctea a nivel regional y nacional, estableciendo estructura de  de costos e indicadores de eficiencia en la producción de leche, el transporte y almacenamiento de leche cruda, así como en fabricación, distribución y comercialización de productos lácteos.</t>
  </si>
  <si>
    <t xml:space="preserve">15.2.4. Realizar estudios para la estimación de la huella de carbono y huella hídrica de la cadena láctea, contribuyendo a fortalecer los procesos orientados a la reducción de emisiones de GEI. </t>
  </si>
  <si>
    <t>15.2.5. Caracterizar la situación actual y las potencialidades de la economía circular y del uso de energías alternativas, en la producción de leche y la fabricación de productos lácteos</t>
  </si>
  <si>
    <t xml:space="preserve">15.2.6. Realizar un estudio técnico-científico para la identificación y caracterización de productos lácteos diferenciados actuales y potenciales que se pueden producir en Colombia. </t>
  </si>
  <si>
    <t>OE12. Fortalecer la gestión normativa aplicable a la cadena</t>
  </si>
  <si>
    <t>16. Evaluación y actualización de la normatividad aplicable a la cadena</t>
  </si>
  <si>
    <t>16.1. Evaluación y actualización de la normatividad de los reglamentos técnicos de la leche y derivados lácteos y demás normatividad asociada a la calidad e inocuidad en la cadena láctea.</t>
  </si>
  <si>
    <t xml:space="preserve">La desactualización normativa retrasa el desarrollo y la innovación en la cadena láctea y limita las posibilidades del crecimiento, un claro ejemplo son los reglamentos técnicos de la leche y de los derivados lácteos, como lo es el Decreto 616 en 2006 , con casi 15 años de expedición sin ninguna actualización, limitando la capacidad de las autoridades para consolidar procesos de aseguramiento de la calidad en la producción, acopio y transporte de leche; así como la Resolución 2310 en 1986 , mantiene parámetros y tecnologías para la fabricación de productos lácteos de hace más de 30 años, lo que frena el desarrollo industrial y la innovación.
Se identifican también vacíos normativos en la reglamentación de alimentos y derivados lácteos (…),. Igualmente se requieren normas para el etiquetado, y otras referidas a brindar información al consumidor sobre contenidos y riesgos de algunas sustancias en los productos lácteos. 
</t>
  </si>
  <si>
    <t>La normativa relacionada con la producción y el procesamiento de la leche es objeto periódico de revisión y ajuste; logrando que el marco regulatorio del sector sea actualizado y esté acorde con los cambios registrados en el sector agroindustrial y comercial, y en el ámbito nacional e internacional; esto se evidencia en la actualización periódica de los reglamentos técnicos de la leche y derivados lácteos, lo que ha contribuido al fortalecimiento del desarrollo industrial, la innovación de productos lácteos y el crecimiento del consumo.</t>
  </si>
  <si>
    <t>1. Documentos normativos para la cadena láctea actualizados
2. Servicio de seguimiento y monitoreo</t>
  </si>
  <si>
    <t>16.1.1. Revisar y analizar los avances y proyectos de modificación de los reglamentos técnicos de la leche y derivados lácteos (Decreto 616 de 2006, la Resolución 2310 de 1986 y otras normas relacionadas),  incluyendo la protección y formalización de los productos lácteos artesanales.</t>
  </si>
  <si>
    <t>MinAgricultura y CNL (Entidades líderes), 
ICA, INVIMA, MinSalud, MinComercio, Gremios de la Cadena Láctea Bovina.</t>
  </si>
  <si>
    <t>16.1.2. Concertar y establecer un plan de actividades y tiempos para realizar la actualización periódica de los reglamentos técnicos y demás normatividad asociada a la inocuidad en la cadena láctea.</t>
  </si>
  <si>
    <t>16.1.3. Elaborar y concertar los nuevos proyectos de modificación de los reglamentos técnicos y demás normatividad asociada a la inocuidad en la cadena láctea, con actores públicos y privados, en la mesa técnica del CNL.</t>
  </si>
  <si>
    <t>16.1.4. Presentar los proyectos de modificación de los reglamentos técnicos y otras normas asociadas a la inocuidad en la cadena láctea, ante el Ministerio de Salud y Protección Social, para puesta en consulta pública.</t>
  </si>
  <si>
    <t>16.1.5. Realizar el seguimiento al proceso de consulta pública, de los proyectos de modificación de los reglamentos técnicos y otras normas asociadas a la inocuidad en la cadena láctea.</t>
  </si>
  <si>
    <t>16.1.6. Desarrollar  normas técnicas para definir estándares de calidad para la producción y comercialización de forrajes conservados y subproductos agrícolas de interés para alimentación bovina.</t>
  </si>
  <si>
    <t>16.1.7. Expedir la nueva normativa (reglamentos técnicos, normas técnicas entre otros) y realizar el seguimiento y evaluación a su implementación, para generar alertas e insumos para su actualización.</t>
  </si>
  <si>
    <t xml:space="preserve">
16.2. Evaluación y actualización del sistema de pago de leche cruda 
</t>
  </si>
  <si>
    <t>Otro caso que evidencia las deficiencias en el cumplimiento de la normatividad, se da en la regulación del precio pagado al proveedor de leche cruda; esta norma es bastante controversial para el sector lácteo mientras que para algunos la regulación es claramente una barrera para promover las inversiones y para la formalización en el sector, para otros es fundamental mantener una regulación del precio, para que el ganadero pueda subsistir. Independiente de lo anterior, es claro que los escenarios de libre comercio en el mercado interno facilitarán el ingreso de una mayor cantidad de lácteos importados, lo que amenaza la comercialización de leche cruda a nivel nacional.</t>
  </si>
  <si>
    <t>La actualización normativa ha respondido a la realidad productiva y a la dinámica del mercado, propiciando la creación de mecanismos que estimulan a los compradores y procesadores de leche cruda a garantizar los estándares exigidos de sanidad e inocuidad para la leche y los productos lácteos.</t>
  </si>
  <si>
    <t>16.2.1. Realizar un estudio técnico sobre el funcionamiento del mercado de la leche cruda y los productos lácteos en Colombia, y de los instrumentos relacionados con la estabilización del mercado de leche y productos lácteos.</t>
  </si>
  <si>
    <t>MinAgricultura y CNL (Entidades líderes); 
Agrosavia, SIC, y Gremios de la Cadena Láctea Bovina</t>
  </si>
  <si>
    <t>16.2.2. Evaluar el sistema de pago de leche cruda en Colombia y analizar propuestas para proyectar el funcionamiento del sistema de pago de leche cruda, acordes con la dinámica del mercado, y teniendo en cuenta la inclusión de nuevas variables para la liquidación del pago (p. ej: recuento de células somáticas, pago por gramos de sólidos útiles, etc.) y atendiendo los retos de sostenibilidad y competitividad para la cadena láctea colombiana.</t>
  </si>
  <si>
    <t>16.2.3. Analizar al interior del CNL las propuestas de funcionamiento del sistema de pago de leche cruda y presentar al MinAgricultura las respectivas conclusiones y recomendaciones sobre su actualización.</t>
  </si>
  <si>
    <t>17. Fortalecimiento de las autoridades sanitarias del Sistema de IVC</t>
  </si>
  <si>
    <t>17.1. Fortalecimiento de las autoridades sanitarias (ICA, INVIMA y ETS) en la gestión relacionada con la cadena láctea.</t>
  </si>
  <si>
    <t xml:space="preserve">
Las instituciones que tienen a cargo la inspección, vigilancia y control sobre las actividades de la cadena láctea en general no cuentan con los recursos humanos, técnicos y financieros necesarios para efectuar su labor en el seguimiento al cumplimiento de las normas. Adicionalmente las instituciones encargadas del diseño de las políticas y normas tampoco cuentan con la suficiente capacidad para mantenerlas actualizadas y expedir oportunamente otras normativas nuevas, que responda a los cambios tecnológicos del sector y a las tendencias sociales y de consumo. En cuanto a la implementación, en algunos casos, se presentan dificultades por parte del sector privado por desconocimiento y falta de recursos para cumplir con la norma.</t>
  </si>
  <si>
    <t xml:space="preserve">
Las autoridades colombianas responsables de la inspección, vigilancia y control del sector lácteo cuentan con una mayor capacidad de recursos técnicos y físicos, lo cual les ha permitido actuar de forma más efectiva sobre la informalidad y la ilegalidad a lo largo de la cadena.</t>
  </si>
  <si>
    <t xml:space="preserve">
1. Documentos de planeación para la cadena láctea
2. Servicio de apoyo para el fortalecimiento en la gestión de la autoridad sanitaria
3. Servicio de financiamiento y recursos para garantizar el Sistema de IVC 
4. Servicio de vigilancia y control de los agentes </t>
  </si>
  <si>
    <t>17.1.1. Identificar las necesidades en aspectos técnicos, humanos, físicos y presupuestales, para el fortalecimiento de las autoridades sanitarias, en concordancia con los resultados esperados en materia de sanidad e inocuidad, del POP para la cadena láctea.</t>
  </si>
  <si>
    <t>ICA e INVIMA (Entidades líderes); 
MinSalud, Entidades Territoriales de Salud, MinAgricultura, Gremios de la Cadena Láctea Bovina</t>
  </si>
  <si>
    <t>17.1.2. Actualizar el plan estratégico de las autoridades sanitarias y de inocuidad, considerando las necesidades de la cadena láctea.</t>
  </si>
  <si>
    <t>17.1.3. Definir, rediseñar e implementar estrategias para fortalecer la capacidad operativa de las autoridades sanitarias y de inocuidad en la cadena láctea (p. ej. tercerización de las funciones delegables, reconocimiento certificaciones de terceros en inocuidad y calidad, desarrollo de tecnologías de información y de monitoreo, sistema de IVC para productos nacionales e importados).</t>
  </si>
  <si>
    <t>17.1.4. Desarrollar una estrategia financiera para garantizar la disponibilidad de los recursos requeridos por el Sistema Nacional de IVC en correcta articulación interinstitucional y bajo el amparo de estándares internacionales, incluyendo esquema tarifario para apalancar las estrategias diseñadas que fortalezcan la capacidad operativa de las autoridades sanitarias y de inocuidad.</t>
  </si>
  <si>
    <t>17.1.5. Desarrollar una estrategia financiera para garantizar la disponibilidad de los recursos requeridos por los programas de aftosa, brucela, tuberculosis y aquellas que afectan principalmente la producción de leche, con miras a transitar a estatus más avanzados en su control y erradicación. Incluyendo esquema tarifario para apalancar las estrategias diseñadas que fortalezcan la capacidad operativa de las autoridades sanitarias y de inocuidad.</t>
  </si>
  <si>
    <t>17.1.6. Fortalecer la red de laboratorios de control de calidad e inocuidad de la leche y productos terminados; del INVIMA y las secretarías de salud.</t>
  </si>
  <si>
    <t>17.1.7. Fortalecer el Plan Subsectorial de Vigilancia y Control de residuos de Medicamentos Veterinarios y Contaminantes Químicos en Bovinos de Leche.</t>
  </si>
  <si>
    <t>17.1.8. Fortalecer el modelo de Inspección, Vigilancia y Control existente para el sector lácteo.</t>
  </si>
  <si>
    <t>17.1.9. Diseñar y poner en marcha una estrategia de socialización normativa y acompañamiento técnico por parte de las entidades de IVC, a nivel subregional y de manera diferenciada de acuerdo con el tipo de actividad, el tamaño de la producción y enfocada en la universalización de la gestión de IVC.</t>
  </si>
  <si>
    <t>17.1.10. Diseñar y poner en marcha estrategias para el control de la informalidad en la cadena láctea, articulando las autoridades sanitarias y de inocuidad, con la Policía Nacional y teniendo en cuenta la universalización de la gestión de IVC, para un control efectivo.</t>
  </si>
  <si>
    <t>17.1.11. Impulsar la diplomacia sanitaria para los productos lácteos colombianos en concordancia con la labor de la Comisión Intersectorial de Medidas Sanitarias y Fitosanitarias (Comisión MSF), y fortalecer el control a las importaciones para impedir el ingreso de productos provenientes de países y plantas de fabricación con menores estándares de calidad al exigidos internamente.</t>
  </si>
  <si>
    <t>OE13. Fortalecer la articulación de los actores de la cadena</t>
  </si>
  <si>
    <t>18. Fortalecimiento de la articulación de los actores de la cadena</t>
  </si>
  <si>
    <t>18.1. Concertación, Diseño y puesta en marcha de un modelo especifico de I+D+i para la cadena láctea.</t>
  </si>
  <si>
    <t xml:space="preserve">
En cuanto a la descoordinación institucional, esta se refleja en la proliferación de programas y proyectos de asistencia técnica, algunos sin fundamentos técnicos ni económicos suficientes, desarticulados y poco eficientes; estas situaciones se vuelven una competencia por la oportunidad de acceder a recursos públicos nacionales y de cooperación internacional, pero sin lograr los resultados significativos que necesita la cadena láctea.</t>
  </si>
  <si>
    <t>Los esfuerzos colectivos entre los actores públicos y privados, de orden nacional y regional, que participan en el desarrollo y transferencia de tecnologías, y las inversiones planificadas y articuladas se vienen implementando de forma coordinada con los instrumentos de planeación formulados para el sector lácteo.</t>
  </si>
  <si>
    <t>1. Servicio de investigación, desarrollo tecnológico e innovación para la cadena láctea 
2. Documentos técnicos para la cadena láctea
3. Servicio de fomento a la vigilancia y prospectiva tecnológica</t>
  </si>
  <si>
    <t>18.1.1. Seleccionar una entidad pública, privada, universidad o APP para liderar la modernización e integración de las actividades de I+D+i, y para identificar las necesidades y estructurar la operación del modelo especifico de I+D+i para la cadena láctea.</t>
  </si>
  <si>
    <t>MinAgricultura y Agrosavia (Entidades líderes); 
MinCiencias, ICA, ADR, Universidades, SAD, EPSEAS, Entidades Territoriales, Gremios de la Cadena Láctea Bovina</t>
  </si>
  <si>
    <t>18.1.2. Promover la concertación de actores y el fortalecimiento de una red colaborativa para la consolidación del modelo de investigación, entendido como la armonización entre entidades de investigación, academia y particulares para optimizar los recursos físicos, técnicos y humanos, para la adquisición, modernización y aprovechamiento eficiente de la infraestructura, equipamientos y experticia para I+D+i, teniendo en cuenta los lineamientos del PECTIA y el SNIA.</t>
  </si>
  <si>
    <t xml:space="preserve">18.1.3. Diseñar el modelo de I+D+i que permita articular los desarrollos tecnológicos a lo largo de la cadena láctea, divulgar masivamente sus resultados y transferir adecuadamente ese conocimiento a través de la AT o la EA. </t>
  </si>
  <si>
    <t>18.1.4. Diseñar el modelo de Extensión y AT que recoja los elementos del presente proyecto y que permita transferir adecuadamente el conocimiento y los desarrollos tecnológicos a lo largo de la cadena láctea, divulgar masivamente sus resultados, definir su esquema tarifario y su correcta articulación con los lineamientos del PECTIA y del SNIA.</t>
  </si>
  <si>
    <t>18.1.5. Actualizar el estado del arte y la agenda de I+D+i, con énfasis en los componentes priorizados: nutrición, pastos, mejoramiento genético, lácteos diferenciados, sanidad e inocuidad, aspectos ambientales entre otros, en un proceso concertado entre los actores y bajo los lineamientos del SNIA y el PECTIA.</t>
  </si>
  <si>
    <t>18.1.6. Fortalecer la formación de investigadores, en las áreas temáticas de I+D+i requeridas por la cadena láctea.</t>
  </si>
  <si>
    <t>18.1.7 Desarrollar una estrategia financiera para la articulación y gestión de fuentes de inversión y financiación para el desarrollo de la agenda de I+D+i de la cadena láctea.</t>
  </si>
  <si>
    <t xml:space="preserve">18.1.8. Desarrollar procesos permanentes de vigilancia tecnológica e inteligencia competitiva, para la cadena láctea. </t>
  </si>
  <si>
    <t xml:space="preserve">
18.2. Fortalecimiento de la Organización de Cadena del Sector Lácteo Colombiano.
</t>
  </si>
  <si>
    <t>Es importante citar que a pesar que el sector lácteo cuenta con una Organización de Cadena como espacio de diálogo y concertación, aún existen dificultades en esta para llegar a acuerdos y construir una visión conjunta del sector, lo que limita el crecimiento y el desarrollo de la cadena.</t>
  </si>
  <si>
    <t>1. Documentos de lineamientos técnicos para la cadena láctea 
2. Servicio de apoyo para el fortalecimiento de la organizción de cadena</t>
  </si>
  <si>
    <t>MinAgricultura y CNL (Entidades líderes);
 Gremios de la Cadena Láctea Bovina</t>
  </si>
  <si>
    <t>18.2.2. Seleccionar, por parte del CNL, la alternativa más adecuada para el desarrollo competitivo del sector, teniendo en cuenta aspectos de factibilidad técnica, financiera y jurídica.</t>
  </si>
  <si>
    <t xml:space="preserve">18.2.3. Implementar la alternativa seleccionada para el fortalecimiento de la Organización de Cadena del sector lácteo colombiano. </t>
  </si>
  <si>
    <t>18.3. Fortalecimiento de la política pública para la cadena láctea</t>
  </si>
  <si>
    <t xml:space="preserve">1. Documentos normativos para la cadena láctea
2. Servicio de seguimiento y evaluación para el POP de la cadena láctea
3. Documento de presupuesto por proyecto
4. Servicio de generación e implementación para las agendas de trabajo participativas entre los actores público - privados de la cadena láctea
</t>
  </si>
  <si>
    <t>18.3.1. Declarar, adoptar y promover el Plan de Ordenamiento Productivo de la cadena láctea, como política pública.</t>
  </si>
  <si>
    <t>MinAgricultura y CNL (Entidades líderes);
MinHacienda, UPRA, DNP y oficinas asesoras de planeación de las entidades públicas relacionadas con el POP.</t>
  </si>
  <si>
    <t>18.3.2. Diseñar e implementar el sistema de seguimiento y evaluación del Plan de Ordenamiento Productivo para la cadena láctea.</t>
  </si>
  <si>
    <t>18.3.3. Gestionar ante las entidades pertinentes los recursos requeridos y estructurar el presupuesto para cada uno de los proyectos de este Plan de Acción, teniendo en cuenta la estimación de costos del portafolio de programas y proyectos, los actores lideres y aliados, y los instrumentos de política identificados en el componente de entorno político..</t>
  </si>
  <si>
    <t>18.3.4.  Promover agendas de trabajo que garanticen la coordinación y articulación en el relacionamiento de los actores público-privados de la cadena láctea, para la implementación del Plan de Ordenamiento Productivo para la cadena láctea.</t>
  </si>
  <si>
    <t>Estimación de Costos  Plan de acción cadena láctea  
Valor indicativo en pesos constantes de 2021 por programa y proyecto.</t>
  </si>
  <si>
    <t>Part en el total</t>
  </si>
  <si>
    <t>1.2. Fortalecimiento de los programas de control, erradicación y prevención de brucelosis y tuberculosis, bovina,  y de otras enfermedades que afectan la producción de leche.</t>
  </si>
  <si>
    <t xml:space="preserve">2.2. Implementación de normas de calidad  e inocuidad en la fabricación de productos lácteos </t>
  </si>
  <si>
    <t>3.1. Desarrollo del modelo de I+D+i para la cadena láctea, con énfasis en las temáticas priorizadas por el sector. (pastos y forrajes, mejoramiento genético, lácteos diferenciados, aspectos ambientales, sanidad e inocuidad, entre otros)</t>
  </si>
  <si>
    <t xml:space="preserve">4.3. Desarrollo del  modelo de Extensión y Asistencia Técnica, para la cadena láctea, acorde con las diferentes características regionales </t>
  </si>
  <si>
    <t>5.1. Incremento de la producción de sólidos útiles de leche por área.</t>
  </si>
  <si>
    <t>5.2.  Aumento de la oferta y de los estándares de calidad en la producción de forrajes frescos y conservados, y de subproductos agrícolas de interés en la nutrición bovina.</t>
  </si>
  <si>
    <t>5.3.  Incrementar la eficiencia  en  el acopio de leche y la fabricación de productos lácteos.</t>
  </si>
  <si>
    <t>5.4. Optimizar los procesos distribución de productos lácteos en Colombia.</t>
  </si>
  <si>
    <t>6.3.  Competitividad de productos lácteos nacionales frente a importaciones.</t>
  </si>
  <si>
    <t>8.  Aumento de la formalización a lo largo de la cadena</t>
  </si>
  <si>
    <t xml:space="preserve">10.1. Impulso al desarrollo de esquemas asociativos en la cadena láctea  </t>
  </si>
  <si>
    <t>11.1. Diseño e implementación de instrumentos de comercialización específicos para la cadena láctea.</t>
  </si>
  <si>
    <t>11.2. Identificación y gestión de las necesidades en conectividad, servicios públicos, seguridad y estabilidad jurídica, en las regiones lecheras.</t>
  </si>
  <si>
    <t>11.3. Aumento en la cobertura y el acceso de los instrumentos de financiamiento y de gestión de riesgos en la cadena láctea.</t>
  </si>
  <si>
    <t>14.2. Mejora de la gestión de los residuos en el procesamiento de leche</t>
  </si>
  <si>
    <t xml:space="preserve">14.3. Promoción del aprovechamiento y valorización del lactosuero  </t>
  </si>
  <si>
    <t xml:space="preserve">14.4. Promoción de la gestión integral de residuos de envases y empaques </t>
  </si>
  <si>
    <t>14.5. Promoción de la utilización de energías alternativas en la cadena láctea</t>
  </si>
  <si>
    <t>15.1. Diseño y operación del observatorio de la cadena láctea</t>
  </si>
  <si>
    <t>16. Evaluación y actualización de la  normatividad aplicable a la cadena</t>
  </si>
  <si>
    <t xml:space="preserve">16.2. Evaluación y actualización del sistema de pago de leche cruda </t>
  </si>
  <si>
    <t>18.2. Fortalecimiento de la organización de cadena del sector lácteo colombiano</t>
  </si>
  <si>
    <t>TOTAL</t>
  </si>
  <si>
    <t>Estimativo de Costos Plan de acción cadena láctea, corto, mediano y largo plazo  
Valor indicativo en pesos constantes de 2021 por programa, proyecto (Millones de Pesos)</t>
  </si>
  <si>
    <t>Total 
(Millones de Pesos)</t>
  </si>
  <si>
    <t>Mediano Plazo 
(5 al 12 año)</t>
  </si>
  <si>
    <t>Por definir</t>
  </si>
  <si>
    <t>18.2. Fortalecimiento de la organización de cadena del sector lácteo colombiano.</t>
  </si>
  <si>
    <t>Participación por Periodo de Implementación</t>
  </si>
  <si>
    <t xml:space="preserve">Tabla. Estimación de Costos por programa y proyecto (Valores base COP del 2021) </t>
  </si>
  <si>
    <t xml:space="preserve">Programa . </t>
  </si>
  <si>
    <t>Proyectos</t>
  </si>
  <si>
    <t>Del año 2 al año 20</t>
  </si>
  <si>
    <t>Concepto</t>
  </si>
  <si>
    <t>Dedicación</t>
  </si>
  <si>
    <t>Total año</t>
  </si>
  <si>
    <t>Mesas de trabajo institucionales</t>
  </si>
  <si>
    <t>Global</t>
  </si>
  <si>
    <t>Mesas de trabajo virtuales</t>
  </si>
  <si>
    <t>Talleres  y/o Eventos de divulgación Nacionales</t>
  </si>
  <si>
    <t>Talleres  y/o Eventos de divulgación Regionales</t>
  </si>
  <si>
    <t>Talleres Nacionales y/o Regionales virtuales</t>
  </si>
  <si>
    <t>Campaña Institucional</t>
  </si>
  <si>
    <t>Material Promocional</t>
  </si>
  <si>
    <t>Tiquetes internacionales</t>
  </si>
  <si>
    <t>Tiquetes ida y vuelta</t>
  </si>
  <si>
    <t>Viáticos  Experto  internacional</t>
  </si>
  <si>
    <t>semana/persona</t>
  </si>
  <si>
    <t>Recurso Humano</t>
  </si>
  <si>
    <t>Desplazamiento equipo humano  (Tiquetes y viáticos)</t>
  </si>
  <si>
    <t>Necesidades en términos de muestreos (personal para toma de muestra, equipamiento, desplazamiento, frecuencia), otros estudios, equipos, equipamiento de puestos de control (terrestre, marítimo, fluvial), etc.</t>
  </si>
  <si>
    <t>Otros esquemas de vigilancia activa (Por ejemplo, esquemas diferenciales para fronteras)</t>
  </si>
  <si>
    <t>Otras formas de fortalecimiento</t>
  </si>
  <si>
    <t>Para llevar a cabo el proyecto se estima la realización de mesas de trabajo institucionales virtuales y presenciales por región. Los viáticos y tiquees de un consultor internacional, la realización de talleres nacionales y regionales  virtuales y presenciales, realización de eventos de promoción y divulgación nacional, regional de manera presencial y virtual. Se estima recurso humano  de 5 personas  con un salario promedio de $5.464.476.   Se estiman 10 viajes nacionales, con sus viáticos. Se considera por presupuestar los requerimientos de personal para realizar muestreo, así como otros esquemas de vigilancia.</t>
  </si>
  <si>
    <t xml:space="preserve">Mesas de trabajo </t>
  </si>
  <si>
    <t>Viáticos Consultor internacional</t>
  </si>
  <si>
    <t xml:space="preserve">Plan de Medios radial Regional </t>
  </si>
  <si>
    <t>Recurso Humano a nivel nacional</t>
  </si>
  <si>
    <t>Recurso humano en región</t>
  </si>
  <si>
    <t>Costo de los estudios epidemiológicos (tipos de estudio, técnicos, personal para toma de muestra, equipamiento, desplazamiento, etc.)</t>
  </si>
  <si>
    <t>Total año 2 al 3, 14 al 20</t>
  </si>
  <si>
    <t>Total año 4 al 13</t>
  </si>
  <si>
    <t xml:space="preserve">Realización de mesas de trabajo institucionales virtuales y presenciales por región. Los viáticos y tiquetes de un consultor internacional, la realización de talleres y/o eventos nacionales y regionales  virtuales y presenciales. Se estima 3 consultores de campo por departamento, con sus respectivos rodamientos y apoyos tecnológicos, estos consultores de campo se estima que  realicen acompañamiento técnico al proceso de certificación de predios libres a partir del año 4.  Se estima un plan de medios radia regional   y un monto global de material promocional. Se estima 1 coordinador  recursos humano a nivel nacional y sus desplazamiento. Se considera por presupuestar los costos de los estudios epidemiológicos, </t>
  </si>
  <si>
    <t>Predios demostrativos</t>
  </si>
  <si>
    <t>Campañas regionales</t>
  </si>
  <si>
    <t>Plan de medios Institucional</t>
  </si>
  <si>
    <t>Incentivo Formulación de planes sanitarios/predio</t>
  </si>
  <si>
    <t>Valor visita</t>
  </si>
  <si>
    <t>Pequeños productores /apoyo por certificación</t>
  </si>
  <si>
    <t>Medianos productores/apoyo por certificación</t>
  </si>
  <si>
    <t>Semana/día</t>
  </si>
  <si>
    <t>Total año 2 al 3 y del 19 al 20</t>
  </si>
  <si>
    <t>Del 14 al 18</t>
  </si>
  <si>
    <t>Se estima realización de mesas de trabajo institucionales virtuales y presenciales por región. Viáticos y tiquetes de un consultor internacional,  la realización de talleres y eventos nacionales y regionales virtuales y presenciales.  Se estima un plan de medios institucional, regional   y un monto global de material promocional. Se estima 320.000 predios para que tengan planes sanitarios, se intervienen 32.000 al año, es decir durante 10 años. Se estima la realización de 5 Predios demostrativo para cada subregión.  Se estima intervenir 200.000 predios para certificar, de los cuales 100.000 se estiman como pequeños productores y el resto como medianos y grandes, por un período de 15 años, es decir 670 ganaderos anuales y la mitad para medianos, para lo cual se da un apoyo directo de 6 millones  para pequeños y de 5 millones para medianos.</t>
  </si>
  <si>
    <t>Del año 2 al 20</t>
  </si>
  <si>
    <t>Cursos cortos virtuales</t>
  </si>
  <si>
    <t>Por persona</t>
  </si>
  <si>
    <t xml:space="preserve">Otras formas de desarrollo </t>
  </si>
  <si>
    <t>Paquete de análisis de laboratorios para calidad (productos terminados)</t>
  </si>
  <si>
    <t>Laboratorios ICR</t>
  </si>
  <si>
    <t>ICR adecuaciones y equipos Microempresas</t>
  </si>
  <si>
    <t>ICR adecuaciones y equipos pequeñas empresas</t>
  </si>
  <si>
    <t>Incentivo Certificaciones</t>
  </si>
  <si>
    <t>Ruedas de negocios</t>
  </si>
  <si>
    <t>Ferias comerciales</t>
  </si>
  <si>
    <t>Diplomados</t>
  </si>
  <si>
    <t>Semana/persona</t>
  </si>
  <si>
    <t>Otras formas de implementación</t>
  </si>
  <si>
    <t>Total año 2 al 3</t>
  </si>
  <si>
    <t xml:space="preserve">Se estima la realización de mesas de trabajo institucionales virtuales y presenciales por región, realización de talleres y eventos nacionales y regionales  virtuales y presenciales.  Se estima un plan de medios radial regional  y un monto global de material promocional, se presupuesto un paquete de análisis de laboratorios para calidad de productos terminados. Solo se estima incentivo para microempresas y pequeñas y el valor se calculó de acuerdo a la Resolución 957 del 2019  de la DIAN, relacionado con la clasificación de las empresas por el valor de ingresos, en micro, pequeñas y medianas, se tomó el valor de los ingresos  y se estimó un porcentaje del 20% , 10% y 10%  respectivamente, para invertir en adecuaciones y equipos, de este valor se estima apoyar con un ICR del 20% para micros y  10% para pequeñas, también se calcula un incentivo a las certificaciones del 50%. También se estima la realización de ruedas de negocios y ferias comerciales por región. También se estima la realización de 10 diplomados por región. Se considera por presupuestar los costos de los estudios epidemiológicos. </t>
  </si>
  <si>
    <t>Del año 3 al 6, luego por presupuestar</t>
  </si>
  <si>
    <t>Recurso Humano nacional</t>
  </si>
  <si>
    <t>Personas</t>
  </si>
  <si>
    <t>Investigación científica por presupuestar</t>
  </si>
  <si>
    <t>Recursos de cofinanciación</t>
  </si>
  <si>
    <t xml:space="preserve">Otros desarrollos </t>
  </si>
  <si>
    <t xml:space="preserve">Para llevar a cabo el proyecto se estima la realización de mesas de trabajo institucionales virtuales y presenciales por región. Realización de talleres y/eventos nacionales y regionales  virtuales y presenciales. Se estima recurso humano a nivel nacional y recurso humano en región con sus rodamientos y apoyos tecnológicos. Se considera por presupuestar investigación científica, recursos de cofinanciación y otros desarrollos. </t>
  </si>
  <si>
    <t>Del año 3 al 20</t>
  </si>
  <si>
    <t>Del año 3 al 5, luego cada 3 años hasta el año 20</t>
  </si>
  <si>
    <t>Del año 4 al 19</t>
  </si>
  <si>
    <t>Talleres y eventos nacionales y/o regionales virtuales</t>
  </si>
  <si>
    <t>Cursos Cortos</t>
  </si>
  <si>
    <t>Por 30 persona</t>
  </si>
  <si>
    <t>Cursos libres</t>
  </si>
  <si>
    <t>Cursos libres virtuales</t>
  </si>
  <si>
    <t>Diplomados virtuales</t>
  </si>
  <si>
    <t>Plan de Medios Radial regional</t>
  </si>
  <si>
    <t>Otras formas de mejora</t>
  </si>
  <si>
    <t xml:space="preserve">Se estima la realización de mesas de trabajo  virtuales y presenciales por mes. Se estima la realización de 4 talleres y eventos nacionales presenciales y talleres y/o eventos  virtuales y 3 presenciales por subregión. Se estima un plan de medios radial regional.  Se estima la realización de 50 cursos cortos (5 por región), 150 cursos libres virtuales y presenciales, 350 diplomados virtuales y presenciales. Se estima recurso humano  y su desplazamiento. </t>
  </si>
  <si>
    <t>Talleres y/o eventos nacionales y/o regionales virtuales</t>
  </si>
  <si>
    <t>Por 30 personas</t>
  </si>
  <si>
    <t>Implementación</t>
  </si>
  <si>
    <t>Se estima la realización de mesas de trabajo virtuales y presenciales por mes. Se estima la realización de 4 talleres y/o eventos de divulgación nacionales y regionales  presenciales y virtuales por subregión.  Se estima la realización de 20 cursos cortos (2 por región), 40 cursos libres virtuales y presenciales, 40 diplomados virtuales y presenciales. Se estima recurso humano para llevar a cabo el proyecto</t>
  </si>
  <si>
    <t>Desplazamiento recurso humano  (Tiquetes y viáticos)</t>
  </si>
  <si>
    <t>Otras formas de desarrollo</t>
  </si>
  <si>
    <t>Se estima la realización de mesas de trabajo virtuales y presenciales por mes. Se estima la realización de 8 talleres y/o eventos de divulgación nacionales y regionales  presenciales y virtuales por subregión.  Se estima la realización de 20 cursos cortos (2 por región),  20 ruedas de negocios, plan de medios radial por región. Se estima recurso humano y desplazamiento del recurso humano.</t>
  </si>
  <si>
    <t>Incentivos I+D+i</t>
  </si>
  <si>
    <t>Incentivo  I+D+i /pequeñas</t>
  </si>
  <si>
    <t>Total año 4 y 5 y 16 al 19</t>
  </si>
  <si>
    <t>Total del año 6 al 15</t>
  </si>
  <si>
    <t>Del año 3 al 8, luego cada 3 años hasta el  20</t>
  </si>
  <si>
    <t>Del año 3 al  8,luego cada 3 años hsata el 20</t>
  </si>
  <si>
    <t>Del año 4 al 20</t>
  </si>
  <si>
    <t>Talleres prácticos</t>
  </si>
  <si>
    <t>Otras formas de incremento</t>
  </si>
  <si>
    <t>Parcelas Demostrativa</t>
  </si>
  <si>
    <t>Días de Campo</t>
  </si>
  <si>
    <t>Rueda de negocios</t>
  </si>
  <si>
    <t>Incentivos para emprendimiento de empresas forrajes</t>
  </si>
  <si>
    <t>Incentivos para producción de forrajes pequeños</t>
  </si>
  <si>
    <t>Incentivos  para producción de forrajes medianos</t>
  </si>
  <si>
    <t>Total año 3 al 4, 15 al 20</t>
  </si>
  <si>
    <t>Total año del 5 al 15</t>
  </si>
  <si>
    <t xml:space="preserve"> Análisis de laboratorio leche cruda</t>
  </si>
  <si>
    <t xml:space="preserve">Incentivos Infraestructura Centros de distribución </t>
  </si>
  <si>
    <t>Incentivo empresas modernización maquinaria y equipo micro</t>
  </si>
  <si>
    <t>Incentivo empresas  modernización maquinaria y equipo Pequeñas</t>
  </si>
  <si>
    <t xml:space="preserve">Incentivo Centros de acopio pequeños </t>
  </si>
  <si>
    <t xml:space="preserve">Incentivo Centros de acopio medianos </t>
  </si>
  <si>
    <t>ICR laboratorios</t>
  </si>
  <si>
    <t>Pulverizadoras ICR (30.000 lts día)</t>
  </si>
  <si>
    <t>Pulverizadoras ICR (50.000 lts día)</t>
  </si>
  <si>
    <t xml:space="preserve">Precondensadoras </t>
  </si>
  <si>
    <t>Total año 3 al 5</t>
  </si>
  <si>
    <t>Total año 6 al 15</t>
  </si>
  <si>
    <t>Años 16, 18 y  20</t>
  </si>
  <si>
    <t>Año 17 y año 19</t>
  </si>
  <si>
    <t>Se estima la realización de mesas de trabajo virtuales y presenciales por mes. Se estima la realización de 4 talleres y/o eventos de divulgación nacionales y regionales  presenciales y virtuales por región.  Se estima la realización de 20 cursos libres presenciales y 20 cursos libres virtuales (2 por región), también se estima realización de diplomados presenciales y virtuales, se estima la realización de  20 ruedas de negocios y un plan de medios radial por región. Se estima intervenir  320.000 predios, a los cuales se realiza el 10% de las muestras es decir 32.000 durante 10 años. Se estima modernización de la infraestructura, para lo cual se estima ICR como incentivo para compra de maquinaria así: un nuevo laboratorio por región al finalizar el proyecto,  implementar 40 centros de acopio pequeños durante 10 años, es decir 4 al año, y 1 centros de acopio medianos durante 10años.  De acuerdo a la Resolución 957 del 2019  de la DIAN, relacionado con la clasificación de las empresas por el valor de ingresos, en micro, pequeñas y medianas, se tomó el valor de los ingresos  y se estimó un porcentaje del 20% y 15%. Se estima apoyar con un ICR del 20% para micros y  15% para pequeñas. Se estima intervenir 250 micro empresas, 150 pequeñas empresas y 100 medianas , es decir 25, 15  y 10 cada año, durante 10 años.  Se estima un ICR de 20% para 5  pulverizadoras de 40.000 lts al día durante los años 16 al 20 y 2 pulverizadoras de 120.000 lts al día una en el año 17 y la otra en el año 19. Se estima un ICR de 20% y 15% respectivamente. Se estima recurso humano y desplazamiento del recurso humano para el desarrollo del proyecto.</t>
  </si>
  <si>
    <t>Plan de medios radiales por región</t>
  </si>
  <si>
    <t>ICR Camión transportador refrigerado especial productos terminados</t>
  </si>
  <si>
    <t>ICR Centros de distribución Infraestructura</t>
  </si>
  <si>
    <t>Por presupuestar</t>
  </si>
  <si>
    <t>Total año 4 al 5 y del 16 al 20</t>
  </si>
  <si>
    <t>Se estima la realización de mesas de trabajo virtuales y presenciales por mes. Se estima la realización de 8 talleres y/o eventos de divulgación nacionales y regionales  presenciales y virtuales por subregión.  Se estima la realización de 1 curso corto por región, la realización de cursos libres y diplomados presenciales y virtuales (2 por región),  20 ruedas de negocios, 10 ferias comerciales, plan de medios radial por región. Se estima un ICR para 10 camion transportadores  y 10 centros de distribución por región, durante el tiempo del proyecto, uno por región. Se estima recurso humano y desplazamiento del recurso humano.</t>
  </si>
  <si>
    <t>Del año 2 al 19</t>
  </si>
  <si>
    <t>Campañas publicitaria nacional</t>
  </si>
  <si>
    <t>Vallas nacionales</t>
  </si>
  <si>
    <t>Vallas regionales</t>
  </si>
  <si>
    <t>Ferias Comerciales</t>
  </si>
  <si>
    <t>Ruedas de negocio</t>
  </si>
  <si>
    <t xml:space="preserve">Incentivo Análisis de Laboratorio nutricional  para producto </t>
  </si>
  <si>
    <t xml:space="preserve">Incentivo al desarrollo de empaques y etiquetas micro </t>
  </si>
  <si>
    <t>Incentivo al desarrollo de empaques y etiquetas pequeñas</t>
  </si>
  <si>
    <t>Incentivo al desarrollo de empaques y etiquetas medianas</t>
  </si>
  <si>
    <t>Compras públicas</t>
  </si>
  <si>
    <t>Otras formas de posicionamiento</t>
  </si>
  <si>
    <t>Año 2 y 3, 14 al 19</t>
  </si>
  <si>
    <t>Año 4 al 13</t>
  </si>
  <si>
    <t>Campañas publicitaria regionales</t>
  </si>
  <si>
    <t>Stand de promoción y divulgación en eventos nacionales</t>
  </si>
  <si>
    <t>Stand de promoción y divulgación en eventos regionales</t>
  </si>
  <si>
    <t>Incentivo al Análisis de laboratorio nutricional y sensorial</t>
  </si>
  <si>
    <t>Mercadeo (degustación producto)</t>
  </si>
  <si>
    <t>Incentivos Montaje y optimizacion lineas de producción micro</t>
  </si>
  <si>
    <t>Consultor Internacional (Tiquetes)</t>
  </si>
  <si>
    <t>Consultor Internacional (Viáticos)</t>
  </si>
  <si>
    <t>Semana /persona</t>
  </si>
  <si>
    <t>Otras formas de competitividad</t>
  </si>
  <si>
    <t>Total año 2 y 3, 14 al 19</t>
  </si>
  <si>
    <t>Incentivo a la exportación por empresas/micros</t>
  </si>
  <si>
    <t>Incentivo a la exportación por empresas/pequeñas</t>
  </si>
  <si>
    <t>Incentivo a la exportación por empresas/medianas</t>
  </si>
  <si>
    <t>Ferias Comerciales Internacionales</t>
  </si>
  <si>
    <t>Ferias comerciales nacionales</t>
  </si>
  <si>
    <t>Incentivo al Análisis de laboratorio calidad producto terminado</t>
  </si>
  <si>
    <t>Consultor Internacional (tiquetes)</t>
  </si>
  <si>
    <t>Consultor internacional (viáticos)</t>
  </si>
  <si>
    <t>Año 3 y 4, 15 al 20</t>
  </si>
  <si>
    <t>Año 5 al 14</t>
  </si>
  <si>
    <t xml:space="preserve">Se estima la realización de mesas de trabajo  virtuales y presenciales por mes. Se estima la realización de 8 talleres y/o eventos nacionales presenciales y  virtuales por subregión. Se estima un plan de medios radial regional,monto global para marketing en redes sociales. Se estima un incentivo a la exportación enfocado a mejora en procesos para exportación, el cual se calculó, de acuerdo a la Resolución 957 del 2019  de la DIAN, relacionado con la clasificación de las empresas por el valor de ingresos, en micro, pequeñas y medianas, se tomó el valor de los ingresos  y se estimó un porcentaje del 20% , 10% y 10%. Se estima intervenir 48 empresas durante el proyecto, es decir 12 al año.  Se estima la realización de 20 cursos libres (2 por región), 40 cursos libres virtuales y presenciales, 40 diplomados virtuales y presenciales. Se estima realización de ruedas de negocio y ferias nacionales por región y 5 ferias  internacionales. Se estima un incentivo del 50% en el pago de la realización de 10 análisis de Laboratorio nutricional  para producto (ASL) por región. Se estima viáticos y tiquetes de un consultor internacional. Se estima recurso humano  y su desplazamiento. </t>
  </si>
  <si>
    <t>Del Año 3 al 7 y luego cada 3 años hasta el año 19</t>
  </si>
  <si>
    <t>Campaña publicitaria nacional</t>
  </si>
  <si>
    <t>Incentivos para la formalización</t>
  </si>
  <si>
    <t>Incentivo a emprendimientos/pequeñas</t>
  </si>
  <si>
    <t>Cursos cortos</t>
  </si>
  <si>
    <t>Otras formas de promoción</t>
  </si>
  <si>
    <t xml:space="preserve">Se estima la realización de mesas de trabajo  virtuales y presenciales por mes. Se estima la realización de 8 talleres y/o eventos nacionales presenciales y  virtuales por subregión. Se estima una campaña publicitaria nacional, un plan de medios radial regional, un monto global de pautas en redes sociales,  la realización de 30 cursos  cortos (3 por región), 120 cursos libres virtuales y presenciales (4 por región), 120 diplomados virtuales y presenciales (4 por región). Se calcula un incentivo para gastos de formalización calculado para pequeñas empresas, este valor se calculó estimando un 10% del valor de los ingresos y a este valor se le calculó un 20% para el valor de incentivo otorgado. Se calcula un incentivo para gastos de formalización calculado para pequeñas empresas, este valor se calculó estimando un 10% del valor de los ingresos y a este valor se le calculó un 20% para el valor de incentivo otorgado. El valor del incentivo para el emprendimiento es el 20% del valor del 10% del ingresos de las microempresas, de acuerdo a la clasificación empresarial de la Dian. Se estima un valor promedio de recursos humano de $5.464.476 para 10 personas por 12 meses. </t>
  </si>
  <si>
    <t>Días de campo</t>
  </si>
  <si>
    <t>Incentivo Camión transportador de leche cruda</t>
  </si>
  <si>
    <t xml:space="preserve">ICR  Equipos, líneas de producción </t>
  </si>
  <si>
    <t xml:space="preserve">ICR Infraestructura para plantas procesadoras </t>
  </si>
  <si>
    <t>Vallas publicitarias Ciudades Principales</t>
  </si>
  <si>
    <t>Vallas publicitarias Ciudades Regionales</t>
  </si>
  <si>
    <t>Total año 3 al 5 y 16 al 20</t>
  </si>
  <si>
    <t>Se estima la realización de mesas de trabajo  virtuales y presenciales por mes. Se estima la realización de 8 talleres y/o eventos nacionales presenciales y  virtuales por subregión. Se estiman campañas publicitarias regionales,  un monto global para pautas en redes sociales, dias de campo (2 por región).  La realización de 20 cursos libres (2 por región), 40 cursos libres virtuales y presenciales, 40 diplomados virtuales y presenciales. Se estima realización de ruedas de negocio y ferias comerciales por región. Se estima un ICR del 20% para  líneas de producción para procesamiento de leche se calcula marmitas, pasteurizadores, descremadoras, cuartos fríos, empacadoras, tanques de enfriamiento y modernización y un ICR del 20% para adecuaciones de infraestructura para plantas  procesadoras, 100 empresas al terminar el plan. Se estimó vallas publicitarias para ciudades principales y para región y se estimó recurso humano.</t>
  </si>
  <si>
    <t>Del año 1 al 20</t>
  </si>
  <si>
    <t xml:space="preserve">Del año 3 al 20, seguido los primeros años, del año 7 al 11 cada dos años y del año 14 al 20,cada tres años. </t>
  </si>
  <si>
    <t>Incentivo por ha pequeños</t>
  </si>
  <si>
    <t>Apoyo por ha conservada</t>
  </si>
  <si>
    <t>Incentivo por  ha para medianos</t>
  </si>
  <si>
    <t>Total 2 al 3 y del 11 al 20</t>
  </si>
  <si>
    <t>Total 5 al 10</t>
  </si>
  <si>
    <t xml:space="preserve">Se estima la realización de mesas de trabajo  virtuales y presenciales por subregión. Se estima la realización de 8 talleres y/o eventos nacionales presenciales y  virtuales por subregión. Se estima un incentivo directo para pequeños y medianos productores para conservar una hectárea en bosques por UPA con producción de leche. La cantidad de UPAS a intervenir se estima en un 5%  de 5 millones de has, es decir 17.500 durante todo el plan. Para esto se estima un promedio en el tamaño de Upas de 5 ha para pequeños y 20 para medianos. Se estima  tener una cobertura del  80% para pequeños y el 20% en medianos, durante 18 años, es decir 780 (5 has/pequeñas UPAS en el año) y 195 (Medianas UPAS 20 has). Para hallar el costo de la inversión, se tiene en cuenta el valor de la producción promedio de leche al año de un animal que es de $2.400.000 aprox y  para medianos se estima una inversión de  $2.000.000 por ha, es 12 y 40 millones para pequeños y medianos productores respectivamente. Se incentiva el 50% de esta inversión. Se estima un valor promedio de recursos humano de $5.464.476 para 10 personas por 12 meses. </t>
  </si>
  <si>
    <t>Implementación reconversión productiva</t>
  </si>
  <si>
    <t>3 dias/persona</t>
  </si>
  <si>
    <t xml:space="preserve">Se estima la realización de mesas de trabajo  virtuales y presenciales por subregión lechera. Se estima la realización de 8 talleres y/o eventos nacionales y 120 talleres y/o eventos  presenciales y  virtuales (2 por subregión). Se estimó recurso humano de 12 personas , por un valor promedio de $5.564.476 durante 12 meses. </t>
  </si>
  <si>
    <t>Para 30 personas</t>
  </si>
  <si>
    <t>Diplomado</t>
  </si>
  <si>
    <t>Diplomado virtual</t>
  </si>
  <si>
    <t>Campañas publicitarias regionales</t>
  </si>
  <si>
    <t>Incentivos Centro de acopio pequeño</t>
  </si>
  <si>
    <t xml:space="preserve">Incentivo modular para promover a la asociatividad </t>
  </si>
  <si>
    <t xml:space="preserve">Incentivo LEC asociatividad </t>
  </si>
  <si>
    <t>Incentivo prima aseguramiento asociativo</t>
  </si>
  <si>
    <t>Desplazamiento recurso humano</t>
  </si>
  <si>
    <t>Otras formas de impulso</t>
  </si>
  <si>
    <t>Del año 3 al 8</t>
  </si>
  <si>
    <t>Total año 9 al 18</t>
  </si>
  <si>
    <t>Del año 19 al 20</t>
  </si>
  <si>
    <t xml:space="preserve">Se estima la realización de mesas de trabajo  virtuales y presenciales por subregión. Se estima la realización de 8 talleres y/o eventos nacionales, 90 talleres y/o eventos  presenciales y virtuales por subregión. Se estiman pautas en redes sociales por un valor global, 10 cursos cortos por región, 2 cursos libres y diplomado por región de manera presencial y virtual, campaña publicitaria regional, ferias comerciales y ruedas de negocios por región.  Se estima incentivar a 100.000 productores los cinco primeros años, es decir a 20.000 productores por año y a 100.000 productores para los 10 años restantes, es decir 10.000 al año. Se estima un único apoyo denominado un incentivo modular para promover la asociativad, que se estimó de acuerdo al incentivo modular  que hace referencia al incentivo modular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para promover la asociatividad, corresponde al 50% del valor de la producción promedio de leche al año de un animal, se estima que este valor sea asumido en un 50% por el estado. Se estima un mecanismo financiero denominado aseguramiento asociativo, similar al seguro agropecuario, la prima calculada corresponde al 10% del valor de la produccion promedio de leche el cual es pagado en un 80% por el gobierno y el 20% por los asociados. Se estima fortalecer incentivos y financiamiamiento relacionados con el programa 10.2 para 10 asociaciones al año. Se estima recurso humano por un valor promedio de $4.401.038 para 15 personas, así como  su desplazamiento. </t>
  </si>
  <si>
    <t>Plan radial regional</t>
  </si>
  <si>
    <t>Incentivo integración vertical primeros 5 años</t>
  </si>
  <si>
    <t>Valor apoyo por empresa</t>
  </si>
  <si>
    <t>Incentivo integración vertical primeros 10 años</t>
  </si>
  <si>
    <t>ICR Infraestructura</t>
  </si>
  <si>
    <t>Ruedas de Negocio</t>
  </si>
  <si>
    <t xml:space="preserve">Se estima la realización de mesas de trabajo  virtuales y presenciales por mes. Se estima la realización de 8 talleres y/o eventos nacionales presenciales y  virtuales por subregión. Se estiman pautas en redes sociales, 40 cursos libres virtuales y presenciales, 20 diplomados virtuales y presenciales, plan radial regional. Se estima realización de ruedas de negocio y ferias comerciales por región.  Se estima recurso humano así como  su desplazamiento. </t>
  </si>
  <si>
    <t xml:space="preserve">Incentivo por proyecto integración </t>
  </si>
  <si>
    <t xml:space="preserve">Se estima la realización de mesas de trabajo  virtuales y presenciales por mes. Se estima la realización de 8 talleres y/o eventos nacionales presenciales y  virtuales por subregión. Se estiman pautas en redes sociales, 40 cursos libres virtuales y presenciales, 20 diplomados virtuales y presenciales. Se estima realización de ruedas de negocio y ferias comerciales por región.  Se estima recurso humano para realizar degustación (6 por región) y también recurso humano a nivel nacional, así como  su desplazamiento. </t>
  </si>
  <si>
    <t>Año 2 al 5, luego cada 3 años hasta el año 19</t>
  </si>
  <si>
    <t>Año 3 al año  5 y luego cada 5 años hasta el 20</t>
  </si>
  <si>
    <t xml:space="preserve"> Año 3 al año 20</t>
  </si>
  <si>
    <t>Incentivos y Cofinanciación</t>
  </si>
  <si>
    <t>Otras formas de diseño</t>
  </si>
  <si>
    <t xml:space="preserve">Total </t>
  </si>
  <si>
    <t>Se estima la realización de mesas de trabajo  virtuales y presenciales por subregión. Se estima la realización de 8 talleres y/o eventos nacionales, 90 talleres y/o eventos  presenciales y virtuales por subregión. Se estiman pautas en redes sociales por un valor global, 10 cursos cortos por región, 2 cursos libres y diplomado por región de manera presencial y virtual, campaña publicitaria regional, ferias comerciales y ruedas de negocios por región.   Se estima recurso humano por un valor promedio de $7.589.549 para 10 personas, así como  su desplazamiento.  Por presupuestar otras formas de diseño</t>
  </si>
  <si>
    <t>Otros mecanismos de identificación y gestión</t>
  </si>
  <si>
    <t xml:space="preserve">Se estima la realización de mesas de trabajo  virtuales y presenciales por subregión lechera. Se estima la realización de 8 talleres y/o eventos nacionales y 120 talleres y/o eventos  presenciales y  virtuales (2 por subregión). Se estimó recurso humano de 10 personas , por un valor promedio de $6.982.386 durante 12 meses. </t>
  </si>
  <si>
    <t>FAG Pequeños productores</t>
  </si>
  <si>
    <t>FAG Medianos Productores</t>
  </si>
  <si>
    <t>FAG Microempresas</t>
  </si>
  <si>
    <t>Empresa</t>
  </si>
  <si>
    <t>FAG Pequeñas empresas</t>
  </si>
  <si>
    <t>Recursos para Inclusión Financiera sector lácteo</t>
  </si>
  <si>
    <t>Otras formas de aumento</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</si>
  <si>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</si>
  <si>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</si>
  <si>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</si>
  <si>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</si>
  <si>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</si>
  <si>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</si>
  <si>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</si>
  <si>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</si>
  <si>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</si>
  <si>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</si>
  <si>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</si>
  <si>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</si>
  <si>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</si>
  <si>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</si>
  <si>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</si>
  <si>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</si>
  <si>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</si>
  <si>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</si>
  <si>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Instrumentos de gestión de riesgos/pequeños-medianos</t>
  </si>
  <si>
    <t>Otros instrumentos de promoción</t>
  </si>
  <si>
    <t xml:space="preserve">Se estima la realización de mesas de trabajo  virtuales y presenciales por subregión lechera. Se estima la realización de 8 talleres y/o eventos nacionales y 120 talleres y/o eventos  presenciales y  virtuales (2 por subregión). Se estima que cada año se incluyan al sector financiero 5915 productores nuevos, de los cuales partiendo de la línea base de 54.500  productores, se llegaría en el año 17 a 137.000 productores, se calcula un 80% de productores pequeños y un 20% productores medianos. Se calcula un monto de crédito para pequeños de $2.6.000.000 y de $5.600.000 para medianos, a lo cual se le calcula un % de 20% y 10% del FAG como valor de requerido para otorgar  garantías  a los productores. 
De acuerdo a la Resolución 957 del 2019  de la DIAN, relacionado con la clasificación de las empresas por el valor de ingresos, en micro, pequeñas y medianas, se tomó el valor de los ingresos  y se estimó un porcentaje del 50% y 20% para crédito solo para  microempresas y pequeñas empresas.  Se supone q  250 micro empresas, tendrán acceso al crédito, 150 pequeñas empresas y 100 medianas, es decir 15 y  15  y cada año, durante 10 años, a lo cual se estima un % para FAG del 10% y 5%. Se estima un valor global de $5.000.000  para otorga recurso de financiación a los agricultores. Se estima incluir a 3000 productores al año por 18 años, hasta incluir 45.000 productores nuevos al sector financiero.   Los recursos para seguros en el 2020 fueron de 23.000 millones. Se estima para los productores de leche 4.800 millones con una tasa anual creciente del 20%. Se estimó recurso humano de 10 personas , por un valor promedio de $6.982.386 durante 12 meses. </t>
  </si>
  <si>
    <t>Año 2 al año 20</t>
  </si>
  <si>
    <t>Año 4 al año 20</t>
  </si>
  <si>
    <t>Talleres Practicos</t>
  </si>
  <si>
    <t>30 personas</t>
  </si>
  <si>
    <t>Equipo humano en región</t>
  </si>
  <si>
    <t>Otros mecanismos de fortalecimiento</t>
  </si>
  <si>
    <t>Se estima la realización de mesas de trabajo institucionales virtuales y presenciales por región, la realización de talleres y/o eventos nacionales y regionales  virtuales y presenciales, Se estima un plan de medios radia regional   y un monto global de material promocional. talleres practicos, campañas publicitarias regionales, recurso humano anivel nacional y regional y desplazacmiento y viaticos. Por presupuestar otros mecanismos de fortalecimiento.</t>
  </si>
  <si>
    <t>Campaña Insitucional</t>
  </si>
  <si>
    <t>Recurso Humano Nacional</t>
  </si>
  <si>
    <t>Recurso Humano Regional</t>
  </si>
  <si>
    <t>LEC Sistemas Silvopastoriles SSP</t>
  </si>
  <si>
    <t>ha</t>
  </si>
  <si>
    <t>LEC Sistemas Silvopastoriles Intensivos SSPi</t>
  </si>
  <si>
    <t>LEC Áreas en praderas mejoradas</t>
  </si>
  <si>
    <t>Fortalecimiento del desarrollo del sello</t>
  </si>
  <si>
    <t>Total año 3 al 10</t>
  </si>
  <si>
    <t>Total año 11 al 20</t>
  </si>
  <si>
    <t>Para llevar a cabo el proyecto se estima la realización de mesas de trabajo virtuales,  la realización de talleres nacionales y regionales  virtuales y presenciales, realización de eventos de promoción y divulgación nacional, regional de manera presencial y virtual.  Se estima material promocional. Talleres practicos, dias de campo, campaña institucional, material promocional.Se estima recurso humano  de 2 personas  con un salario promedio de $8.652.088.   Se estiman 4 viajes nacionales, con sus viáticos. Los años restantes para el fortalecimiento de la continuidad y consolidación en el desarrollo del sello a lo largo de la cadena láctea se deja por presupuestar.  En cuanto a la implementación de sistemas de producción sostenibles, la NAMA Ganadería bovina sostenible, propone llegar en 2030 a un área establecida en sistemas silvopastoriles no intensivos de 666.911 ha, a un área en silvopastoriles intensivos de 61.000 ha; y a un área en praderas mejoradas de 2.169.230 ha. Fuente: MADS, Actualización de la NDC (2020), de las cuales se estima un 40% de la meta para la producción de leche, y que se logre durante 7 años, con un incentivo del LEC del 10% así: SSP 266.764 ha (38.109 ha por año); SSPi  24.400 ha (3.486 ha por año) y praderas mejoradas 867.692 ha (123.956 ha por año). Valores de referencia USD/ha, tomados de Ortiz, J., Camacho, A. y Ayala, K. (2019). Lineamientos para el diseño de programas y proyectos de ganadería sostenible. Bogotá, Colombia: Instituto Global para el Crecimiento Verde (GGGI), SSP: 351 USD/ha, SSPi: 1.233 USD/ha y Mejoramiento de praderas: 207 USD/ha. Valor dólar promedio catálogo de costos $3.608.</t>
  </si>
  <si>
    <t>Año 3 al año 20</t>
  </si>
  <si>
    <t>Recusrso humano regionales</t>
  </si>
  <si>
    <t>Microempresas ICR</t>
  </si>
  <si>
    <t>Pequeñas Empresas ICR</t>
  </si>
  <si>
    <t>Medianas empresas ICR</t>
  </si>
  <si>
    <t>ICR Reservorios (10 reservorios de 20 Ha - 2 por año) -soluciones asociadas</t>
  </si>
  <si>
    <t>reservorios</t>
  </si>
  <si>
    <t>ICR  O LEC Acueductos ganaderos división de potreros - soluciones individuales Públicos</t>
  </si>
  <si>
    <t>Otros tipos de captación, almacenamiento y aprovechamiento de agua</t>
  </si>
  <si>
    <t>Otros mecanismos de fomento</t>
  </si>
  <si>
    <t>Para llevar a cabo el proyecto se estima la realización de mesas de trabajo institucionales virtuales y presenciales por región, la realización de talleres nacionales y regionales  virtuales.  Campaña publicitaria, material promocional, talleres practicos 2 por region. se estima recurso humano  nacional  de 5 personas  con un salario promedio de $6.982.386 y equipo humano regional   Desplazamiento equipo humano. Se estiman un ICR del 20% para reservorios de 20 ha, 1 para cada región lechera - 2 por año y acueductos ganaderos y división de potreros se toman para las hectáreas en SSPi 24.400 ha en 7 años, es decir 3.486 ha por año. Se estima un 40% de la meta de Sistema silvopastoriles intensivos de la NAMA, el valor calculado es el 35% del 474 dólares por ha, de acuerdo al valor de referencia tomados de  Ortiz, J., Camacho, A. y Ayala, K. (2019). Lineamientos para el diseño de programas y proyectos de ganadería sostenible . De acuerdo con la Resolución 957 del 2019  de la DIAN, relacionado con la clasificación de las empresas por el valor de ingresos, en micro, pequeñas y medianas, se tomó el valor de los ingresos  y se estimó un porcentaje del 20% , 10% y 10%  respectivamente. Se estima apoyar 250 microempresas, 150 pequeñas empresas y 100 medianas empresas. es decir 25, 15  y 10 cada año, durante 10 años. Se estima un ICR del 15%, 10% y 5% para las micro, pequeñas y medianas empresas.</t>
  </si>
  <si>
    <t>Recurso humano regionales</t>
  </si>
  <si>
    <t>ICR Aislamiento áreas para conservación</t>
  </si>
  <si>
    <t>Otras prácticas de recuperación de suelos y coberturas</t>
  </si>
  <si>
    <t>Total año 4 al 6 y 14 al 20</t>
  </si>
  <si>
    <t>Total año 7 al 13</t>
  </si>
  <si>
    <t xml:space="preserve">Para llevar a cabo el proyecto se estima la realización de mesas de trabajo institucionales virtuales y presenciales por región, la realización de talleres nacionales y regionales  virtuales.  Campaña publicitaria, material promocional, talleres practicos 2 por subregion. se estima recurso humano  nacional  de 2 personas  con un salario promedio de $6.982.386 y equipo humano regional   Desplazamiento equipo humano. Se toma meta de áreas liberadas para restauración de la NAMA de ganadería sostenible (en formulación) 68.675 ha a 2030, la cual se proyecta un 40% de cumplimiento para la cadena láctea equivalente a 27.470 ha, considerando la ejecución desde el año 4 al año 10, es decir 3.924 ha por año; para el aislamiento de áreas para conservación un ICR del 20% para el costo global de instalación de una cerca que incluye materiales, mano de obra. </t>
  </si>
  <si>
    <t>Año 4 al año 13</t>
  </si>
  <si>
    <t xml:space="preserve">14.3. Promoción del aprovechamiento y valorización del lactosuero </t>
  </si>
  <si>
    <t>Año 3  al año 19 cada 2 años</t>
  </si>
  <si>
    <t>Apoyo Directo Predios pequeños productores</t>
  </si>
  <si>
    <t>Apoyo Directo Predios medianos productores</t>
  </si>
  <si>
    <t>Levantamiento de información y gestión.</t>
  </si>
  <si>
    <t>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material promocional. Se estima recurso humano  nacional de 2 personas  con un salario promedio de $7.589.549 y recurso humano regional de 10 personas con salario promedio de 5.464.476.  Se estiman 14 desplazamientos para el equipo humano durante el desarrollo del proyecto con viajes nacionales, con sus viáticos, se estima 1 taller práctico por subregion y 5 predios demostrativos  con 5 días de campo por subregión.  Se estima intervenir 50.000 predios, de los cuales 35.000 se estiman como predios de pequeños productores y el resto como medianos y grandes, por un período de 10 años, es decir 3.500 predios anuales y 1.500 para predios de medianos productores  y un apoyo directo de 3 millones y 2.5 millones respectivamente. Por presupuestar otras formas de levantamiento de información y mejora de la gestión de residuos.</t>
  </si>
  <si>
    <t>Campaña Publicitaria</t>
  </si>
  <si>
    <t>Cursos libres Virtuales</t>
  </si>
  <si>
    <t xml:space="preserve">Apoyo Certificaciones </t>
  </si>
  <si>
    <t xml:space="preserve">ICR Planta de tratamiento pequeña (Caudal de 2500 lt/hora) </t>
  </si>
  <si>
    <t>ICR Planta de tratamiento mediana (Caudal de 5000 lt/hora)</t>
  </si>
  <si>
    <t>ICR Planta de tratamiento grande (Caudal mayor a 5000 lts/hora)</t>
  </si>
  <si>
    <t>Otras formas de mejoramiento</t>
  </si>
  <si>
    <t>Total año 4 al 7 y 19 al 20</t>
  </si>
  <si>
    <t>Total año 8 al 18</t>
  </si>
  <si>
    <t>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3 personas  con un salario promedio de $7.589.549. Se estiman 4 desplazamientos para el equipo humano durante el desarrollo del proyecto con viajes nacionales, con sus viáticos, Diplomados en gestión de residuos y cursos libres virtuales.Certificaciones en temas ambientales (43 millones por empresa - el costo incluye asesoría y certificación). Se estima apoyar a 250 empresas, durante 10 años, es decir 25 empresas año.Se estima un ICR del 20%,15% y 10% de acuerdo al tamaño de la planta, para incentivar la compra y modernización de plantas de tratamiento a 250 empresas durante 10 años, es decir intervenir a  25 micro empresas, 15 pequeñas y 10 medianas al año. Por presupuestar otras formas de mejoramiento.</t>
  </si>
  <si>
    <t>Campaña publicitaria</t>
  </si>
  <si>
    <t>Talleres prácticos/procesos</t>
  </si>
  <si>
    <t xml:space="preserve">Incentivo Microempresas </t>
  </si>
  <si>
    <t>Incentivo Pequeñas Empresas</t>
  </si>
  <si>
    <t>Incentivo Medianas Empresas</t>
  </si>
  <si>
    <t>Otros mecanismos de promoción</t>
  </si>
  <si>
    <t>Total año 3 al 5 y 14 al 20 cada 2 años</t>
  </si>
  <si>
    <t>Total año 6 al 13</t>
  </si>
  <si>
    <t>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virtuales.De acuerdo con la Resolución 957 del 2019  de la DIAN, relacionado con la clasificación de las empresas por el valor de ingresos, en micro, pequeñas y medianas, se tomó el valor de los ingresos  y se estimó un porcentaje del 20%, 10% y 5%  respectivamente, para implementar procesos que agreguen  valor al lactosuero. Se estima intervenir 250 empresas durante 8 años, así: 150 microempresas, pequeñas 75 y 25 medianas, es decir 19 microempresas, 9 pequeñas y 3 medianas por año.</t>
  </si>
  <si>
    <t>Incentivos Microempresas</t>
  </si>
  <si>
    <t>Incentivos Pequeñas Empresas</t>
  </si>
  <si>
    <t>Incentivo Mediana Empresa</t>
  </si>
  <si>
    <t>Levantamiento de información</t>
  </si>
  <si>
    <t>Total año 3 al 6 y 17 al 20</t>
  </si>
  <si>
    <t>Total año 7 al 16</t>
  </si>
  <si>
    <t>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 y cursos cortos. .De acuerdo con la Resolución 957 del 2019  de la DIAN, relacionado con la clasificación de las empresas por el valor de ingresos se estima intervenir 250 empresas durante 8 años, así: 150 microempresas, pequeñas 75 y 25 medianas, es decir 19 microempresas, 9 pequeñas y 3 medianas por año.</t>
  </si>
  <si>
    <t>Total año 3 al 20</t>
  </si>
  <si>
    <t>Para llevar a cabo el proyecto se estima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 y cursos cortos.</t>
  </si>
  <si>
    <t>Año 1 al 5 y luego cada 3 años hasta el año 20</t>
  </si>
  <si>
    <t>Convenio Operatividad del observatorio</t>
  </si>
  <si>
    <t>Domino de Sistemas de Información</t>
  </si>
  <si>
    <t>Dominio de Servicios tecnológicos</t>
  </si>
  <si>
    <t>Para llevar a cabo el proyecto se estima la realización de mesas de trabajo virtuales,  la realización de talleres nacionales y regionales  virtuales y presenciales, realización de eventos de promoción y divulgación nacional, regional de manera presencial y virtual.  Se estima material promocional. Se estima recurso humano  de 5 personas  con un salario promedio de $5.464.476.   Se estiman 6 viajes nacionales, con sus viáticos. Se considera por presupuestar el valor del convenio de operatividad del observatorio, así como los sistemas de información y servicios tecnológicos. El dominios del sistemas de información: debe contener el desarrollo de la metodología que cubra el ciclo de vida del observatorio, fase inicial (diseño), gobernabilidad y administración. El dominio de servicios tecnológicos está conformado por los diferentes componentes de Hardware, software y conectividad necesarios para el despliegue del observatorio y estrategias de operación.   Tomado de Anexo Resolución 000383 de 2019 de MADR (lineamientos para el diseño e implementación del observatorio de tierras).</t>
  </si>
  <si>
    <t>Análisis de laboratorio nutricional y sensorial y calidad</t>
  </si>
  <si>
    <t>Otros mecanismos de desarrollo</t>
  </si>
  <si>
    <t>Total años 2 al 5 y del 11 al 20</t>
  </si>
  <si>
    <t>Total años 6 al 10</t>
  </si>
  <si>
    <t>Otras formas de Evaluación</t>
  </si>
  <si>
    <t>Total año 1 al 20</t>
  </si>
  <si>
    <t>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recurso humano  de 3 personas  con un salario promedio de $6.372.222.  Se considera por presupuestar otras formas de evaluación.</t>
  </si>
  <si>
    <t>Por  definir</t>
  </si>
  <si>
    <t xml:space="preserve">Tabla. Estimación de Costos por programa y proyecto (Valores base COP del 2021)   </t>
  </si>
  <si>
    <t>Año 1 al año 20</t>
  </si>
  <si>
    <t>Tercerización</t>
  </si>
  <si>
    <t>Total año 1 al 3, 15 al 20</t>
  </si>
  <si>
    <t>Total año 4 al 14</t>
  </si>
  <si>
    <t>Semana/dia</t>
  </si>
  <si>
    <t>Cursos Libres Virtuales</t>
  </si>
  <si>
    <t>Apoyo Cursos libres</t>
  </si>
  <si>
    <t>Costo/persona</t>
  </si>
  <si>
    <t>Apoyos Diplomado</t>
  </si>
  <si>
    <t>Apoyos Maestría</t>
  </si>
  <si>
    <t>Apoyos Doctorado</t>
  </si>
  <si>
    <t>Otros mecanismos de concertacion y diseño</t>
  </si>
  <si>
    <t>Total año 1 al 5, 11 al 20</t>
  </si>
  <si>
    <t>Total año 6 al 10</t>
  </si>
  <si>
    <t>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desplazamiento del equipo humano, se estima 10 cursos libres virtuales por región,  se estiman la realización de 200 cursos libres, es decir 20 por región, 10 diplomados por región, 2 personas por región para realizar maestría, y 10 personas para realizar doctorado, una por región.Se estima recurso humano  de 5 personas  con un salario promedio de $10.018.207.  Por presupuestar otros mecanismos de concertación y diseño.</t>
  </si>
  <si>
    <t>Otros mecanismos de diseño y puesta en marcha</t>
  </si>
  <si>
    <t>Total año 1 al 2</t>
  </si>
  <si>
    <t>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campaña institucional, material promocional. Se estima recurso humano  de 4 personas  con un salario promedio de $8.652.088.   Se estiman 8 viajes nacionales, con sus viáticos y por presupuestar otros mecanismos de diseño y puesta en marcha.</t>
  </si>
  <si>
    <t>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recurso humano  de 4 personas  con un salario promedio de $5.464.476.   Por presupuestar otros mecanismos de fortalecimiento.</t>
  </si>
  <si>
    <t>Ampliación Gradual del Sistema trazabilidad</t>
  </si>
  <si>
    <t xml:space="preserve">Se estima la realización de mesas de trabajo institucionales virtuales y presenciales por mes,  la realización de 4 talleres y eventos nacionales  presenciales y talleres y/o eventos  virtuales y presenciales por región. Se estima una campaña institucional y un monto global de material promocional de 50 millones.  Se estima la realización de 10 cursos cortos virtuales por región. Y se estima un valor global de requerimiento de recursos para la ampliación gradual del sistema de trazabilidad de $3,750 millones, basados en el presupuesto asignado al programa nacional de trazabilidad para el 2021.Se estima recurso humano por  monto y sus desplazamientos. </t>
  </si>
  <si>
    <t>Total año 12 al 20 (Mantenimiento)</t>
  </si>
  <si>
    <t>Fortalecimiento de IVC para residuos de medicamentos y contaminantes en leche</t>
  </si>
  <si>
    <t>Desplazamiento equipo humano regional (Tiquetes y viáticos)</t>
  </si>
  <si>
    <t>Para llevar a cabo el proyecto se estima la realización de mesas de trabajo institucionales virtuales y presenciales por región. Los viáticos y tiquetes, la realización de talleres nacionales y regionales  virtuales y presenciales, realización de eventos de promoción y divulgación nacional, regional de manera presencial y virtual , 1 campaña institucional, matarial promocional. Se estima recurso humano  de 5 personas  con un salario promedio de $6.982.386.   Se estiman 10 viajes nacionales, con sus viáticos.  se estima recurso humano subregional con sus desplazamientos.Se estima el fortalecimiento de laboratorios, dos por región al finalizar el plan, también se estima un ICR del 20%.  Se estima un valor global de 5.500 mill para fortalecer la IVC para residuos de medicamentos y contaminantes en leche. Se considera por presupuestar  la necesidad de tercerización u otras estrategias para fortalecer la capacidad operativa de la entidad y otros mecanismos de fortalecimiento.</t>
  </si>
  <si>
    <t>Para llevar a cabo el proyecto se estima la realización de mesas de trabajo virtuales,  la realización de talleres nacionales y regionales  virtuales y presenciales, realización de eventos de promoción y divulgación nacional, regional de manera presencial y virtual, viáticos y tiquetes de un consultor internacional, se estima la realizacion de 150 analisis de productos y mercadeo en 5 años, es decir 1 por subregion al año. estima recurso humano nacional  de 3 personas  con un salario promedio de $7.589.549 y 10 personas con recurso humano regional con un salario promedio de $4.857.310.   Se estiman 4 viajes nacionales, con sus viáticos. Se considera por presupuestar otros mecanismos de desarrollo</t>
  </si>
  <si>
    <t>Año 2 al 10 y luego cada 5 años hasta el año 20</t>
  </si>
  <si>
    <t>1.2.2.  Adelantar un proceso de reingeniería de los programas nacionales de control de la brucelosis y la tuberculosis bovina, con la participación de los gremios y actores del sector, teniendo en cuenta diferentes métodos de diagnóstico y monitoreo,  la necesidad de destinar y/o fortalecer los recursos de indemnización por sacrificio de animales positivos y la disponibilidad de infraestructura de sacrificio de animales positivos, con especial énfasis en el proceso de certificación de  hatos libres y con miras a avanzar vertiginosamente en la certificación de zonas libres.</t>
  </si>
  <si>
    <t>2.1.1. Apalancar y robustecer los procesos de trazabilidad del eslabón primario, (identificación animal, guías sanitarias de movilización interna, entre otros), en las zonas priorizadas y/o estratégicas definidas y atendiendo criterios de gradualidad.</t>
  </si>
  <si>
    <t>2.1.2. Crear un grupo de trabajo al interior del SINIGAN con dedicación específica al sector lácteo, con miras a fortalecer las acciones del sistema en este sector y generar la articulación con otros sistemas de información y actividades de IVC</t>
  </si>
  <si>
    <t>2.1.3. Validar el marco conceptual para la trazabilidad de la leche y reglamentar en el marco de la Ley 914 de 2004, de la Ley 1659 de 2013, de la Ley 1122 de 2007, de la Resolución 770 de 2014 y demás normatividad vigente, el proceso de trazabilidad de la leche y sus derivados, en aspectos tales como: identificación de predios productores, contenedores, carrotanques, centros de acopio, plantas de proceso; transporte, centros de distribución y registro de los movimientos diarios de leche reportando volumen, precio, calidad (análisis fisicoquímico, microbiológico, residuos, contaminantes, etc.).</t>
  </si>
  <si>
    <t>2.1.4. Fortalecer el desarrollo del módulo requerido para realizar la trazabilidad de la leche, en el SINIGAN.</t>
  </si>
  <si>
    <t>2.1.6. Desarrollar una estrategia financiera para garantizar la disponibilidad de los recursos requeridos por el sistema nacional de trazabilidad, tanto para su operación como para su evaluación y seguimiento, así como el apoyo del sector privado en dicha estrategia</t>
  </si>
  <si>
    <t>2.1.7. Apalancar la masificación y evaluación del sistema de trazabilidad para la cadena láctea en las zonas priorizadas y/o estratégicas definidas y atendiendo criterios de gradualidad, así como el establecimiento de acciones de monitoreo y seguimiento.</t>
  </si>
  <si>
    <t>15.1.1 Fortalecer la Unidad de Seguimiento de Precios de la Leche del MADR, para que adicionalmente a sus funciones actuales, comience a desarrollar funciones propias de un Observatorio de la Cadena Láctea, en consonancia con lo plantado en el Punto N° 5 del Acuerdo Marco para la Sostenibilidad del Sector Lácteo.</t>
  </si>
  <si>
    <t>15.1.2. Elaborar un estudio técnico, financiero, jurídico y operativo para el desarrollo del observatorio, teniendo en cuenta los requerimientos de información de la cadena y los avances en el fortalecimiento de la Unidad de Seguimiento de Precios de Leche del MinAgricultura, definiendo la mejor alternativa para la gestión de la información de la cadena láctea.</t>
  </si>
  <si>
    <t>15.1.3. Definir e implementar el marco normativo y los recursos físicos, humanos y tecnológicos para la constitución, puesta en marcha y funcionamiento del observatorio de la cadena láctea y establecer acuerdos con diferentes organizaciones para asegurar el flujo y la calidad de la información de interés para la cadena, así como la interoperabilidad con otros sistemas de información relacionados con el sector lácteo, tanto a nivel nacional como regional.</t>
  </si>
  <si>
    <t>15.1.4. Operar el observatorio de la cadena láctea, enfocado en el monitoreo y análisis de la competitividad, la eficiencia y el desempeño productivo de los diferentes eslabones de la cadena, y de la implementación de la política sectorial.</t>
  </si>
  <si>
    <t>15.1.5. Actualizar de manera periódica los estudios y caracterizaciones para la formulación y seguimiento de los instrumentos de política del sector lácteo, teniendo en cuenta el desarrollo y resultados del proyecto 15.2.</t>
  </si>
  <si>
    <t>18.2.1. Realizar un estudio que permita analizar diferentes alternativas para fortalecer el desempeño de la Organización de Cadena del sector lácteo tanto a nivel nacional como regional, especialmente enfocado en la mejora de la capacidad ejecutiva de la cadena láctea para la gestión y ejecución de recursos de este Plan de Ordenamiento de acuerdo con las directrices del MinAgricultura.</t>
  </si>
  <si>
    <t xml:space="preserve">Se estima la realización de mesas de trabajo  virtuales y presenciales por mes. Se estima la realización de 4 talleres y/o eventos nacionales y talleres y/o eventos  presenciales y  virtuales (1 por subregión). Se estimó recurso humano de 4 personas, por un valor promedio de $5.564.476 durante 12 meses. </t>
  </si>
  <si>
    <t xml:space="preserve">Se estima la realización de mesas de trabajo  virtuales y presenciales por mes. Se estima la realización de 8 talleres y/o eventos nacionales presenciales y  virtuales por subregión. Se estima un plan de medios radial regional.  Se estima una campaña publicitaria a nivel nacional, así como campañas regionales, un monto global de pautas en redes sociales, 5 vallas nacionales y vallas regionales (una por región),   la realización de 20 cursos libres (2 por región), 40 cursos libres virtuales y presenciales, 20 diplomados virtuales y presenciales. Se estima realización de ruedas de negocio y ferias comerciales por región. Se estima la realización de 10 análisis de Laboratorio nutricional  para producto (ASL) por región, es decir 100.  De acuerdo a la Resolución 957 del 2019  de la DIAN, relacionado con la clasificación de las empresas de acuerdo al valor de ingresos, en micro, pequeñas y medianas, se tomó el valor de los ingresos  y se estimó un porcentaje del 20% ,10% y 10%, posteriormente se calculó un 10%, 5% y 2% para  invertir en desarrollo de empaques y etiquetas para apoyar a 10 empresas (5 micro, 3 pequeñas y 2 medianas) durante 10 años. Se estima recurso humano  y su desplazamiento. </t>
  </si>
  <si>
    <t xml:space="preserve">Se estima la realización de mesas de trabajo  virtuales y presenciales por mes. Se estima la realización de 8 talleres y/o eventos nacionales presenciales y  virtuales por subregión. Se estiman campañas publicitarias regionales,  un monto global para pautas en redes sociales, 2 stands de promoción y divulgación nacional y dos por región.  La realización de 20 cursos libres (2 por región), 20 cursos libres virtuales y presenciales, 20 diplomados virtuales y presenciales. Se estima realización de ruedas de negocio y ferias comerciales por región. Se estima la realización de 6 análisis de Laboratorio nutricional  para producto (ASL) por región, es decir 60 y un incentivo del 50% a este valor.   Se estima recurso humano para realizar degustación (6 por región) y también recurso humano a nivel nacional, así como  su desplazamiento. </t>
  </si>
  <si>
    <t xml:space="preserve">Se estima la realización de mesas de trabajo  virtuales y presenciales por mes. Se estima la realización de 8 talleres y/o eventos nacionales presenciales y  virtuales por subregión. Se estiman pautas en redes sociales, 20 cursos libres virtuales y presenciales, 2 tiquetes de consultores internacionales y viáticos. Se estima realización de ruedas de negocio y ferias comerciales por región.  Se estima recurso humano para realizar degustación (6 por región) y también recurso humano a nivel nacional, así como  su desplazamiento. </t>
  </si>
  <si>
    <t xml:space="preserve">Se estima la realización de mesas de trabajo  virtuales y presenciales. Se estima la realización de 4 talleres y/o eventos nacionales presenciales y/o virtuales. Se estima la realización de  cursos cortos , cursos libres virtuales y presenciales, diplomados virtuales y presenciales. Se estima recurso humano  y su desplazamiento. </t>
  </si>
  <si>
    <t>Se estima la realización de mesas de trabajo virtuales y presenciales por mes. Se estima la realización de 4 talleres y/o eventos de divulgación nacionales y regionales  presenciales y virtuales por subregión.  Se estima la realización de 20 cursos cortos (2 por región), 100 cursos libres virtuales y presenciales, parcelas demostrativas (5 por región), dias de campo (3 por región), ruedas de negocios por región. Se calcula un incentivo para el emprendimiento de nuevos empresas (10 empresas), este valor se calculó estimando un 10% del valor de los ingresos y a este valor se le calculó un 20% para el valor de incentivo otorgado.  Se calcula un incentivo para la producción de forrajes así: Se estima que los productores pequeños  tienen hasta 10 animales y los medianos hasta 40 animales, el valor de la producción anual es de $5.000.000 para pequeños y 4.000.000 para medianos, de acuerdo a la cantidad de lts de leche y al valor de la producción promedio de leche año (USP).  Se calcula un % de crédito del 70% y de este se calcula un incentivo del 20% y 10% dependiendo el tipo de productor.  Se estima intervenir 100 empresas pequeñas y 50 medianas, durante los 10 años. Se estima recurso humano para llevar a cabo el proyecto.</t>
  </si>
  <si>
    <t>Total año 1 al 11</t>
  </si>
  <si>
    <t xml:space="preserve">2.1. Fortalecimiento del sistema oficial de trazabilidad para la cadena láctea. </t>
  </si>
  <si>
    <t xml:space="preserve">2.1.Fortalecimiento del sistema oficial de trazabilidad para la cadena láctea. </t>
  </si>
  <si>
    <t>PROGRAMA - PROYECTO /AÑO (1 al 20)</t>
  </si>
  <si>
    <t>PROGRAMA - PROYECTO / AÑO (1 al 20)</t>
  </si>
  <si>
    <t>Última Actualización: 28 de Octubre de 2021 Hora: 3:30 pm</t>
  </si>
  <si>
    <t xml:space="preserve">Año 1 al año 19 cada 3 años </t>
  </si>
  <si>
    <t>Corto Plazo
 (1 al 4 año)</t>
  </si>
  <si>
    <t>16.2.4. Socializar, con productores de leche y agentes económicos compradores de leche cruda, de manera permanente y a nivel subregiónal, el sistema de pago de leche cruda.</t>
  </si>
  <si>
    <t>Año 1 al 20</t>
  </si>
  <si>
    <t>4.3.4. Realizar extensión y asistencia técnica a productores de leche en temas básicos de sanidad e inocuidad, alimentación, pastos y forrajes, reproducción y mejoramiento genético, sostenibilidad ambiental, costos de producción, TIC, entre otros.</t>
  </si>
  <si>
    <t>4.3.5. Realizar extensión y asistencia técnica a MiPymes lácteas del eslabón de comercialización y procesamiento de leche en temas básicos de sanidad e inocuidad, fabricación de productos lácteos, costos de producción, TIC, desarrollo de proveedores, sostenibilidad ambiental, entre otros.</t>
  </si>
  <si>
    <t>5.2.4. Promover alianzas comerciales entre los productores de leche y productores de forrajes y subproductos agrícolas, para responder a la demanda de alimento de los hatos lecheros, así como de estos con los proveedores de insumos nacionales e internacionales.</t>
  </si>
  <si>
    <t>5.2.5. Promover la creación y desarrollo de empresas dedicadas a la producción de forrajes conservados y a la fabricación de insumos requeridos para esta actividad.</t>
  </si>
  <si>
    <t>5.2.6. Fomentar las inversiones requeridas para la producción y comercialización de forrajes conservados, así como la compra de insumos nacionales e importados, a través de instrumentos financieros e incentivos.</t>
  </si>
  <si>
    <t>7.1.1. Identificar periódicamente las tendencias, oportunidades y desafíos relacionados con la exportación de productos lácteos, así como los mercados objetivo, condiciones de acceso, canales de comercialización y segmentos de mercado, entre otras variables de importancia para impulsar ventas al exterior, realizando análisis de las oportunidades de exportación que brindan los acuerdos comerciales internacionales vigentes, y teniendo en cuenta el avance y desarrollo de la actividad 15.2.1, que esta enfocada en realizar estudios de mercado para productos lácteos, y de los análisis del observatorio de la cadena láctea.</t>
  </si>
  <si>
    <t>1. Documentos normativos para la cadena láctea actualizados
2. Servicio de divulgación del sistema de pago de leche cruda, para productores de leche y agentes económicos compradores de leche cruda.</t>
  </si>
  <si>
    <t>Para llevar a cabo el proyecto se estima la realización de mesas de trabajo institucionales virtuales y presenciales por región, la realización de talleres nacionales y regionales  virtuales. Se estima recurso humano  de 2 personas  con un salario promedio de $6.982.386. Se considera por presupuestar otras formas de evaluación y de socialización.</t>
  </si>
  <si>
    <t>Otras formas de Evaluación y de Socialización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</si>
</sst>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_-;\-* #,##0_-;_-* &quot;-&quot;??_-;_-@_-"/>
    <numFmt numFmtId="167" formatCode="_-&quot;$&quot;\ * #,##0_-;\-&quot;$&quot;\ * #,##0_-;_-&quot;$&quot;\ * &quot;-&quot;??_-;_-@_-"/>
    <numFmt numFmtId="168" formatCode="_-* #,##0.0_-;\-* #,##0.0_-;_-* &quot;-&quot;??_-;_-@_-"/>
    <numFmt numFmtId="169" formatCode="_(&quot;$&quot;\ * #,##0_);_(&quot;$&quot;\ * \(#,##0\);_(&quot;$&quot;\ * &quot;-&quot;??_);_(@_)"/>
    <numFmt numFmtId="170" formatCode="_(* #,##0_);_(* \(#,##0\);_(* &quot;-&quot;??_);_(@_)"/>
    <numFmt numFmtId="171" formatCode="0.0%"/>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b/>
      <sz val="8"/>
      <color rgb="FF333333"/>
      <name val="Arial"/>
      <family val="2"/>
    </font>
    <font>
      <sz val="8"/>
      <color rgb="FF333333"/>
      <name val="Arial"/>
      <family val="2"/>
    </font>
    <font>
      <sz val="8"/>
      <color theme="1"/>
      <name val="Calibri"/>
      <family val="2"/>
      <scheme val="minor"/>
    </font>
    <font>
      <sz val="10"/>
      <color rgb="FFFF0000"/>
      <name val="Calibri"/>
      <family val="2"/>
      <scheme val="minor"/>
    </font>
    <font>
      <sz val="9"/>
      <color theme="1"/>
      <name val="Calibri"/>
      <family val="2"/>
      <scheme val="minor"/>
    </font>
    <font>
      <sz val="12"/>
      <color theme="1"/>
      <name val="Calibri"/>
      <family val="2"/>
      <scheme val="minor"/>
    </font>
    <font>
      <sz val="11"/>
      <color theme="1"/>
      <name val="Arial"/>
      <family val="2"/>
    </font>
    <font>
      <b/>
      <sz val="10"/>
      <color rgb="FF000000"/>
      <name val="Calibri"/>
      <family val="2"/>
      <scheme val="minor"/>
    </font>
    <font>
      <sz val="10"/>
      <name val="Calibri"/>
      <family val="2"/>
      <scheme val="minor"/>
    </font>
    <font>
      <sz val="10"/>
      <color theme="5"/>
      <name val="Calibri"/>
      <family val="2"/>
      <scheme val="minor"/>
    </font>
    <font>
      <b/>
      <sz val="10"/>
      <name val="Calibri"/>
      <family val="2"/>
      <scheme val="minor"/>
    </font>
    <font>
      <u/>
      <sz val="8"/>
      <color theme="10"/>
      <name val="Calibri"/>
      <family val="2"/>
      <scheme val="minor"/>
    </font>
    <font>
      <sz val="8"/>
      <name val="Calibri"/>
      <family val="2"/>
      <scheme val="minor"/>
    </font>
    <font>
      <b/>
      <sz val="10"/>
      <color rgb="FFFF0000"/>
      <name val="Calibri"/>
      <family val="2"/>
      <scheme val="minor"/>
    </font>
    <font>
      <b/>
      <sz val="12"/>
      <color theme="1"/>
      <name val="Calibri"/>
      <family val="2"/>
      <scheme val="minor"/>
    </font>
    <font>
      <b/>
      <sz val="12"/>
      <color rgb="FF000000"/>
      <name val="Calibri"/>
      <family val="2"/>
      <scheme val="minor"/>
    </font>
    <font>
      <sz val="11"/>
      <name val="Calibri"/>
      <family val="2"/>
      <scheme val="minor"/>
    </font>
    <font>
      <b/>
      <sz val="14"/>
      <name val="Calibri"/>
      <family val="2"/>
      <scheme val="minor"/>
    </font>
    <font>
      <b/>
      <sz val="14"/>
      <color theme="1"/>
      <name val="Calibri"/>
      <family val="2"/>
      <scheme val="minor"/>
    </font>
    <font>
      <sz val="14"/>
      <color theme="1"/>
      <name val="Calibri"/>
      <family val="2"/>
      <scheme val="minor"/>
    </font>
    <font>
      <strike/>
      <sz val="10"/>
      <color rgb="FF990000"/>
      <name val="Arial"/>
      <family val="2"/>
    </font>
    <font>
      <b/>
      <sz val="11"/>
      <color theme="1"/>
      <name val="Calibri"/>
      <family val="2"/>
    </font>
    <font>
      <sz val="11"/>
      <color theme="1"/>
      <name val="Calibri"/>
      <family val="2"/>
    </font>
    <font>
      <sz val="10"/>
      <color theme="1"/>
      <name val="Calibri"/>
      <family val="2"/>
    </font>
    <font>
      <sz val="9"/>
      <color theme="1"/>
      <name val="Calibri"/>
      <family val="2"/>
    </font>
    <font>
      <sz val="11"/>
      <name val="Calibri"/>
      <family val="2"/>
    </font>
    <font>
      <b/>
      <sz val="11"/>
      <color rgb="FF000000"/>
      <name val="Calibri"/>
      <family val="2"/>
      <scheme val="minor"/>
    </font>
    <font>
      <b/>
      <sz val="11"/>
      <name val="Calibri"/>
      <family val="2"/>
      <scheme val="minor"/>
    </font>
    <font>
      <sz val="11"/>
      <color theme="8" tint="0.39997558519241921"/>
      <name val="Calibri"/>
      <family val="2"/>
      <scheme val="minor"/>
    </font>
    <font>
      <b/>
      <sz val="11"/>
      <color indexed="8"/>
      <name val="Calibri"/>
      <family val="2"/>
      <scheme val="minor"/>
    </font>
    <font>
      <sz val="11"/>
      <color theme="6" tint="-0.249977111117893"/>
      <name val="Calibri"/>
      <family val="2"/>
      <scheme val="minor"/>
    </font>
    <font>
      <sz val="11"/>
      <color theme="1"/>
      <name val="Calibri (Body)"/>
    </font>
    <font>
      <b/>
      <sz val="11"/>
      <color theme="0"/>
      <name val="Calibri"/>
      <family val="2"/>
      <scheme val="minor"/>
    </font>
    <font>
      <sz val="11"/>
      <color theme="0"/>
      <name val="Calibri"/>
      <family val="2"/>
      <scheme val="minor"/>
    </font>
    <font>
      <b/>
      <sz val="11"/>
      <color theme="1"/>
      <name val="Calibri (Body)"/>
    </font>
    <font>
      <sz val="11"/>
      <color rgb="FF000000"/>
      <name val="Calibri"/>
      <family val="2"/>
      <scheme val="minor"/>
    </font>
    <font>
      <sz val="16"/>
      <color theme="1"/>
      <name val="Calibri"/>
      <family val="2"/>
      <scheme val="minor"/>
    </font>
    <font>
      <sz val="12"/>
      <color theme="1"/>
      <name val="Arial"/>
      <family val="2"/>
    </font>
    <font>
      <sz val="14"/>
      <color theme="1"/>
      <name val="Arial"/>
      <family val="2"/>
    </font>
    <font>
      <sz val="14"/>
      <color theme="0"/>
      <name val="Arial"/>
      <family val="2"/>
    </font>
    <font>
      <b/>
      <sz val="14"/>
      <color theme="1"/>
      <name val="Arial"/>
      <family val="2"/>
    </font>
    <font>
      <b/>
      <sz val="12"/>
      <color theme="1"/>
      <name val="Arial"/>
      <family val="2"/>
    </font>
  </fonts>
  <fills count="1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rgb="FF000000"/>
      </patternFill>
    </fill>
    <fill>
      <patternFill patternType="solid">
        <fgColor theme="2"/>
        <bgColor indexed="64"/>
      </patternFill>
    </fill>
    <fill>
      <patternFill patternType="solid">
        <fgColor theme="8" tint="0.39997558519241921"/>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708">
    <xf numFmtId="0" fontId="0" fillId="0" borderId="0" xfId="0"/>
    <xf numFmtId="0" fontId="5" fillId="0" borderId="0" xfId="0" applyFont="1"/>
    <xf numFmtId="0" fontId="6" fillId="2" borderId="0" xfId="0" applyFont="1" applyFill="1" applyAlignment="1">
      <alignment horizontal="center" wrapText="1"/>
    </xf>
    <xf numFmtId="0" fontId="5" fillId="3" borderId="0" xfId="0" applyFont="1" applyFill="1"/>
    <xf numFmtId="0" fontId="6" fillId="3" borderId="0" xfId="0" applyFont="1" applyFill="1" applyAlignment="1">
      <alignment horizontal="center" wrapText="1"/>
    </xf>
    <xf numFmtId="0" fontId="6" fillId="2" borderId="1" xfId="0" applyFont="1" applyFill="1" applyBorder="1"/>
    <xf numFmtId="166" fontId="5" fillId="0" borderId="0" xfId="1" applyNumberFormat="1" applyFont="1" applyBorder="1" applyAlignment="1">
      <alignment horizontal="center"/>
    </xf>
    <xf numFmtId="166" fontId="5" fillId="0" borderId="0" xfId="1" applyNumberFormat="1" applyFont="1" applyBorder="1"/>
    <xf numFmtId="0" fontId="6" fillId="4" borderId="1" xfId="0" applyFont="1" applyFill="1" applyBorder="1"/>
    <xf numFmtId="0" fontId="5" fillId="0" borderId="0" xfId="0" applyFont="1" applyAlignment="1">
      <alignment horizontal="center" vertical="center" wrapText="1"/>
    </xf>
    <xf numFmtId="0" fontId="6" fillId="0" borderId="1" xfId="0" applyFont="1" applyBorder="1"/>
    <xf numFmtId="166" fontId="6" fillId="0" borderId="1" xfId="1" applyNumberFormat="1" applyFont="1" applyBorder="1" applyAlignment="1">
      <alignment horizontal="center"/>
    </xf>
    <xf numFmtId="0" fontId="5" fillId="0" borderId="1" xfId="0" applyFont="1" applyBorder="1"/>
    <xf numFmtId="166" fontId="5" fillId="0" borderId="1" xfId="1" applyNumberFormat="1" applyFont="1" applyBorder="1" applyAlignment="1">
      <alignment horizontal="center"/>
    </xf>
    <xf numFmtId="0" fontId="5" fillId="0" borderId="2" xfId="0" applyFont="1" applyBorder="1"/>
    <xf numFmtId="166" fontId="5" fillId="0" borderId="3" xfId="1" applyNumberFormat="1" applyFont="1" applyBorder="1"/>
    <xf numFmtId="0" fontId="5" fillId="0" borderId="4" xfId="0" applyFont="1" applyBorder="1"/>
    <xf numFmtId="0" fontId="5" fillId="0" borderId="5" xfId="0" applyFont="1" applyBorder="1"/>
    <xf numFmtId="166" fontId="5" fillId="0" borderId="6" xfId="1" applyNumberFormat="1" applyFont="1" applyBorder="1"/>
    <xf numFmtId="0" fontId="5" fillId="0" borderId="7" xfId="0" applyFont="1" applyBorder="1"/>
    <xf numFmtId="0" fontId="5" fillId="0" borderId="6" xfId="0" applyFont="1" applyBorder="1"/>
    <xf numFmtId="0" fontId="5" fillId="0" borderId="8" xfId="0" applyFont="1" applyBorder="1"/>
    <xf numFmtId="0" fontId="5" fillId="0" borderId="9" xfId="0" applyFont="1" applyBorder="1"/>
    <xf numFmtId="0" fontId="5" fillId="0" borderId="10" xfId="0" applyFont="1" applyBorder="1"/>
    <xf numFmtId="0" fontId="7" fillId="0" borderId="0" xfId="4" applyFont="1" applyBorder="1"/>
    <xf numFmtId="0" fontId="5" fillId="0" borderId="0" xfId="0" applyFont="1" applyAlignment="1">
      <alignment horizontal="center"/>
    </xf>
    <xf numFmtId="0" fontId="6" fillId="0" borderId="11" xfId="0" applyFont="1" applyBorder="1"/>
    <xf numFmtId="0" fontId="6" fillId="0" borderId="0" xfId="0" applyFont="1" applyAlignment="1">
      <alignment horizontal="center"/>
    </xf>
    <xf numFmtId="166" fontId="6" fillId="0" borderId="1" xfId="1" applyNumberFormat="1" applyFont="1" applyBorder="1" applyAlignment="1"/>
    <xf numFmtId="166" fontId="5" fillId="0" borderId="1" xfId="0" applyNumberFormat="1" applyFont="1" applyBorder="1" applyAlignment="1">
      <alignment horizontal="center"/>
    </xf>
    <xf numFmtId="166" fontId="5" fillId="0" borderId="1" xfId="1" applyNumberFormat="1" applyFont="1" applyBorder="1" applyAlignment="1"/>
    <xf numFmtId="166" fontId="5" fillId="0" borderId="0" xfId="0" applyNumberFormat="1" applyFont="1" applyAlignment="1">
      <alignment horizontal="center"/>
    </xf>
    <xf numFmtId="166" fontId="5" fillId="0" borderId="0" xfId="1" applyNumberFormat="1" applyFont="1" applyBorder="1" applyAlignment="1"/>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166" fontId="5" fillId="0" borderId="0" xfId="0" applyNumberFormat="1" applyFont="1"/>
    <xf numFmtId="0" fontId="6" fillId="0" borderId="1" xfId="0" applyFont="1" applyBorder="1" applyAlignment="1">
      <alignment wrapText="1"/>
    </xf>
    <xf numFmtId="0" fontId="5" fillId="0" borderId="1" xfId="0" applyFont="1" applyBorder="1" applyAlignment="1">
      <alignment wrapText="1"/>
    </xf>
    <xf numFmtId="166" fontId="5" fillId="0" borderId="1" xfId="1" applyNumberFormat="1" applyFont="1" applyBorder="1" applyAlignment="1">
      <alignment wrapText="1"/>
    </xf>
    <xf numFmtId="0" fontId="5" fillId="0" borderId="1" xfId="0" applyFont="1" applyBorder="1" applyAlignment="1">
      <alignment horizontal="center"/>
    </xf>
    <xf numFmtId="166" fontId="6" fillId="4" borderId="1" xfId="1" applyNumberFormat="1" applyFont="1" applyFill="1" applyBorder="1"/>
    <xf numFmtId="166" fontId="6" fillId="0" borderId="0" xfId="1" applyNumberFormat="1" applyFont="1"/>
    <xf numFmtId="166" fontId="6" fillId="3" borderId="0" xfId="1" applyNumberFormat="1" applyFont="1" applyFill="1"/>
    <xf numFmtId="0" fontId="6" fillId="4" borderId="1" xfId="0" applyFont="1" applyFill="1" applyBorder="1" applyAlignment="1">
      <alignment horizontal="center"/>
    </xf>
    <xf numFmtId="166" fontId="5" fillId="0" borderId="1" xfId="1" applyNumberFormat="1" applyFont="1" applyBorder="1"/>
    <xf numFmtId="167" fontId="6" fillId="4" borderId="1" xfId="2" applyNumberFormat="1" applyFont="1" applyFill="1" applyBorder="1" applyAlignment="1">
      <alignment horizontal="center"/>
    </xf>
    <xf numFmtId="0" fontId="10" fillId="0" borderId="0" xfId="0" applyFont="1"/>
    <xf numFmtId="0" fontId="5" fillId="0" borderId="0" xfId="0" applyFont="1" applyAlignment="1">
      <alignment wrapText="1"/>
    </xf>
    <xf numFmtId="0" fontId="0" fillId="0" borderId="0" xfId="0" applyAlignment="1">
      <alignment wrapText="1"/>
    </xf>
    <xf numFmtId="166" fontId="6" fillId="0" borderId="0" xfId="1" applyNumberFormat="1" applyFont="1" applyBorder="1" applyAlignment="1">
      <alignment horizontal="center" wrapText="1"/>
    </xf>
    <xf numFmtId="0" fontId="6" fillId="6" borderId="11" xfId="0" applyFont="1" applyFill="1" applyBorder="1"/>
    <xf numFmtId="167" fontId="5" fillId="0" borderId="1" xfId="0" applyNumberFormat="1" applyFont="1" applyBorder="1"/>
    <xf numFmtId="0" fontId="6" fillId="7" borderId="1" xfId="0" applyFont="1" applyFill="1" applyBorder="1" applyAlignment="1">
      <alignment wrapText="1"/>
    </xf>
    <xf numFmtId="166" fontId="11" fillId="0" borderId="0" xfId="1" applyNumberFormat="1" applyFont="1" applyBorder="1" applyAlignment="1">
      <alignment horizontal="center"/>
    </xf>
    <xf numFmtId="166" fontId="5" fillId="0" borderId="1" xfId="0" applyNumberFormat="1" applyFont="1" applyBorder="1"/>
    <xf numFmtId="0" fontId="6" fillId="7" borderId="1" xfId="0" applyFont="1" applyFill="1" applyBorder="1"/>
    <xf numFmtId="166" fontId="6" fillId="7" borderId="1" xfId="1" applyNumberFormat="1" applyFont="1" applyFill="1" applyBorder="1"/>
    <xf numFmtId="167" fontId="5" fillId="0" borderId="1" xfId="2" applyNumberFormat="1" applyFont="1" applyBorder="1"/>
    <xf numFmtId="166" fontId="6" fillId="7" borderId="1" xfId="1" applyNumberFormat="1" applyFont="1" applyFill="1" applyBorder="1" applyAlignment="1">
      <alignment wrapText="1"/>
    </xf>
    <xf numFmtId="0" fontId="5" fillId="4" borderId="1" xfId="0" applyFont="1" applyFill="1" applyBorder="1" applyAlignment="1">
      <alignment wrapText="1"/>
    </xf>
    <xf numFmtId="166" fontId="6" fillId="4" borderId="1" xfId="1" applyNumberFormat="1" applyFont="1" applyFill="1" applyBorder="1" applyAlignment="1">
      <alignment wrapText="1"/>
    </xf>
    <xf numFmtId="0" fontId="5" fillId="0" borderId="0" xfId="0" applyFont="1" applyAlignment="1">
      <alignment horizontal="justify"/>
    </xf>
    <xf numFmtId="0" fontId="14" fillId="0" borderId="0" xfId="5" applyFont="1"/>
    <xf numFmtId="0" fontId="12" fillId="0" borderId="1" xfId="0" applyFont="1" applyBorder="1"/>
    <xf numFmtId="0" fontId="14" fillId="0" borderId="0" xfId="0" applyFont="1"/>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0" xfId="0" applyFont="1"/>
    <xf numFmtId="0" fontId="5" fillId="0" borderId="1" xfId="0" applyFont="1" applyBorder="1" applyAlignment="1">
      <alignment horizontal="left" vertical="center"/>
    </xf>
    <xf numFmtId="0" fontId="15" fillId="0" borderId="1" xfId="0" applyFont="1" applyBorder="1" applyAlignment="1">
      <alignment horizontal="left" vertical="center"/>
    </xf>
    <xf numFmtId="0" fontId="16" fillId="3" borderId="1" xfId="0" applyFont="1" applyFill="1" applyBorder="1" applyAlignment="1">
      <alignment wrapText="1"/>
    </xf>
    <xf numFmtId="166" fontId="16" fillId="3" borderId="1" xfId="1" applyNumberFormat="1" applyFont="1" applyFill="1" applyBorder="1"/>
    <xf numFmtId="0" fontId="16" fillId="3" borderId="1" xfId="0" applyFont="1" applyFill="1" applyBorder="1"/>
    <xf numFmtId="167" fontId="6" fillId="4" borderId="1" xfId="0" applyNumberFormat="1" applyFont="1" applyFill="1" applyBorder="1"/>
    <xf numFmtId="0" fontId="6" fillId="2" borderId="11" xfId="0" applyFont="1" applyFill="1" applyBorder="1" applyAlignment="1">
      <alignment horizontal="left"/>
    </xf>
    <xf numFmtId="0" fontId="6" fillId="2" borderId="1" xfId="0" applyFont="1" applyFill="1" applyBorder="1" applyAlignment="1">
      <alignment horizontal="center"/>
    </xf>
    <xf numFmtId="0" fontId="5" fillId="0" borderId="1" xfId="0" applyFont="1" applyBorder="1" applyAlignment="1">
      <alignment horizontal="left"/>
    </xf>
    <xf numFmtId="166" fontId="5" fillId="0" borderId="17" xfId="1" applyNumberFormat="1" applyFont="1" applyBorder="1"/>
    <xf numFmtId="166" fontId="5" fillId="0" borderId="1" xfId="1" applyNumberFormat="1" applyFont="1" applyBorder="1" applyAlignment="1">
      <alignment horizontal="right"/>
    </xf>
    <xf numFmtId="0" fontId="6" fillId="2" borderId="1" xfId="0" applyFont="1" applyFill="1" applyBorder="1" applyAlignment="1">
      <alignment wrapText="1"/>
    </xf>
    <xf numFmtId="167" fontId="6" fillId="2" borderId="1" xfId="2" applyNumberFormat="1" applyFont="1" applyFill="1" applyBorder="1" applyAlignment="1">
      <alignment wrapText="1"/>
    </xf>
    <xf numFmtId="166" fontId="5" fillId="0" borderId="0" xfId="1" applyNumberFormat="1" applyFont="1"/>
    <xf numFmtId="166" fontId="5" fillId="0" borderId="0" xfId="1" applyNumberFormat="1" applyFont="1" applyAlignment="1">
      <alignment horizont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4" xfId="0" applyFont="1" applyFill="1" applyBorder="1"/>
    <xf numFmtId="0" fontId="6" fillId="2" borderId="11" xfId="0" applyFont="1" applyFill="1" applyBorder="1"/>
    <xf numFmtId="166" fontId="6" fillId="2" borderId="1" xfId="0" applyNumberFormat="1" applyFont="1" applyFill="1" applyBorder="1"/>
    <xf numFmtId="0" fontId="5" fillId="3" borderId="1" xfId="0" applyFont="1" applyFill="1" applyBorder="1"/>
    <xf numFmtId="167" fontId="5" fillId="3" borderId="1" xfId="2" applyNumberFormat="1" applyFont="1" applyFill="1" applyBorder="1"/>
    <xf numFmtId="167" fontId="5" fillId="0" borderId="1" xfId="2" applyNumberFormat="1" applyFont="1" applyBorder="1" applyAlignment="1"/>
    <xf numFmtId="0" fontId="5" fillId="0" borderId="19" xfId="0" applyFont="1" applyBorder="1"/>
    <xf numFmtId="0" fontId="5" fillId="0" borderId="20" xfId="0" applyFont="1" applyBorder="1"/>
    <xf numFmtId="0" fontId="5" fillId="0" borderId="18" xfId="0" applyFont="1" applyBorder="1"/>
    <xf numFmtId="0" fontId="5" fillId="0" borderId="21" xfId="0" applyFont="1" applyBorder="1"/>
    <xf numFmtId="0" fontId="5" fillId="7" borderId="1" xfId="0" applyFont="1" applyFill="1" applyBorder="1"/>
    <xf numFmtId="166" fontId="5" fillId="7" borderId="1" xfId="1" applyNumberFormat="1" applyFont="1" applyFill="1" applyBorder="1"/>
    <xf numFmtId="0" fontId="5" fillId="0" borderId="22" xfId="0" applyFont="1" applyBorder="1"/>
    <xf numFmtId="0" fontId="5" fillId="0" borderId="23" xfId="0" applyFont="1" applyBorder="1"/>
    <xf numFmtId="166" fontId="6" fillId="2" borderId="1" xfId="1" applyNumberFormat="1" applyFont="1" applyFill="1" applyBorder="1"/>
    <xf numFmtId="0" fontId="0" fillId="0" borderId="21" xfId="0" applyBorder="1" applyAlignment="1">
      <alignment wrapText="1"/>
    </xf>
    <xf numFmtId="0" fontId="0" fillId="7" borderId="1" xfId="0" applyFill="1" applyBorder="1" applyAlignment="1">
      <alignment wrapText="1"/>
    </xf>
    <xf numFmtId="166" fontId="5" fillId="0" borderId="1" xfId="1" applyNumberFormat="1" applyFont="1" applyBorder="1" applyAlignment="1">
      <alignment vertical="center" wrapText="1"/>
    </xf>
    <xf numFmtId="167" fontId="5" fillId="0" borderId="1" xfId="2" applyNumberFormat="1" applyFont="1" applyBorder="1" applyAlignment="1">
      <alignment vertical="center"/>
    </xf>
    <xf numFmtId="0" fontId="6" fillId="6" borderId="1" xfId="0" applyFont="1" applyFill="1" applyBorder="1"/>
    <xf numFmtId="0" fontId="6" fillId="7" borderId="11" xfId="0" applyFont="1" applyFill="1" applyBorder="1"/>
    <xf numFmtId="0" fontId="6" fillId="7" borderId="1" xfId="0" applyFont="1" applyFill="1" applyBorder="1" applyAlignment="1">
      <alignment horizontal="center"/>
    </xf>
    <xf numFmtId="0" fontId="0" fillId="0" borderId="0" xfId="0" applyAlignment="1">
      <alignment horizontal="justify" vertical="justify" wrapText="1"/>
    </xf>
    <xf numFmtId="0" fontId="6" fillId="6" borderId="22" xfId="0" applyFont="1" applyFill="1" applyBorder="1"/>
    <xf numFmtId="166" fontId="6" fillId="6" borderId="17" xfId="0" applyNumberFormat="1" applyFont="1" applyFill="1" applyBorder="1"/>
    <xf numFmtId="0" fontId="0" fillId="0" borderId="0" xfId="0" applyAlignment="1">
      <alignment wrapText="1" shrinkToFit="1"/>
    </xf>
    <xf numFmtId="166" fontId="6" fillId="6" borderId="1" xfId="0" applyNumberFormat="1" applyFont="1" applyFill="1" applyBorder="1"/>
    <xf numFmtId="0" fontId="6" fillId="6" borderId="0" xfId="0" applyFont="1" applyFill="1"/>
    <xf numFmtId="166" fontId="6" fillId="6" borderId="1" xfId="1" applyNumberFormat="1" applyFont="1" applyFill="1" applyBorder="1"/>
    <xf numFmtId="0" fontId="6" fillId="6" borderId="1" xfId="0" applyFont="1" applyFill="1" applyBorder="1" applyAlignment="1">
      <alignment horizontal="center"/>
    </xf>
    <xf numFmtId="0" fontId="17" fillId="0" borderId="0" xfId="0" applyFont="1"/>
    <xf numFmtId="0" fontId="6" fillId="6" borderId="1" xfId="0" applyFont="1" applyFill="1" applyBorder="1" applyAlignment="1">
      <alignment horizontal="left"/>
    </xf>
    <xf numFmtId="0" fontId="18" fillId="7" borderId="1" xfId="0" applyFont="1" applyFill="1" applyBorder="1"/>
    <xf numFmtId="0" fontId="5" fillId="0" borderId="11" xfId="0" applyFont="1" applyBorder="1"/>
    <xf numFmtId="166" fontId="5" fillId="0" borderId="11" xfId="1" applyNumberFormat="1" applyFont="1" applyBorder="1"/>
    <xf numFmtId="166" fontId="18" fillId="7" borderId="1" xfId="1" applyNumberFormat="1" applyFont="1" applyFill="1" applyBorder="1"/>
    <xf numFmtId="0" fontId="19" fillId="0" borderId="0" xfId="4" applyFont="1"/>
    <xf numFmtId="0" fontId="10" fillId="0" borderId="1" xfId="0" applyFont="1" applyBorder="1" applyAlignment="1">
      <alignment wrapText="1"/>
    </xf>
    <xf numFmtId="0" fontId="5" fillId="0" borderId="0" xfId="0" applyFont="1" applyAlignment="1">
      <alignment horizontal="left"/>
    </xf>
    <xf numFmtId="0" fontId="6" fillId="7" borderId="0" xfId="0" applyFont="1" applyFill="1"/>
    <xf numFmtId="166" fontId="16" fillId="0" borderId="0" xfId="1" applyNumberFormat="1" applyFont="1" applyBorder="1"/>
    <xf numFmtId="166" fontId="16" fillId="0" borderId="1" xfId="1" applyNumberFormat="1" applyFont="1" applyBorder="1"/>
    <xf numFmtId="0" fontId="4" fillId="0" borderId="0" xfId="4"/>
    <xf numFmtId="0" fontId="5" fillId="0" borderId="1" xfId="0" applyFont="1" applyBorder="1" applyAlignment="1">
      <alignment vertical="center"/>
    </xf>
    <xf numFmtId="0" fontId="5" fillId="0" borderId="1" xfId="0" applyFont="1" applyBorder="1" applyAlignment="1">
      <alignment vertical="center" wrapText="1"/>
    </xf>
    <xf numFmtId="167" fontId="5" fillId="0" borderId="1" xfId="2" applyNumberFormat="1" applyFont="1" applyBorder="1" applyAlignment="1">
      <alignment wrapText="1"/>
    </xf>
    <xf numFmtId="167" fontId="5" fillId="0" borderId="0" xfId="2" applyNumberFormat="1" applyFont="1" applyBorder="1"/>
    <xf numFmtId="166" fontId="5" fillId="0" borderId="0" xfId="1" applyNumberFormat="1" applyFont="1" applyBorder="1" applyAlignment="1">
      <alignment wrapText="1"/>
    </xf>
    <xf numFmtId="43" fontId="18" fillId="7" borderId="1" xfId="1" applyFont="1" applyFill="1" applyBorder="1" applyAlignment="1">
      <alignment horizontal="center"/>
    </xf>
    <xf numFmtId="167" fontId="5" fillId="0" borderId="1" xfId="1" applyNumberFormat="1" applyFont="1" applyBorder="1" applyAlignment="1">
      <alignment horizontal="center"/>
    </xf>
    <xf numFmtId="166" fontId="5" fillId="3" borderId="0" xfId="1" applyNumberFormat="1" applyFont="1" applyFill="1" applyBorder="1"/>
    <xf numFmtId="9" fontId="5" fillId="0" borderId="0" xfId="0" applyNumberFormat="1" applyFont="1" applyAlignment="1">
      <alignment horizontal="center"/>
    </xf>
    <xf numFmtId="6" fontId="5" fillId="0" borderId="1" xfId="0" applyNumberFormat="1" applyFont="1" applyBorder="1"/>
    <xf numFmtId="0" fontId="6" fillId="7" borderId="1" xfId="0" applyFont="1" applyFill="1" applyBorder="1" applyAlignment="1">
      <alignment horizontal="left"/>
    </xf>
    <xf numFmtId="166" fontId="6" fillId="7" borderId="1" xfId="0" applyNumberFormat="1" applyFont="1" applyFill="1" applyBorder="1" applyAlignment="1">
      <alignment horizontal="center"/>
    </xf>
    <xf numFmtId="0" fontId="20" fillId="0" borderId="0" xfId="0" applyFont="1"/>
    <xf numFmtId="166" fontId="10" fillId="0" borderId="0" xfId="1" applyNumberFormat="1" applyFont="1" applyBorder="1"/>
    <xf numFmtId="166" fontId="10" fillId="0" borderId="0" xfId="1" applyNumberFormat="1" applyFont="1" applyBorder="1" applyAlignment="1">
      <alignment horizontal="center"/>
    </xf>
    <xf numFmtId="166" fontId="5" fillId="0" borderId="17" xfId="1" applyNumberFormat="1" applyFont="1" applyBorder="1" applyAlignment="1">
      <alignment horizontal="center"/>
    </xf>
    <xf numFmtId="0" fontId="16" fillId="0" borderId="0" xfId="0" applyFont="1" applyAlignment="1">
      <alignment wrapText="1"/>
    </xf>
    <xf numFmtId="167" fontId="5" fillId="0" borderId="0" xfId="0" applyNumberFormat="1" applyFont="1"/>
    <xf numFmtId="0" fontId="16" fillId="0" borderId="0" xfId="0" applyFont="1"/>
    <xf numFmtId="166" fontId="6" fillId="6" borderId="1" xfId="1" applyNumberFormat="1" applyFont="1" applyFill="1" applyBorder="1" applyAlignment="1">
      <alignment horizontal="center"/>
    </xf>
    <xf numFmtId="166" fontId="6" fillId="6" borderId="1" xfId="1" applyNumberFormat="1" applyFont="1" applyFill="1" applyBorder="1" applyAlignment="1">
      <alignment horizontal="left"/>
    </xf>
    <xf numFmtId="166" fontId="5" fillId="0" borderId="13" xfId="1" applyNumberFormat="1" applyFont="1" applyBorder="1"/>
    <xf numFmtId="167" fontId="6" fillId="6" borderId="1" xfId="0" applyNumberFormat="1" applyFont="1" applyFill="1" applyBorder="1" applyAlignment="1">
      <alignment horizontal="center"/>
    </xf>
    <xf numFmtId="0" fontId="11" fillId="0" borderId="0" xfId="0" applyFont="1"/>
    <xf numFmtId="0" fontId="6" fillId="3" borderId="1" xfId="0" applyFont="1" applyFill="1" applyBorder="1"/>
    <xf numFmtId="166" fontId="5" fillId="3" borderId="0" xfId="1" applyNumberFormat="1" applyFont="1" applyFill="1" applyBorder="1" applyAlignment="1">
      <alignment horizontal="center"/>
    </xf>
    <xf numFmtId="0" fontId="6" fillId="2" borderId="1" xfId="0" applyFont="1" applyFill="1" applyBorder="1" applyAlignment="1">
      <alignment horizontal="center" vertical="center" wrapText="1"/>
    </xf>
    <xf numFmtId="0" fontId="5" fillId="0" borderId="1" xfId="0" applyFont="1" applyBorder="1" applyAlignment="1">
      <alignment horizontal="left" wrapText="1"/>
    </xf>
    <xf numFmtId="0" fontId="5" fillId="0" borderId="0" xfId="0" applyFont="1" applyAlignment="1">
      <alignment horizontal="left" wrapText="1"/>
    </xf>
    <xf numFmtId="0" fontId="6" fillId="0" borderId="1" xfId="0" applyFont="1" applyBorder="1" applyAlignment="1">
      <alignment horizontal="left" wrapText="1"/>
    </xf>
    <xf numFmtId="9" fontId="5" fillId="0" borderId="1" xfId="0" applyNumberFormat="1" applyFont="1" applyBorder="1"/>
    <xf numFmtId="9" fontId="5" fillId="0" borderId="1" xfId="3" applyFont="1" applyBorder="1"/>
    <xf numFmtId="9" fontId="0" fillId="0" borderId="1" xfId="0" applyNumberFormat="1" applyBorder="1" applyAlignment="1">
      <alignment wrapText="1"/>
    </xf>
    <xf numFmtId="166" fontId="0" fillId="0" borderId="1" xfId="0" applyNumberFormat="1" applyBorder="1" applyAlignment="1">
      <alignment wrapText="1"/>
    </xf>
    <xf numFmtId="0" fontId="0" fillId="0" borderId="1" xfId="0" applyBorder="1" applyAlignment="1">
      <alignment wrapText="1"/>
    </xf>
    <xf numFmtId="0" fontId="10" fillId="0" borderId="0" xfId="0" applyFont="1" applyAlignment="1">
      <alignment horizontal="justify" wrapText="1"/>
    </xf>
    <xf numFmtId="166" fontId="5" fillId="0" borderId="0" xfId="1" applyNumberFormat="1" applyFont="1" applyBorder="1" applyAlignment="1">
      <alignment horizontal="center" wrapText="1"/>
    </xf>
    <xf numFmtId="9" fontId="5" fillId="0" borderId="0" xfId="3" applyFont="1" applyBorder="1"/>
    <xf numFmtId="0" fontId="5" fillId="0" borderId="0" xfId="0" applyFont="1" applyAlignment="1">
      <alignment horizontal="justify" wrapText="1"/>
    </xf>
    <xf numFmtId="166" fontId="6" fillId="0" borderId="0" xfId="1" applyNumberFormat="1" applyFont="1" applyBorder="1"/>
    <xf numFmtId="166" fontId="6" fillId="0" borderId="1" xfId="1" applyNumberFormat="1" applyFont="1" applyBorder="1"/>
    <xf numFmtId="0" fontId="10" fillId="0" borderId="0" xfId="0" applyFont="1" applyAlignment="1">
      <alignment wrapText="1"/>
    </xf>
    <xf numFmtId="166" fontId="6" fillId="7" borderId="1" xfId="1" applyNumberFormat="1" applyFont="1" applyFill="1" applyBorder="1" applyAlignment="1">
      <alignment horizontal="left"/>
    </xf>
    <xf numFmtId="166" fontId="6" fillId="7" borderId="1" xfId="1" applyNumberFormat="1" applyFont="1" applyFill="1" applyBorder="1" applyAlignment="1"/>
    <xf numFmtId="166" fontId="6" fillId="7" borderId="11" xfId="1" applyNumberFormat="1" applyFont="1" applyFill="1" applyBorder="1" applyAlignment="1">
      <alignment horizontal="center"/>
    </xf>
    <xf numFmtId="9" fontId="5" fillId="0" borderId="0" xfId="3" applyFont="1"/>
    <xf numFmtId="166" fontId="10" fillId="3" borderId="0" xfId="1" applyNumberFormat="1" applyFont="1" applyFill="1" applyBorder="1" applyAlignment="1">
      <alignment horizontal="left"/>
    </xf>
    <xf numFmtId="166" fontId="6" fillId="3" borderId="0" xfId="1" applyNumberFormat="1" applyFont="1" applyFill="1" applyBorder="1"/>
    <xf numFmtId="166" fontId="5" fillId="3" borderId="0" xfId="1" applyNumberFormat="1" applyFont="1" applyFill="1" applyBorder="1" applyAlignment="1">
      <alignment horizontal="left"/>
    </xf>
    <xf numFmtId="166" fontId="5" fillId="0" borderId="1" xfId="1" applyNumberFormat="1" applyFont="1" applyBorder="1" applyAlignment="1">
      <alignment horizontal="left" wrapText="1"/>
    </xf>
    <xf numFmtId="166" fontId="5" fillId="0" borderId="1" xfId="1" applyNumberFormat="1" applyFont="1" applyBorder="1" applyAlignment="1">
      <alignment horizontal="left"/>
    </xf>
    <xf numFmtId="9" fontId="5" fillId="0" borderId="1" xfId="3" applyFont="1" applyBorder="1" applyAlignment="1">
      <alignment horizontal="right"/>
    </xf>
    <xf numFmtId="166" fontId="6" fillId="7" borderId="1" xfId="1" applyNumberFormat="1" applyFont="1" applyFill="1" applyBorder="1" applyAlignment="1">
      <alignment horizontal="center"/>
    </xf>
    <xf numFmtId="166" fontId="5" fillId="7" borderId="1" xfId="1" applyNumberFormat="1" applyFont="1" applyFill="1" applyBorder="1" applyAlignment="1">
      <alignment horizontal="left"/>
    </xf>
    <xf numFmtId="166" fontId="5" fillId="7" borderId="1" xfId="1" applyNumberFormat="1" applyFont="1" applyFill="1" applyBorder="1" applyAlignment="1">
      <alignment horizontal="center"/>
    </xf>
    <xf numFmtId="166" fontId="6" fillId="3" borderId="1" xfId="1" applyNumberFormat="1" applyFont="1" applyFill="1" applyBorder="1" applyAlignment="1">
      <alignment horizontal="left"/>
    </xf>
    <xf numFmtId="166" fontId="6" fillId="3" borderId="0" xfId="1" applyNumberFormat="1" applyFont="1" applyFill="1" applyBorder="1" applyAlignment="1">
      <alignment horizontal="left"/>
    </xf>
    <xf numFmtId="168" fontId="6" fillId="2" borderId="1" xfId="1" applyNumberFormat="1" applyFont="1" applyFill="1" applyBorder="1" applyAlignment="1">
      <alignment horizontal="center" vertical="center" wrapText="1"/>
    </xf>
    <xf numFmtId="9" fontId="5" fillId="0" borderId="0" xfId="0" applyNumberFormat="1" applyFont="1"/>
    <xf numFmtId="166" fontId="6" fillId="3" borderId="1" xfId="1" applyNumberFormat="1" applyFont="1" applyFill="1" applyBorder="1"/>
    <xf numFmtId="9" fontId="5" fillId="3" borderId="0" xfId="3" applyFont="1" applyFill="1" applyBorder="1"/>
    <xf numFmtId="9" fontId="5" fillId="3" borderId="1" xfId="0" applyNumberFormat="1" applyFont="1" applyFill="1" applyBorder="1"/>
    <xf numFmtId="0" fontId="5" fillId="3" borderId="13" xfId="0" applyFont="1" applyFill="1" applyBorder="1"/>
    <xf numFmtId="0" fontId="16" fillId="3" borderId="0" xfId="0" applyFont="1" applyFill="1"/>
    <xf numFmtId="166" fontId="18" fillId="3" borderId="0" xfId="1" applyNumberFormat="1" applyFont="1" applyFill="1" applyBorder="1" applyAlignment="1">
      <alignment horizontal="left"/>
    </xf>
    <xf numFmtId="166" fontId="18" fillId="3" borderId="1" xfId="0" applyNumberFormat="1" applyFont="1" applyFill="1" applyBorder="1"/>
    <xf numFmtId="166" fontId="16" fillId="3" borderId="0" xfId="1" applyNumberFormat="1" applyFont="1" applyFill="1" applyBorder="1"/>
    <xf numFmtId="166" fontId="16" fillId="3" borderId="0" xfId="1" applyNumberFormat="1" applyFont="1" applyFill="1" applyBorder="1" applyAlignment="1">
      <alignment horizontal="left"/>
    </xf>
    <xf numFmtId="0" fontId="18" fillId="3" borderId="0" xfId="0" applyFont="1" applyFill="1"/>
    <xf numFmtId="0" fontId="10" fillId="3" borderId="1" xfId="0" applyFont="1" applyFill="1" applyBorder="1" applyAlignment="1">
      <alignment wrapText="1"/>
    </xf>
    <xf numFmtId="166" fontId="5" fillId="3" borderId="1" xfId="1" applyNumberFormat="1" applyFont="1" applyFill="1" applyBorder="1"/>
    <xf numFmtId="166" fontId="5" fillId="3" borderId="1" xfId="1" applyNumberFormat="1" applyFont="1" applyFill="1" applyBorder="1" applyAlignment="1">
      <alignment horizontal="center"/>
    </xf>
    <xf numFmtId="0" fontId="22" fillId="0" borderId="0" xfId="0" applyFont="1"/>
    <xf numFmtId="0" fontId="3" fillId="3" borderId="0" xfId="0" applyFont="1" applyFill="1"/>
    <xf numFmtId="0" fontId="0" fillId="3" borderId="0" xfId="0" applyFill="1"/>
    <xf numFmtId="0" fontId="23" fillId="8" borderId="0" xfId="0" applyFont="1" applyFill="1"/>
    <xf numFmtId="0" fontId="0" fillId="9" borderId="0" xfId="0" applyFill="1"/>
    <xf numFmtId="0" fontId="3" fillId="0" borderId="1" xfId="0" applyFont="1" applyBorder="1" applyAlignment="1">
      <alignment horizontal="center"/>
    </xf>
    <xf numFmtId="0" fontId="3" fillId="10" borderId="1" xfId="0" applyFont="1" applyFill="1" applyBorder="1" applyAlignment="1">
      <alignment horizontal="center"/>
    </xf>
    <xf numFmtId="0" fontId="0" fillId="0" borderId="0" xfId="0" applyAlignment="1">
      <alignment horizontal="center"/>
    </xf>
    <xf numFmtId="0" fontId="0" fillId="3" borderId="1" xfId="0" applyFill="1" applyBorder="1" applyAlignment="1">
      <alignment horizontal="justify" vertical="top" wrapText="1"/>
    </xf>
    <xf numFmtId="0" fontId="24" fillId="3" borderId="1" xfId="0" applyFont="1" applyFill="1" applyBorder="1" applyAlignment="1">
      <alignment horizontal="center" vertical="center" wrapText="1"/>
    </xf>
    <xf numFmtId="167" fontId="0" fillId="3" borderId="1" xfId="2" applyNumberFormat="1" applyFont="1" applyFill="1" applyBorder="1" applyAlignment="1">
      <alignment horizontal="right" vertical="center"/>
    </xf>
    <xf numFmtId="0" fontId="0" fillId="3" borderId="0" xfId="0" applyFill="1" applyAlignment="1">
      <alignment horizontal="center" vertical="center"/>
    </xf>
    <xf numFmtId="0" fontId="2" fillId="3" borderId="0" xfId="0" applyFont="1" applyFill="1"/>
    <xf numFmtId="167" fontId="0" fillId="3" borderId="1" xfId="2" applyNumberFormat="1" applyFont="1" applyFill="1" applyBorder="1" applyAlignment="1">
      <alignment vertical="center"/>
    </xf>
    <xf numFmtId="3" fontId="0" fillId="3" borderId="0" xfId="0" applyNumberFormat="1" applyFill="1"/>
    <xf numFmtId="0" fontId="3" fillId="12" borderId="1" xfId="0" applyFont="1" applyFill="1" applyBorder="1" applyAlignment="1">
      <alignment horizontal="center"/>
    </xf>
    <xf numFmtId="166" fontId="3" fillId="12" borderId="1" xfId="1" applyNumberFormat="1" applyFont="1" applyFill="1" applyBorder="1" applyAlignment="1">
      <alignment horizontal="center"/>
    </xf>
    <xf numFmtId="167" fontId="0" fillId="0" borderId="0" xfId="0" applyNumberFormat="1"/>
    <xf numFmtId="0" fontId="0" fillId="0" borderId="1" xfId="0" applyBorder="1"/>
    <xf numFmtId="3" fontId="0" fillId="0" borderId="1" xfId="0" applyNumberFormat="1" applyBorder="1"/>
    <xf numFmtId="9" fontId="0" fillId="3" borderId="1" xfId="3" applyFont="1" applyFill="1" applyBorder="1"/>
    <xf numFmtId="9" fontId="0" fillId="3" borderId="1" xfId="0" applyNumberFormat="1" applyFill="1" applyBorder="1"/>
    <xf numFmtId="0" fontId="3" fillId="12" borderId="1" xfId="0" applyFont="1" applyFill="1" applyBorder="1" applyAlignment="1">
      <alignment horizontal="left"/>
    </xf>
    <xf numFmtId="0" fontId="0" fillId="12" borderId="1" xfId="0" applyFill="1" applyBorder="1"/>
    <xf numFmtId="3" fontId="0" fillId="12" borderId="1" xfId="0" applyNumberFormat="1" applyFill="1" applyBorder="1"/>
    <xf numFmtId="167" fontId="3" fillId="12" borderId="1" xfId="2" applyNumberFormat="1" applyFont="1" applyFill="1" applyBorder="1" applyAlignment="1">
      <alignment horizontal="center"/>
    </xf>
    <xf numFmtId="0" fontId="24" fillId="3" borderId="0" xfId="0" applyFont="1" applyFill="1" applyAlignment="1">
      <alignment horizontal="justify"/>
    </xf>
    <xf numFmtId="9" fontId="3" fillId="0" borderId="0" xfId="3" applyFont="1" applyBorder="1"/>
    <xf numFmtId="166" fontId="3" fillId="0" borderId="0" xfId="1" applyNumberFormat="1" applyFont="1" applyBorder="1"/>
    <xf numFmtId="0" fontId="24" fillId="0" borderId="1" xfId="0" applyFont="1" applyBorder="1"/>
    <xf numFmtId="3" fontId="24" fillId="0" borderId="1" xfId="0" applyNumberFormat="1" applyFont="1" applyBorder="1"/>
    <xf numFmtId="0" fontId="0" fillId="3" borderId="1" xfId="0" applyFill="1" applyBorder="1" applyAlignment="1">
      <alignment wrapText="1"/>
    </xf>
    <xf numFmtId="3" fontId="0" fillId="0" borderId="0" xfId="0" applyNumberFormat="1"/>
    <xf numFmtId="9" fontId="0" fillId="0" borderId="0" xfId="3" applyFont="1"/>
    <xf numFmtId="9" fontId="0" fillId="0" borderId="1" xfId="0" applyNumberFormat="1" applyBorder="1"/>
    <xf numFmtId="0" fontId="27" fillId="3" borderId="0" xfId="0" applyFont="1" applyFill="1" applyAlignment="1">
      <alignment horizontal="center"/>
    </xf>
    <xf numFmtId="166" fontId="26" fillId="2" borderId="0" xfId="1" applyNumberFormat="1" applyFont="1" applyFill="1" applyAlignment="1">
      <alignment horizontal="center" vertical="center"/>
    </xf>
    <xf numFmtId="0" fontId="0" fillId="3" borderId="0" xfId="0" applyFill="1" applyAlignment="1">
      <alignment horizontal="justify" vertical="center"/>
    </xf>
    <xf numFmtId="166" fontId="0" fillId="0" borderId="1" xfId="1" applyNumberFormat="1" applyFont="1" applyBorder="1"/>
    <xf numFmtId="0" fontId="3" fillId="12" borderId="0" xfId="0" applyFont="1" applyFill="1" applyAlignment="1">
      <alignment horizontal="left"/>
    </xf>
    <xf numFmtId="0" fontId="0" fillId="12" borderId="0" xfId="0" applyFill="1"/>
    <xf numFmtId="3" fontId="0" fillId="12" borderId="0" xfId="0" applyNumberFormat="1" applyFill="1"/>
    <xf numFmtId="167" fontId="3" fillId="12" borderId="0" xfId="2" applyNumberFormat="1" applyFont="1" applyFill="1" applyBorder="1" applyAlignment="1">
      <alignment horizontal="center"/>
    </xf>
    <xf numFmtId="0" fontId="24" fillId="0" borderId="1" xfId="0" applyFont="1" applyBorder="1" applyAlignment="1">
      <alignment horizontal="justify"/>
    </xf>
    <xf numFmtId="0" fontId="0" fillId="0" borderId="1" xfId="0" applyBorder="1" applyAlignment="1">
      <alignment horizontal="justify" wrapText="1"/>
    </xf>
    <xf numFmtId="9" fontId="24" fillId="0" borderId="1" xfId="0" applyNumberFormat="1" applyFont="1" applyBorder="1"/>
    <xf numFmtId="167" fontId="3" fillId="10" borderId="1" xfId="2" applyNumberFormat="1" applyFont="1" applyFill="1" applyBorder="1" applyAlignment="1">
      <alignment horizontal="center"/>
    </xf>
    <xf numFmtId="167" fontId="0" fillId="3" borderId="0" xfId="2" applyNumberFormat="1" applyFont="1" applyFill="1" applyAlignment="1">
      <alignment horizontal="center" vertical="center"/>
    </xf>
    <xf numFmtId="9" fontId="0" fillId="0" borderId="1" xfId="3" applyFont="1" applyBorder="1"/>
    <xf numFmtId="0" fontId="0" fillId="0" borderId="0" xfId="0" applyAlignment="1">
      <alignment vertical="top" wrapText="1"/>
    </xf>
    <xf numFmtId="167" fontId="0" fillId="3" borderId="1" xfId="2" applyNumberFormat="1" applyFont="1" applyFill="1" applyBorder="1" applyAlignment="1">
      <alignment horizontal="center" vertical="center"/>
    </xf>
    <xf numFmtId="9" fontId="24" fillId="3" borderId="1" xfId="0" applyNumberFormat="1" applyFont="1" applyFill="1" applyBorder="1"/>
    <xf numFmtId="0" fontId="24" fillId="3" borderId="1" xfId="0" applyFont="1" applyFill="1" applyBorder="1" applyAlignment="1">
      <alignment wrapText="1"/>
    </xf>
    <xf numFmtId="0" fontId="24" fillId="3" borderId="1" xfId="0" applyFont="1" applyFill="1" applyBorder="1"/>
    <xf numFmtId="3" fontId="24" fillId="3" borderId="1" xfId="0" applyNumberFormat="1" applyFont="1" applyFill="1" applyBorder="1"/>
    <xf numFmtId="0" fontId="0" fillId="3" borderId="1" xfId="0" applyFill="1" applyBorder="1"/>
    <xf numFmtId="3" fontId="0" fillId="3" borderId="1" xfId="0" applyNumberFormat="1" applyFill="1" applyBorder="1"/>
    <xf numFmtId="0" fontId="0" fillId="3" borderId="0" xfId="0" applyFill="1" applyAlignment="1">
      <alignment horizontal="justify" vertical="center" wrapText="1"/>
    </xf>
    <xf numFmtId="0" fontId="2" fillId="0" borderId="0" xfId="0" applyFont="1"/>
    <xf numFmtId="0" fontId="0" fillId="3" borderId="1" xfId="0" applyFill="1" applyBorder="1" applyAlignment="1">
      <alignment horizontal="justify" vertical="justify" wrapText="1"/>
    </xf>
    <xf numFmtId="166" fontId="24" fillId="0" borderId="1" xfId="6" applyNumberFormat="1" applyFont="1" applyBorder="1"/>
    <xf numFmtId="0" fontId="22" fillId="8" borderId="0" xfId="0" applyFont="1" applyFill="1"/>
    <xf numFmtId="3" fontId="3" fillId="10" borderId="1" xfId="0" applyNumberFormat="1" applyFont="1" applyFill="1" applyBorder="1" applyAlignment="1">
      <alignment horizont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167" fontId="0" fillId="0" borderId="1" xfId="2" applyNumberFormat="1" applyFont="1" applyBorder="1" applyAlignment="1">
      <alignment horizontal="right" vertical="center"/>
    </xf>
    <xf numFmtId="0" fontId="0" fillId="0" borderId="0" xfId="0" applyAlignment="1">
      <alignment horizontal="center" vertical="center"/>
    </xf>
    <xf numFmtId="167" fontId="0" fillId="0" borderId="1" xfId="2" applyNumberFormat="1" applyFont="1" applyBorder="1" applyAlignment="1">
      <alignment horizontal="center" vertical="center"/>
    </xf>
    <xf numFmtId="167" fontId="0" fillId="0" borderId="1" xfId="2" applyNumberFormat="1" applyFont="1" applyBorder="1" applyAlignment="1">
      <alignment vertical="center"/>
    </xf>
    <xf numFmtId="0" fontId="0" fillId="0" borderId="24" xfId="0" applyBorder="1" applyAlignment="1">
      <alignment horizontal="justify" vertical="top" wrapText="1"/>
    </xf>
    <xf numFmtId="0" fontId="0" fillId="3" borderId="0" xfId="0" applyFill="1" applyAlignment="1">
      <alignment horizontal="justify" vertical="top" wrapText="1"/>
    </xf>
    <xf numFmtId="167" fontId="3" fillId="3" borderId="0" xfId="2" applyNumberFormat="1" applyFont="1" applyFill="1" applyBorder="1" applyAlignment="1">
      <alignment horizontal="center"/>
    </xf>
    <xf numFmtId="0" fontId="0" fillId="3" borderId="0" xfId="0" applyFill="1" applyAlignment="1">
      <alignment horizontal="justify" wrapText="1"/>
    </xf>
    <xf numFmtId="0" fontId="3" fillId="0" borderId="0" xfId="0" applyFont="1"/>
    <xf numFmtId="0" fontId="3" fillId="3" borderId="0" xfId="0" applyFont="1" applyFill="1" applyAlignment="1">
      <alignment horizontal="center"/>
    </xf>
    <xf numFmtId="3" fontId="3" fillId="3" borderId="0" xfId="0" applyNumberFormat="1" applyFont="1" applyFill="1" applyAlignment="1">
      <alignment horizontal="center"/>
    </xf>
    <xf numFmtId="0" fontId="0" fillId="3" borderId="0" xfId="0" applyFill="1" applyAlignment="1">
      <alignment horizontal="center"/>
    </xf>
    <xf numFmtId="0" fontId="0" fillId="0" borderId="1" xfId="0" applyBorder="1" applyAlignment="1">
      <alignment horizontal="justify" vertical="top" wrapText="1"/>
    </xf>
    <xf numFmtId="0" fontId="29" fillId="12" borderId="1" xfId="0" applyFont="1" applyFill="1" applyBorder="1" applyAlignment="1">
      <alignment horizontal="left"/>
    </xf>
    <xf numFmtId="0" fontId="30" fillId="12" borderId="1" xfId="0" applyFont="1" applyFill="1" applyBorder="1"/>
    <xf numFmtId="3" fontId="30" fillId="12" borderId="1" xfId="0" applyNumberFormat="1" applyFont="1" applyFill="1" applyBorder="1"/>
    <xf numFmtId="167" fontId="29" fillId="12" borderId="1" xfId="7" applyNumberFormat="1" applyFont="1" applyFill="1" applyBorder="1" applyAlignment="1">
      <alignment horizontal="center"/>
    </xf>
    <xf numFmtId="0" fontId="29" fillId="12" borderId="0" xfId="0" applyFont="1" applyFill="1" applyAlignment="1">
      <alignment horizontal="left"/>
    </xf>
    <xf numFmtId="0" fontId="30" fillId="12" borderId="0" xfId="0" applyFont="1" applyFill="1"/>
    <xf numFmtId="3" fontId="30" fillId="12" borderId="0" xfId="0" applyNumberFormat="1" applyFont="1" applyFill="1"/>
    <xf numFmtId="167" fontId="3" fillId="0" borderId="0" xfId="2" applyNumberFormat="1" applyFont="1" applyFill="1" applyBorder="1" applyAlignment="1">
      <alignment horizontal="center"/>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167" fontId="3" fillId="7" borderId="1" xfId="2" applyNumberFormat="1" applyFont="1" applyFill="1" applyBorder="1" applyAlignment="1">
      <alignment horizontal="center" vertical="center"/>
    </xf>
    <xf numFmtId="167" fontId="3" fillId="7" borderId="1" xfId="2" applyNumberFormat="1" applyFont="1" applyFill="1" applyBorder="1" applyAlignment="1">
      <alignment horizontal="right"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167" fontId="3" fillId="3" borderId="0" xfId="2" applyNumberFormat="1" applyFont="1" applyFill="1" applyBorder="1" applyAlignment="1">
      <alignment horizontal="center" vertical="center"/>
    </xf>
    <xf numFmtId="0" fontId="24" fillId="3" borderId="0" xfId="0" applyFont="1" applyFill="1" applyAlignment="1">
      <alignment horizontal="justify" vertical="top"/>
    </xf>
    <xf numFmtId="3" fontId="0" fillId="0" borderId="1" xfId="0" applyNumberFormat="1" applyBorder="1" applyAlignment="1">
      <alignment horizontal="right"/>
    </xf>
    <xf numFmtId="0" fontId="24" fillId="3" borderId="0" xfId="0" applyFont="1" applyFill="1" applyAlignment="1">
      <alignment horizontal="justify" vertical="center"/>
    </xf>
    <xf numFmtId="0" fontId="24" fillId="0" borderId="1" xfId="0" applyFont="1" applyBorder="1" applyAlignment="1">
      <alignment wrapText="1"/>
    </xf>
    <xf numFmtId="166" fontId="24" fillId="0" borderId="1" xfId="1" applyNumberFormat="1" applyFont="1" applyBorder="1"/>
    <xf numFmtId="0" fontId="0" fillId="3" borderId="1" xfId="0" applyFill="1" applyBorder="1" applyAlignment="1">
      <alignment horizontal="left" vertical="justify" wrapText="1"/>
    </xf>
    <xf numFmtId="166" fontId="0" fillId="0" borderId="1" xfId="1" applyNumberFormat="1" applyFont="1" applyFill="1" applyBorder="1"/>
    <xf numFmtId="166" fontId="0" fillId="0" borderId="1" xfId="0" applyNumberFormat="1" applyBorder="1"/>
    <xf numFmtId="0" fontId="29" fillId="0" borderId="0" xfId="0" applyFont="1"/>
    <xf numFmtId="0" fontId="30" fillId="0" borderId="0" xfId="0" applyFont="1"/>
    <xf numFmtId="0" fontId="30" fillId="3" borderId="0" xfId="0" applyFont="1" applyFill="1"/>
    <xf numFmtId="0" fontId="29" fillId="3" borderId="0" xfId="0" applyFont="1" applyFill="1"/>
    <xf numFmtId="0" fontId="29" fillId="8" borderId="0" xfId="0" applyFont="1" applyFill="1"/>
    <xf numFmtId="0" fontId="29" fillId="13" borderId="0" xfId="0" applyFont="1" applyFill="1"/>
    <xf numFmtId="0" fontId="29" fillId="14" borderId="1" xfId="0" applyFont="1" applyFill="1" applyBorder="1" applyAlignment="1">
      <alignment horizontal="center"/>
    </xf>
    <xf numFmtId="0" fontId="30" fillId="3" borderId="0" xfId="0" applyFont="1" applyFill="1" applyAlignment="1">
      <alignment vertical="center"/>
    </xf>
    <xf numFmtId="0" fontId="29" fillId="12" borderId="1" xfId="0" applyFont="1" applyFill="1" applyBorder="1" applyAlignment="1">
      <alignment horizontal="center" vertical="center"/>
    </xf>
    <xf numFmtId="3" fontId="29" fillId="12" borderId="1" xfId="0" applyNumberFormat="1" applyFont="1" applyFill="1" applyBorder="1" applyAlignment="1">
      <alignment horizontal="center" vertical="center"/>
    </xf>
    <xf numFmtId="0" fontId="30" fillId="0" borderId="1" xfId="0" applyFont="1" applyBorder="1" applyAlignment="1">
      <alignment horizontal="justify" vertical="center" wrapText="1"/>
    </xf>
    <xf numFmtId="0" fontId="30" fillId="3" borderId="1" xfId="0" applyFont="1" applyFill="1" applyBorder="1" applyAlignment="1">
      <alignment horizontal="center" vertical="center"/>
    </xf>
    <xf numFmtId="169" fontId="30" fillId="3" borderId="1" xfId="8" applyNumberFormat="1" applyFont="1" applyFill="1" applyBorder="1" applyAlignment="1">
      <alignment vertical="center"/>
    </xf>
    <xf numFmtId="169" fontId="30" fillId="3" borderId="1" xfId="8" applyNumberFormat="1" applyFont="1" applyFill="1" applyBorder="1" applyAlignment="1">
      <alignment horizontal="center" vertical="center"/>
    </xf>
    <xf numFmtId="169" fontId="29" fillId="3" borderId="1" xfId="8" applyNumberFormat="1" applyFont="1" applyFill="1" applyBorder="1" applyAlignment="1">
      <alignment horizontal="center" vertical="center"/>
    </xf>
    <xf numFmtId="169" fontId="30" fillId="3" borderId="1" xfId="8" applyNumberFormat="1" applyFont="1" applyFill="1" applyBorder="1" applyAlignment="1">
      <alignment horizontal="center" vertical="center" wrapText="1"/>
    </xf>
    <xf numFmtId="169" fontId="30" fillId="3" borderId="1" xfId="8" applyNumberFormat="1" applyFont="1" applyFill="1" applyBorder="1" applyAlignment="1">
      <alignment vertical="center" wrapText="1"/>
    </xf>
    <xf numFmtId="3" fontId="29" fillId="12" borderId="1" xfId="0" applyNumberFormat="1" applyFont="1" applyFill="1" applyBorder="1" applyAlignment="1">
      <alignment horizontal="center"/>
    </xf>
    <xf numFmtId="165" fontId="30" fillId="3" borderId="0" xfId="9" applyFont="1" applyFill="1"/>
    <xf numFmtId="0" fontId="29" fillId="3" borderId="0" xfId="0" applyFont="1" applyFill="1" applyAlignment="1">
      <alignment horizontal="center" vertical="center"/>
    </xf>
    <xf numFmtId="0" fontId="29" fillId="12" borderId="1" xfId="0" applyFont="1" applyFill="1" applyBorder="1" applyAlignment="1">
      <alignment horizontal="center"/>
    </xf>
    <xf numFmtId="166" fontId="29" fillId="12" borderId="1" xfId="9" applyNumberFormat="1" applyFont="1" applyFill="1" applyBorder="1" applyAlignment="1">
      <alignment horizontal="center"/>
    </xf>
    <xf numFmtId="0" fontId="30" fillId="0" borderId="1" xfId="0" applyFont="1" applyBorder="1"/>
    <xf numFmtId="3" fontId="30" fillId="0" borderId="1" xfId="0" applyNumberFormat="1" applyFont="1" applyBorder="1"/>
    <xf numFmtId="9" fontId="30" fillId="3" borderId="1" xfId="0" applyNumberFormat="1" applyFont="1" applyFill="1" applyBorder="1"/>
    <xf numFmtId="167" fontId="29" fillId="12" borderId="1" xfId="8" applyNumberFormat="1" applyFont="1" applyFill="1" applyBorder="1" applyAlignment="1">
      <alignment horizontal="center"/>
    </xf>
    <xf numFmtId="169" fontId="30" fillId="3" borderId="0" xfId="8" applyNumberFormat="1" applyFont="1" applyFill="1"/>
    <xf numFmtId="0" fontId="31" fillId="3" borderId="0" xfId="0" applyFont="1" applyFill="1" applyAlignment="1">
      <alignment wrapText="1"/>
    </xf>
    <xf numFmtId="0" fontId="31" fillId="0" borderId="24" xfId="0" applyFont="1" applyBorder="1" applyAlignment="1">
      <alignment horizontal="justify" vertical="center" wrapText="1"/>
    </xf>
    <xf numFmtId="0" fontId="29" fillId="3" borderId="0" xfId="0" applyFont="1" applyFill="1" applyAlignment="1">
      <alignment horizontal="left"/>
    </xf>
    <xf numFmtId="3" fontId="30" fillId="3" borderId="0" xfId="0" applyNumberFormat="1" applyFont="1" applyFill="1"/>
    <xf numFmtId="167" fontId="29" fillId="3" borderId="0" xfId="8" applyNumberFormat="1" applyFont="1" applyFill="1" applyBorder="1" applyAlignment="1">
      <alignment horizontal="center"/>
    </xf>
    <xf numFmtId="0" fontId="30" fillId="3" borderId="1" xfId="0" applyFont="1" applyFill="1" applyBorder="1"/>
    <xf numFmtId="3" fontId="30" fillId="3" borderId="1" xfId="0" applyNumberFormat="1" applyFont="1" applyFill="1" applyBorder="1"/>
    <xf numFmtId="9" fontId="30" fillId="3" borderId="1" xfId="3" applyFont="1" applyFill="1" applyBorder="1"/>
    <xf numFmtId="0" fontId="29" fillId="12" borderId="11" xfId="0" applyFont="1" applyFill="1" applyBorder="1" applyAlignment="1">
      <alignment horizontal="left"/>
    </xf>
    <xf numFmtId="0" fontId="29" fillId="12" borderId="24" xfId="0" applyFont="1" applyFill="1" applyBorder="1" applyAlignment="1">
      <alignment horizontal="left"/>
    </xf>
    <xf numFmtId="167" fontId="29" fillId="12" borderId="0" xfId="8" applyNumberFormat="1" applyFont="1" applyFill="1" applyBorder="1" applyAlignment="1">
      <alignment horizontal="center"/>
    </xf>
    <xf numFmtId="0" fontId="29" fillId="0" borderId="1" xfId="0" applyFont="1" applyBorder="1" applyAlignment="1">
      <alignment horizontal="center"/>
    </xf>
    <xf numFmtId="169" fontId="29" fillId="12" borderId="1" xfId="8" applyNumberFormat="1" applyFont="1" applyFill="1" applyBorder="1" applyAlignment="1">
      <alignment horizontal="center"/>
    </xf>
    <xf numFmtId="0" fontId="30" fillId="3" borderId="1" xfId="0" applyFont="1" applyFill="1" applyBorder="1" applyAlignment="1">
      <alignment horizontal="justify" vertical="center" wrapText="1"/>
    </xf>
    <xf numFmtId="0" fontId="29" fillId="3" borderId="0" xfId="0" applyFont="1" applyFill="1" applyAlignment="1">
      <alignment horizontal="center" vertical="center" wrapText="1"/>
    </xf>
    <xf numFmtId="9" fontId="30" fillId="0" borderId="1" xfId="0" applyNumberFormat="1" applyFont="1" applyBorder="1"/>
    <xf numFmtId="170" fontId="30" fillId="3" borderId="1" xfId="9" applyNumberFormat="1" applyFont="1" applyFill="1" applyBorder="1"/>
    <xf numFmtId="0" fontId="30" fillId="0" borderId="24" xfId="0" applyFont="1" applyBorder="1" applyAlignment="1">
      <alignment horizontal="justify" vertical="top" wrapText="1"/>
    </xf>
    <xf numFmtId="1" fontId="30" fillId="3" borderId="1" xfId="0" applyNumberFormat="1" applyFont="1" applyFill="1" applyBorder="1"/>
    <xf numFmtId="166" fontId="30" fillId="3" borderId="1" xfId="9" applyNumberFormat="1" applyFont="1" applyFill="1" applyBorder="1"/>
    <xf numFmtId="0" fontId="30" fillId="3" borderId="0" xfId="0" applyFont="1" applyFill="1" applyAlignment="1">
      <alignment wrapText="1"/>
    </xf>
    <xf numFmtId="0" fontId="30" fillId="0" borderId="0" xfId="0" applyFont="1" applyAlignment="1">
      <alignment vertical="center"/>
    </xf>
    <xf numFmtId="0" fontId="29" fillId="14" borderId="1" xfId="0" applyFont="1" applyFill="1" applyBorder="1" applyAlignment="1">
      <alignment horizontal="center" vertical="center"/>
    </xf>
    <xf numFmtId="169" fontId="29" fillId="12" borderId="1" xfId="8" applyNumberFormat="1" applyFont="1" applyFill="1" applyBorder="1" applyAlignment="1">
      <alignment horizontal="center" vertical="center"/>
    </xf>
    <xf numFmtId="0" fontId="30" fillId="0" borderId="0" xfId="0" applyFont="1" applyAlignment="1">
      <alignment horizontal="center" vertical="center"/>
    </xf>
    <xf numFmtId="0" fontId="30" fillId="3" borderId="1" xfId="0" applyFont="1" applyFill="1" applyBorder="1" applyAlignment="1">
      <alignment horizontal="center" vertical="center" wrapText="1"/>
    </xf>
    <xf numFmtId="0" fontId="30" fillId="0" borderId="0" xfId="0" applyFont="1" applyAlignment="1">
      <alignment wrapText="1"/>
    </xf>
    <xf numFmtId="165" fontId="30" fillId="0" borderId="0" xfId="9" applyFont="1"/>
    <xf numFmtId="0" fontId="29" fillId="0" borderId="0" xfId="0" applyFont="1" applyAlignment="1">
      <alignment horizontal="center" wrapText="1"/>
    </xf>
    <xf numFmtId="0" fontId="30" fillId="3" borderId="1" xfId="0" applyFont="1" applyFill="1" applyBorder="1" applyAlignment="1">
      <alignment wrapText="1"/>
    </xf>
    <xf numFmtId="0" fontId="30" fillId="0" borderId="1" xfId="0" applyFont="1" applyBorder="1" applyAlignment="1">
      <alignment wrapText="1"/>
    </xf>
    <xf numFmtId="0" fontId="30" fillId="12" borderId="24" xfId="0" applyFont="1" applyFill="1" applyBorder="1"/>
    <xf numFmtId="3" fontId="30" fillId="12" borderId="24" xfId="0" applyNumberFormat="1" applyFont="1" applyFill="1" applyBorder="1"/>
    <xf numFmtId="167" fontId="29" fillId="12" borderId="24" xfId="7" applyNumberFormat="1" applyFont="1" applyFill="1" applyBorder="1" applyAlignment="1">
      <alignment horizontal="center"/>
    </xf>
    <xf numFmtId="0" fontId="30" fillId="0" borderId="0" xfId="0" applyFont="1" applyAlignment="1">
      <alignment horizontal="justify"/>
    </xf>
    <xf numFmtId="0" fontId="30" fillId="0" borderId="24" xfId="0" applyFont="1" applyBorder="1" applyAlignment="1">
      <alignment horizontal="justify" vertical="center"/>
    </xf>
    <xf numFmtId="3" fontId="30" fillId="3" borderId="0" xfId="0" applyNumberFormat="1" applyFont="1" applyFill="1" applyAlignment="1">
      <alignment wrapText="1"/>
    </xf>
    <xf numFmtId="167" fontId="29" fillId="3" borderId="0" xfId="7" applyNumberFormat="1" applyFont="1" applyFill="1" applyBorder="1" applyAlignment="1">
      <alignment horizontal="center" wrapText="1"/>
    </xf>
    <xf numFmtId="0" fontId="33" fillId="0" borderId="0" xfId="0" applyFont="1"/>
    <xf numFmtId="166" fontId="30" fillId="0" borderId="1" xfId="10" applyNumberFormat="1" applyFont="1" applyBorder="1"/>
    <xf numFmtId="0" fontId="30" fillId="0" borderId="0" xfId="0" applyFont="1" applyAlignment="1">
      <alignment horizontal="justify" vertical="center"/>
    </xf>
    <xf numFmtId="0" fontId="30" fillId="0" borderId="24" xfId="0" applyFont="1" applyBorder="1" applyAlignment="1">
      <alignment horizontal="justify" vertical="top"/>
    </xf>
    <xf numFmtId="43" fontId="22" fillId="8" borderId="0" xfId="0" applyNumberFormat="1" applyFont="1" applyFill="1"/>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166" fontId="0" fillId="3" borderId="1" xfId="1" applyNumberFormat="1" applyFont="1" applyFill="1" applyBorder="1" applyAlignment="1">
      <alignment vertical="center"/>
    </xf>
    <xf numFmtId="166" fontId="0" fillId="3" borderId="1" xfId="1" applyNumberFormat="1" applyFont="1" applyFill="1" applyBorder="1" applyAlignment="1">
      <alignment horizontal="right" vertical="center"/>
    </xf>
    <xf numFmtId="166" fontId="0" fillId="3" borderId="1" xfId="0" applyNumberFormat="1" applyFill="1" applyBorder="1" applyAlignment="1">
      <alignment horizontal="right" vertical="center"/>
    </xf>
    <xf numFmtId="3" fontId="0" fillId="3" borderId="1" xfId="0" applyNumberFormat="1" applyFill="1" applyBorder="1" applyAlignment="1">
      <alignment horizontal="right" vertical="center"/>
    </xf>
    <xf numFmtId="166" fontId="0" fillId="0" borderId="1" xfId="1" applyNumberFormat="1" applyFont="1" applyBorder="1" applyAlignment="1">
      <alignment vertical="center"/>
    </xf>
    <xf numFmtId="166" fontId="0" fillId="0" borderId="1" xfId="1" applyNumberFormat="1" applyFont="1" applyBorder="1" applyAlignment="1">
      <alignment horizontal="right" vertical="center"/>
    </xf>
    <xf numFmtId="166" fontId="0" fillId="0" borderId="1"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center" vertical="center"/>
    </xf>
    <xf numFmtId="166" fontId="0" fillId="0" borderId="0" xfId="1" applyNumberFormat="1" applyFont="1" applyBorder="1" applyAlignment="1">
      <alignment vertical="center"/>
    </xf>
    <xf numFmtId="166" fontId="0" fillId="0" borderId="0" xfId="0" applyNumberFormat="1"/>
    <xf numFmtId="166" fontId="0" fillId="0" borderId="0" xfId="1" applyNumberFormat="1" applyFont="1"/>
    <xf numFmtId="166" fontId="0" fillId="3" borderId="0" xfId="1" applyNumberFormat="1" applyFont="1" applyFill="1" applyBorder="1"/>
    <xf numFmtId="166" fontId="3" fillId="12" borderId="1" xfId="1" applyNumberFormat="1" applyFont="1" applyFill="1" applyBorder="1"/>
    <xf numFmtId="0" fontId="26" fillId="3" borderId="0" xfId="0" applyFont="1" applyFill="1" applyAlignment="1">
      <alignment horizontal="center" vertical="center" wrapText="1"/>
    </xf>
    <xf numFmtId="0" fontId="27" fillId="0" borderId="0" xfId="0" applyFont="1" applyAlignment="1">
      <alignment horizontal="center" wrapText="1"/>
    </xf>
    <xf numFmtId="0" fontId="0" fillId="0" borderId="0" xfId="0" applyAlignment="1">
      <alignment horizontal="justify" wrapText="1"/>
    </xf>
    <xf numFmtId="10" fontId="0" fillId="3" borderId="0" xfId="3" applyNumberFormat="1" applyFont="1" applyFill="1" applyBorder="1" applyAlignment="1">
      <alignment horizontal="center"/>
    </xf>
    <xf numFmtId="0" fontId="3" fillId="6" borderId="1" xfId="0" applyFont="1" applyFill="1" applyBorder="1" applyAlignment="1">
      <alignment horizontal="justify" vertical="center" wrapText="1"/>
    </xf>
    <xf numFmtId="166" fontId="3" fillId="6" borderId="1" xfId="1" applyNumberFormat="1" applyFont="1" applyFill="1" applyBorder="1" applyAlignment="1">
      <alignment vertical="center"/>
    </xf>
    <xf numFmtId="10" fontId="3" fillId="6" borderId="1" xfId="3" applyNumberFormat="1" applyFont="1" applyFill="1" applyBorder="1" applyAlignment="1">
      <alignment vertical="center"/>
    </xf>
    <xf numFmtId="0" fontId="3" fillId="15" borderId="1" xfId="0" applyFont="1" applyFill="1" applyBorder="1" applyAlignment="1">
      <alignment horizontal="justify" vertical="center" wrapText="1"/>
    </xf>
    <xf numFmtId="166" fontId="3" fillId="15" borderId="1" xfId="1" applyNumberFormat="1" applyFont="1" applyFill="1" applyBorder="1" applyAlignment="1">
      <alignment horizontal="left" vertical="center" wrapText="1"/>
    </xf>
    <xf numFmtId="10" fontId="3" fillId="15" borderId="1" xfId="3" applyNumberFormat="1" applyFont="1" applyFill="1" applyBorder="1" applyAlignment="1">
      <alignment horizontal="center" vertical="center" wrapText="1"/>
    </xf>
    <xf numFmtId="0" fontId="3" fillId="15" borderId="0" xfId="0" applyFont="1" applyFill="1"/>
    <xf numFmtId="0" fontId="0" fillId="4" borderId="1" xfId="0" applyFill="1" applyBorder="1" applyAlignment="1">
      <alignment horizontal="justify" vertical="center" wrapText="1"/>
    </xf>
    <xf numFmtId="166" fontId="0" fillId="4" borderId="1" xfId="1" applyNumberFormat="1" applyFont="1" applyFill="1" applyBorder="1" applyAlignment="1">
      <alignment horizontal="left" vertical="center" wrapText="1"/>
    </xf>
    <xf numFmtId="10" fontId="0" fillId="4" borderId="1" xfId="3"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10" fontId="3" fillId="4" borderId="1" xfId="3" applyNumberFormat="1" applyFont="1" applyFill="1" applyBorder="1" applyAlignment="1">
      <alignment horizontal="center" vertical="center" wrapText="1"/>
    </xf>
    <xf numFmtId="0" fontId="0" fillId="15" borderId="0" xfId="0" applyFill="1"/>
    <xf numFmtId="166" fontId="3" fillId="15" borderId="1" xfId="1" applyNumberFormat="1" applyFont="1" applyFill="1" applyBorder="1" applyAlignment="1">
      <alignment horizontal="center" vertical="center" wrapText="1"/>
    </xf>
    <xf numFmtId="0" fontId="0" fillId="3" borderId="0" xfId="0" applyFill="1" applyAlignment="1">
      <alignment horizontal="left" vertical="center" wrapText="1"/>
    </xf>
    <xf numFmtId="0" fontId="0" fillId="4" borderId="0" xfId="0" applyFill="1" applyAlignment="1">
      <alignment horizontal="left" vertical="center" wrapText="1"/>
    </xf>
    <xf numFmtId="166" fontId="3" fillId="6" borderId="1" xfId="1" applyNumberFormat="1" applyFont="1" applyFill="1" applyBorder="1" applyAlignment="1">
      <alignment horizontal="left"/>
    </xf>
    <xf numFmtId="10" fontId="3" fillId="6" borderId="1" xfId="3" applyNumberFormat="1" applyFont="1" applyFill="1" applyBorder="1" applyAlignment="1">
      <alignment horizontal="center"/>
    </xf>
    <xf numFmtId="166" fontId="0" fillId="0" borderId="0" xfId="1" applyNumberFormat="1" applyFont="1" applyBorder="1"/>
    <xf numFmtId="166" fontId="26" fillId="0" borderId="0" xfId="1" applyNumberFormat="1" applyFont="1" applyFill="1" applyAlignment="1">
      <alignment horizontal="center" vertical="center"/>
    </xf>
    <xf numFmtId="10" fontId="0" fillId="0" borderId="0" xfId="3" applyNumberFormat="1" applyFont="1" applyBorder="1" applyAlignment="1">
      <alignment horizontal="center"/>
    </xf>
    <xf numFmtId="166" fontId="0" fillId="0" borderId="0" xfId="1" applyNumberFormat="1" applyFont="1" applyFill="1" applyBorder="1"/>
    <xf numFmtId="166" fontId="0" fillId="0" borderId="0" xfId="1" applyNumberFormat="1" applyFont="1" applyBorder="1" applyAlignment="1">
      <alignment horizontal="justify" wrapText="1"/>
    </xf>
    <xf numFmtId="166" fontId="0" fillId="3" borderId="0" xfId="1" applyNumberFormat="1" applyFont="1" applyFill="1" applyBorder="1" applyAlignment="1">
      <alignment horizontal="justify" vertical="center" wrapText="1"/>
    </xf>
    <xf numFmtId="166" fontId="3" fillId="6" borderId="1" xfId="1" applyNumberFormat="1" applyFont="1" applyFill="1" applyBorder="1" applyAlignment="1">
      <alignment horizontal="justify" vertical="center" wrapText="1"/>
    </xf>
    <xf numFmtId="166" fontId="3" fillId="15" borderId="17" xfId="1" applyNumberFormat="1" applyFont="1" applyFill="1" applyBorder="1" applyAlignment="1">
      <alignment horizontal="justify" vertical="center" wrapText="1"/>
    </xf>
    <xf numFmtId="0" fontId="27" fillId="0" borderId="0" xfId="0" applyFont="1" applyAlignment="1">
      <alignment horizontal="center" vertical="center" wrapText="1"/>
    </xf>
    <xf numFmtId="0" fontId="0" fillId="0" borderId="0" xfId="0" applyAlignment="1">
      <alignment horizontal="left" wrapText="1"/>
    </xf>
    <xf numFmtId="0" fontId="0" fillId="0" borderId="1" xfId="0" applyBorder="1" applyAlignment="1">
      <alignment horizontal="justify"/>
    </xf>
    <xf numFmtId="0" fontId="34" fillId="8" borderId="0" xfId="0" applyFont="1" applyFill="1"/>
    <xf numFmtId="0" fontId="0" fillId="3" borderId="1" xfId="0" applyFill="1" applyBorder="1" applyAlignment="1">
      <alignment horizontal="justify" wrapText="1"/>
    </xf>
    <xf numFmtId="166" fontId="30" fillId="0" borderId="1" xfId="1" applyNumberFormat="1" applyFont="1" applyBorder="1"/>
    <xf numFmtId="0" fontId="31" fillId="0" borderId="0" xfId="0" applyFont="1" applyAlignment="1">
      <alignment horizontal="justify" vertical="center" wrapText="1"/>
    </xf>
    <xf numFmtId="0" fontId="30" fillId="3" borderId="1" xfId="0" applyFont="1" applyFill="1" applyBorder="1" applyAlignment="1">
      <alignment horizontal="left" wrapText="1"/>
    </xf>
    <xf numFmtId="0" fontId="32" fillId="0" borderId="0" xfId="0" applyFont="1" applyAlignment="1">
      <alignment horizontal="justify" vertical="center" wrapText="1"/>
    </xf>
    <xf numFmtId="0" fontId="30" fillId="0" borderId="0" xfId="0" applyFont="1" applyAlignment="1">
      <alignment horizontal="justify" vertical="center" wrapText="1"/>
    </xf>
    <xf numFmtId="43" fontId="0" fillId="0" borderId="0" xfId="1" applyFont="1" applyAlignment="1">
      <alignment horizontal="justify" wrapText="1"/>
    </xf>
    <xf numFmtId="166" fontId="24" fillId="0" borderId="1" xfId="1" applyNumberFormat="1" applyFont="1" applyFill="1" applyBorder="1"/>
    <xf numFmtId="0" fontId="1" fillId="0" borderId="0" xfId="0" applyFont="1"/>
    <xf numFmtId="0" fontId="27" fillId="0" borderId="0" xfId="0" applyFont="1" applyAlignment="1">
      <alignment horizontal="center" vertical="center"/>
    </xf>
    <xf numFmtId="0" fontId="24" fillId="0" borderId="0" xfId="0" applyFont="1"/>
    <xf numFmtId="0" fontId="24" fillId="0" borderId="0" xfId="0" applyFont="1" applyAlignment="1">
      <alignment horizontal="justify"/>
    </xf>
    <xf numFmtId="0" fontId="24" fillId="0" borderId="0" xfId="0" applyFont="1" applyAlignment="1">
      <alignment wrapText="1"/>
    </xf>
    <xf numFmtId="0" fontId="35" fillId="0" borderId="1" xfId="5" applyFont="1" applyBorder="1" applyAlignment="1">
      <alignment horizontal="left" vertical="center"/>
    </xf>
    <xf numFmtId="0" fontId="24" fillId="0" borderId="1" xfId="5"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justify"/>
    </xf>
    <xf numFmtId="0" fontId="1" fillId="0" borderId="0" xfId="0" applyFont="1" applyAlignment="1">
      <alignment wrapText="1"/>
    </xf>
    <xf numFmtId="0" fontId="3" fillId="2" borderId="1" xfId="0" applyFont="1" applyFill="1" applyBorder="1" applyAlignment="1">
      <alignment horizontal="center"/>
    </xf>
    <xf numFmtId="0" fontId="1" fillId="0" borderId="0" xfId="0" applyFont="1" applyAlignment="1">
      <alignment horizontal="center" wrapText="1"/>
    </xf>
    <xf numFmtId="0" fontId="3" fillId="2" borderId="11" xfId="0" applyFont="1" applyFill="1" applyBorder="1" applyAlignment="1">
      <alignment horizontal="center"/>
    </xf>
    <xf numFmtId="0" fontId="1" fillId="0" borderId="0" xfId="0" applyFont="1" applyAlignment="1">
      <alignment horizontal="justify" vertical="top"/>
    </xf>
    <xf numFmtId="0" fontId="1" fillId="0" borderId="0" xfId="0" applyFont="1" applyAlignment="1">
      <alignment vertical="top" wrapText="1"/>
    </xf>
    <xf numFmtId="0" fontId="1" fillId="0" borderId="0" xfId="0" applyFont="1" applyAlignment="1">
      <alignment vertical="top"/>
    </xf>
    <xf numFmtId="0" fontId="3" fillId="2" borderId="1" xfId="0" applyFont="1" applyFill="1" applyBorder="1" applyAlignment="1">
      <alignment horizontal="left"/>
    </xf>
    <xf numFmtId="0" fontId="3" fillId="2" borderId="11" xfId="0" applyFont="1" applyFill="1" applyBorder="1" applyAlignment="1">
      <alignment horizontal="left"/>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0" fillId="0" borderId="0" xfId="0" applyAlignment="1">
      <alignment horizontal="left" vertical="center" wrapText="1"/>
    </xf>
    <xf numFmtId="0" fontId="0" fillId="3" borderId="25" xfId="0" applyFill="1" applyBorder="1" applyAlignment="1">
      <alignment horizontal="center"/>
    </xf>
    <xf numFmtId="0" fontId="0" fillId="3" borderId="0" xfId="0" applyFill="1" applyAlignment="1">
      <alignment wrapText="1"/>
    </xf>
    <xf numFmtId="0" fontId="0" fillId="3" borderId="0" xfId="0" applyFill="1" applyAlignment="1">
      <alignment horizontal="left" wrapText="1"/>
    </xf>
    <xf numFmtId="0" fontId="0" fillId="3" borderId="0" xfId="0" applyFill="1" applyAlignment="1">
      <alignment horizontal="left"/>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24"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vertical="center" wrapText="1"/>
    </xf>
    <xf numFmtId="0" fontId="3" fillId="0" borderId="11" xfId="0" applyFont="1" applyBorder="1" applyAlignment="1">
      <alignment horizontal="center" vertical="center"/>
    </xf>
    <xf numFmtId="0" fontId="0" fillId="0" borderId="1" xfId="0" applyBorder="1" applyAlignment="1">
      <alignment horizontal="left" vertical="center" wrapText="1"/>
    </xf>
    <xf numFmtId="0" fontId="0" fillId="3" borderId="1" xfId="0"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0" borderId="0" xfId="5" applyFont="1"/>
    <xf numFmtId="0" fontId="1" fillId="0" borderId="0" xfId="5" applyFont="1" applyAlignment="1">
      <alignment horizontal="center"/>
    </xf>
    <xf numFmtId="0" fontId="1" fillId="0" borderId="0" xfId="0" applyFont="1" applyAlignment="1">
      <alignment horizontal="center" vertical="center" wrapText="1"/>
    </xf>
    <xf numFmtId="0" fontId="1" fillId="3" borderId="0" xfId="5" applyFont="1" applyFill="1"/>
    <xf numFmtId="0" fontId="1" fillId="3" borderId="0" xfId="5" applyFont="1" applyFill="1" applyAlignment="1">
      <alignment horizontal="center"/>
    </xf>
    <xf numFmtId="0" fontId="1" fillId="3" borderId="0" xfId="0" applyFont="1" applyFill="1"/>
    <xf numFmtId="0" fontId="3" fillId="0" borderId="0" xfId="5" applyFont="1" applyAlignment="1">
      <alignment horizontal="center" vertical="center" wrapText="1"/>
    </xf>
    <xf numFmtId="10" fontId="38" fillId="0" borderId="0" xfId="0" applyNumberFormat="1" applyFont="1" applyAlignment="1">
      <alignment horizontal="center"/>
    </xf>
    <xf numFmtId="0" fontId="1" fillId="0" borderId="30" xfId="5" applyFont="1" applyBorder="1"/>
    <xf numFmtId="0" fontId="1" fillId="0" borderId="0" xfId="5" applyFont="1" applyAlignment="1">
      <alignment vertical="top" wrapText="1"/>
    </xf>
    <xf numFmtId="0" fontId="1" fillId="0" borderId="0" xfId="0" applyFont="1" applyAlignment="1">
      <alignment horizontal="justify" vertical="center"/>
    </xf>
    <xf numFmtId="166" fontId="3" fillId="6" borderId="1" xfId="1" applyNumberFormat="1" applyFont="1" applyFill="1" applyBorder="1" applyAlignment="1">
      <alignment horizontal="center" vertical="center" wrapText="1"/>
    </xf>
    <xf numFmtId="0" fontId="0" fillId="3" borderId="0" xfId="0" applyFill="1" applyAlignment="1">
      <alignment horizontal="left" vertical="center"/>
    </xf>
    <xf numFmtId="0" fontId="0" fillId="3" borderId="0" xfId="0" applyFill="1" applyAlignment="1">
      <alignment vertical="center"/>
    </xf>
    <xf numFmtId="3" fontId="0" fillId="0" borderId="1" xfId="0" applyNumberFormat="1" applyBorder="1" applyAlignment="1">
      <alignment horizontal="center"/>
    </xf>
    <xf numFmtId="0" fontId="41" fillId="3" borderId="0" xfId="0" applyFont="1" applyFill="1"/>
    <xf numFmtId="166" fontId="1" fillId="3" borderId="0" xfId="1" applyNumberFormat="1" applyFont="1" applyFill="1" applyBorder="1" applyAlignment="1">
      <alignment horizontal="justify" vertical="center" wrapText="1"/>
    </xf>
    <xf numFmtId="10" fontId="3" fillId="6" borderId="1" xfId="3" applyNumberFormat="1" applyFont="1" applyFill="1" applyBorder="1" applyAlignment="1">
      <alignment horizontal="center" vertical="center" wrapText="1"/>
    </xf>
    <xf numFmtId="9" fontId="3" fillId="6" borderId="1" xfId="3" applyFont="1" applyFill="1" applyBorder="1" applyAlignment="1">
      <alignment horizontal="justify" vertical="center" wrapText="1"/>
    </xf>
    <xf numFmtId="166" fontId="3" fillId="6" borderId="1" xfId="1" applyNumberFormat="1" applyFont="1" applyFill="1" applyBorder="1" applyAlignment="1">
      <alignment horizontal="left" vertical="center"/>
    </xf>
    <xf numFmtId="166" fontId="41" fillId="3" borderId="0" xfId="0" applyNumberFormat="1" applyFont="1" applyFill="1" applyAlignment="1">
      <alignment vertical="center"/>
    </xf>
    <xf numFmtId="0" fontId="43" fillId="13" borderId="1" xfId="0" applyFont="1" applyFill="1" applyBorder="1" applyAlignment="1">
      <alignment horizontal="justify" vertical="center" wrapText="1"/>
    </xf>
    <xf numFmtId="0" fontId="3" fillId="12" borderId="0" xfId="0" applyFont="1" applyFill="1" applyBorder="1" applyAlignment="1">
      <alignment horizontal="left"/>
    </xf>
    <xf numFmtId="0" fontId="0" fillId="12" borderId="0" xfId="0" applyFill="1" applyBorder="1"/>
    <xf numFmtId="3" fontId="0" fillId="12" borderId="0" xfId="0" applyNumberFormat="1" applyFill="1" applyBorder="1"/>
    <xf numFmtId="167" fontId="3" fillId="12" borderId="0" xfId="2" applyNumberFormat="1" applyFont="1" applyFill="1" applyBorder="1" applyAlignment="1">
      <alignment horizontal="right"/>
    </xf>
    <xf numFmtId="0" fontId="3" fillId="0" borderId="14" xfId="0" applyFont="1" applyFill="1" applyBorder="1" applyAlignment="1">
      <alignment horizontal="center"/>
    </xf>
    <xf numFmtId="167" fontId="3" fillId="12" borderId="2" xfId="2" applyNumberFormat="1" applyFont="1" applyFill="1" applyBorder="1" applyAlignment="1">
      <alignment horizontal="center"/>
    </xf>
    <xf numFmtId="0" fontId="0" fillId="0" borderId="1" xfId="0" applyFill="1" applyBorder="1"/>
    <xf numFmtId="3" fontId="0" fillId="0" borderId="1" xfId="0" applyNumberFormat="1" applyFill="1" applyBorder="1"/>
    <xf numFmtId="9" fontId="0" fillId="0" borderId="1" xfId="0" applyNumberFormat="1" applyFill="1" applyBorder="1"/>
    <xf numFmtId="0" fontId="0" fillId="0" borderId="1" xfId="0" applyFill="1" applyBorder="1" applyAlignment="1">
      <alignment wrapText="1"/>
    </xf>
    <xf numFmtId="9" fontId="0" fillId="0" borderId="1" xfId="3" applyFont="1" applyFill="1" applyBorder="1"/>
    <xf numFmtId="0" fontId="24" fillId="0" borderId="0" xfId="0" applyFont="1" applyFill="1" applyAlignment="1">
      <alignment horizontal="justify"/>
    </xf>
    <xf numFmtId="0" fontId="3" fillId="12" borderId="2" xfId="0" applyFont="1" applyFill="1" applyBorder="1" applyAlignment="1">
      <alignment horizontal="center"/>
    </xf>
    <xf numFmtId="0" fontId="3" fillId="0" borderId="0" xfId="0" applyFont="1" applyFill="1" applyBorder="1" applyAlignment="1">
      <alignment horizontal="center"/>
    </xf>
    <xf numFmtId="0" fontId="0" fillId="0" borderId="2" xfId="0" applyBorder="1"/>
    <xf numFmtId="0" fontId="0" fillId="0" borderId="2" xfId="0" applyFill="1" applyBorder="1"/>
    <xf numFmtId="0" fontId="30" fillId="12" borderId="2" xfId="0" applyFont="1" applyFill="1" applyBorder="1"/>
    <xf numFmtId="0" fontId="0" fillId="0" borderId="0" xfId="0" applyFill="1" applyAlignment="1">
      <alignment horizontal="justify" vertical="justify" wrapText="1"/>
    </xf>
    <xf numFmtId="0" fontId="0" fillId="0" borderId="0" xfId="0" applyFill="1"/>
    <xf numFmtId="0" fontId="3" fillId="0" borderId="18" xfId="0" applyFont="1" applyFill="1" applyBorder="1" applyAlignment="1">
      <alignment horizontal="center"/>
    </xf>
    <xf numFmtId="0" fontId="0" fillId="0" borderId="0" xfId="0" applyFill="1" applyBorder="1"/>
    <xf numFmtId="167" fontId="0" fillId="0" borderId="1" xfId="2" applyNumberFormat="1" applyFont="1" applyFill="1" applyBorder="1" applyAlignment="1">
      <alignment horizontal="right" vertical="center"/>
    </xf>
    <xf numFmtId="166" fontId="1" fillId="0" borderId="0" xfId="1" applyNumberFormat="1" applyFont="1" applyFill="1" applyBorder="1" applyAlignment="1">
      <alignment horizontal="justify" vertical="center" wrapText="1"/>
    </xf>
    <xf numFmtId="166" fontId="1" fillId="0" borderId="0" xfId="1" applyNumberFormat="1" applyFont="1" applyFill="1" applyBorder="1"/>
    <xf numFmtId="171" fontId="1" fillId="0" borderId="0" xfId="3" applyNumberFormat="1" applyFont="1" applyFill="1" applyBorder="1" applyAlignment="1">
      <alignment horizontal="justify" vertical="center" wrapText="1"/>
    </xf>
    <xf numFmtId="0" fontId="0" fillId="4" borderId="1" xfId="0" applyFont="1" applyFill="1" applyBorder="1" applyAlignment="1">
      <alignment horizontal="justify" vertical="center" wrapText="1"/>
    </xf>
    <xf numFmtId="0" fontId="46" fillId="3" borderId="0" xfId="0" applyFont="1" applyFill="1"/>
    <xf numFmtId="168" fontId="47" fillId="3" borderId="0" xfId="1" applyNumberFormat="1" applyFont="1" applyFill="1"/>
    <xf numFmtId="168" fontId="46" fillId="3" borderId="0" xfId="1" applyNumberFormat="1" applyFont="1" applyFill="1"/>
    <xf numFmtId="0" fontId="46" fillId="3" borderId="0" xfId="0" applyFont="1" applyFill="1" applyAlignment="1">
      <alignment horizontal="center" vertical="center"/>
    </xf>
    <xf numFmtId="0" fontId="46" fillId="3" borderId="0" xfId="0" applyFont="1" applyFill="1" applyAlignment="1">
      <alignment horizontal="center"/>
    </xf>
    <xf numFmtId="0" fontId="46" fillId="3" borderId="0" xfId="0" applyFont="1" applyFill="1" applyAlignment="1">
      <alignment horizontal="left"/>
    </xf>
    <xf numFmtId="0" fontId="48" fillId="3" borderId="0" xfId="0" applyFont="1" applyFill="1" applyAlignment="1">
      <alignment horizontal="left"/>
    </xf>
    <xf numFmtId="0" fontId="46" fillId="3" borderId="0" xfId="0" applyFont="1" applyFill="1" applyAlignment="1">
      <alignment horizontal="justify"/>
    </xf>
    <xf numFmtId="0" fontId="46" fillId="3" borderId="0" xfId="0" applyFont="1" applyFill="1" applyAlignment="1">
      <alignment horizontal="left" vertical="center"/>
    </xf>
    <xf numFmtId="0" fontId="46" fillId="3" borderId="0" xfId="0" applyFont="1" applyFill="1" applyAlignment="1">
      <alignment horizontal="justify" vertical="center" wrapText="1"/>
    </xf>
    <xf numFmtId="166" fontId="48" fillId="2" borderId="0" xfId="1" applyNumberFormat="1" applyFont="1" applyFill="1" applyAlignment="1">
      <alignment horizontal="center" vertical="center"/>
    </xf>
    <xf numFmtId="166" fontId="46" fillId="3" borderId="0" xfId="1" applyNumberFormat="1" applyFont="1" applyFill="1" applyAlignment="1">
      <alignment horizontal="center" vertical="center"/>
    </xf>
    <xf numFmtId="0" fontId="48" fillId="3" borderId="0" xfId="0" applyFont="1" applyFill="1" applyAlignment="1">
      <alignment horizontal="center" vertical="center"/>
    </xf>
    <xf numFmtId="168" fontId="48" fillId="3" borderId="0" xfId="1" applyNumberFormat="1" applyFont="1" applyFill="1" applyAlignment="1">
      <alignment horizontal="center" vertical="center"/>
    </xf>
    <xf numFmtId="0" fontId="48" fillId="7" borderId="35" xfId="0" applyFont="1" applyFill="1" applyBorder="1" applyAlignment="1">
      <alignment horizontal="center" vertical="center" wrapText="1"/>
    </xf>
    <xf numFmtId="0" fontId="48" fillId="7" borderId="35" xfId="0" applyFont="1" applyFill="1" applyBorder="1" applyAlignment="1">
      <alignment horizontal="center" vertical="center"/>
    </xf>
    <xf numFmtId="166" fontId="48" fillId="7" borderId="35" xfId="1" applyNumberFormat="1" applyFont="1" applyFill="1" applyBorder="1" applyAlignment="1">
      <alignment horizontal="center" vertical="center" wrapText="1"/>
    </xf>
    <xf numFmtId="0" fontId="45" fillId="3" borderId="35" xfId="0" applyFont="1" applyFill="1" applyBorder="1" applyAlignment="1">
      <alignment vertical="center" wrapText="1"/>
    </xf>
    <xf numFmtId="0" fontId="45" fillId="13" borderId="35"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35" xfId="0" applyFont="1" applyFill="1" applyBorder="1" applyAlignment="1">
      <alignment horizontal="justify" vertical="center" wrapText="1"/>
    </xf>
    <xf numFmtId="0" fontId="45" fillId="0" borderId="35"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66" fontId="3" fillId="6" borderId="1" xfId="1" applyNumberFormat="1" applyFont="1" applyFill="1" applyBorder="1" applyAlignment="1">
      <alignment horizontal="center" vertical="center"/>
    </xf>
    <xf numFmtId="166" fontId="40" fillId="3" borderId="0" xfId="1" applyNumberFormat="1" applyFont="1" applyFill="1" applyBorder="1" applyAlignment="1">
      <alignment horizontal="justify"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0" fillId="0" borderId="24" xfId="0" applyBorder="1" applyAlignment="1">
      <alignment horizontal="left" vertical="center" wrapText="1"/>
    </xf>
    <xf numFmtId="0" fontId="0" fillId="3" borderId="25" xfId="0" applyFill="1" applyBorder="1" applyAlignment="1">
      <alignment horizontal="center"/>
    </xf>
    <xf numFmtId="0" fontId="44" fillId="16" borderId="0" xfId="0" applyFont="1" applyFill="1" applyAlignment="1">
      <alignment horizontal="center"/>
    </xf>
    <xf numFmtId="0" fontId="3" fillId="3" borderId="1" xfId="0" applyFont="1" applyFill="1" applyBorder="1" applyAlignment="1">
      <alignment horizontal="center" vertical="center"/>
    </xf>
    <xf numFmtId="0" fontId="24" fillId="0" borderId="1" xfId="0" applyFont="1" applyBorder="1" applyAlignment="1">
      <alignment horizontal="justify" vertical="top" wrapText="1"/>
    </xf>
    <xf numFmtId="0" fontId="0" fillId="0" borderId="2" xfId="0" applyBorder="1" applyAlignment="1">
      <alignment horizontal="justify" vertical="center" wrapText="1"/>
    </xf>
    <xf numFmtId="0" fontId="0" fillId="0" borderId="13" xfId="0" applyBorder="1" applyAlignment="1">
      <alignment horizontal="justify" vertical="center" wrapText="1"/>
    </xf>
    <xf numFmtId="0" fontId="37" fillId="0" borderId="33" xfId="5" applyFont="1" applyBorder="1" applyAlignment="1">
      <alignment horizontal="left" vertical="center" wrapText="1"/>
    </xf>
    <xf numFmtId="0" fontId="37" fillId="0" borderId="34" xfId="5" applyFont="1" applyBorder="1" applyAlignment="1">
      <alignment horizontal="left" vertical="center" wrapText="1"/>
    </xf>
    <xf numFmtId="0" fontId="1" fillId="0" borderId="2" xfId="5" applyFont="1" applyBorder="1" applyAlignment="1">
      <alignment horizontal="justify"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24" fillId="3" borderId="0" xfId="0" applyFont="1" applyFill="1" applyAlignment="1">
      <alignment horizontal="justify" vertical="center" wrapText="1"/>
    </xf>
    <xf numFmtId="0" fontId="1" fillId="3" borderId="0" xfId="0" applyFont="1" applyFill="1" applyAlignment="1">
      <alignment wrapText="1"/>
    </xf>
    <xf numFmtId="0" fontId="1" fillId="3" borderId="21" xfId="0" applyFont="1" applyFill="1" applyBorder="1" applyAlignment="1">
      <alignment wrapText="1"/>
    </xf>
    <xf numFmtId="0" fontId="1" fillId="0" borderId="0" xfId="5" applyFont="1" applyAlignment="1">
      <alignment wrapText="1"/>
    </xf>
    <xf numFmtId="0" fontId="1" fillId="0" borderId="0" xfId="0" applyFont="1" applyAlignment="1">
      <alignment wrapText="1"/>
    </xf>
    <xf numFmtId="0" fontId="3" fillId="3" borderId="1" xfId="0" applyFont="1" applyFill="1" applyBorder="1" applyAlignment="1">
      <alignment vertical="center" wrapText="1"/>
    </xf>
    <xf numFmtId="0" fontId="1" fillId="3" borderId="1" xfId="0" applyFont="1" applyFill="1" applyBorder="1" applyAlignment="1">
      <alignment wrapText="1"/>
    </xf>
    <xf numFmtId="0" fontId="1" fillId="3" borderId="1" xfId="5" applyFont="1" applyFill="1" applyBorder="1" applyAlignment="1">
      <alignment horizontal="justify" vertical="top" wrapText="1"/>
    </xf>
    <xf numFmtId="0" fontId="1" fillId="3" borderId="1" xfId="0" applyFont="1" applyFill="1" applyBorder="1" applyAlignment="1">
      <alignment horizontal="justify" vertical="top" wrapText="1"/>
    </xf>
    <xf numFmtId="0" fontId="3" fillId="7" borderId="0" xfId="5" applyFont="1" applyFill="1" applyAlignment="1">
      <alignment horizontal="left" wrapText="1"/>
    </xf>
    <xf numFmtId="0" fontId="3" fillId="7" borderId="0" xfId="0" applyFont="1" applyFill="1" applyAlignment="1">
      <alignment horizontal="left" wrapText="1"/>
    </xf>
    <xf numFmtId="0" fontId="3" fillId="0" borderId="33" xfId="5" applyFont="1" applyBorder="1" applyAlignment="1">
      <alignment horizontal="justify" vertical="center" wrapText="1"/>
    </xf>
    <xf numFmtId="0" fontId="3" fillId="0" borderId="34" xfId="5" applyFont="1" applyBorder="1" applyAlignment="1">
      <alignment horizontal="justify" vertical="center" wrapText="1"/>
    </xf>
    <xf numFmtId="0" fontId="1" fillId="0" borderId="2" xfId="5"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2" xfId="5"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3" borderId="1" xfId="5"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0" borderId="26" xfId="5" applyFont="1" applyBorder="1" applyAlignment="1">
      <alignment horizontal="center"/>
    </xf>
    <xf numFmtId="0" fontId="1" fillId="0" borderId="27" xfId="5" applyFont="1" applyBorder="1" applyAlignment="1">
      <alignment horizontal="center"/>
    </xf>
    <xf numFmtId="0" fontId="1" fillId="0" borderId="30" xfId="5" applyFont="1" applyBorder="1" applyAlignment="1">
      <alignment horizontal="center"/>
    </xf>
    <xf numFmtId="0" fontId="1" fillId="0" borderId="0" xfId="5" applyFont="1" applyAlignment="1">
      <alignment horizontal="center"/>
    </xf>
    <xf numFmtId="0" fontId="1" fillId="0" borderId="31" xfId="5" applyFont="1" applyBorder="1" applyAlignment="1">
      <alignment horizontal="center"/>
    </xf>
    <xf numFmtId="0" fontId="1" fillId="0" borderId="32" xfId="5" applyFont="1" applyBorder="1" applyAlignment="1">
      <alignment horizontal="center"/>
    </xf>
    <xf numFmtId="0" fontId="3" fillId="0" borderId="1" xfId="5"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5" applyFont="1" applyBorder="1" applyAlignment="1">
      <alignment horizontal="center"/>
    </xf>
    <xf numFmtId="0" fontId="1" fillId="0" borderId="29" xfId="5" applyFont="1" applyBorder="1" applyAlignment="1">
      <alignment horizontal="center"/>
    </xf>
    <xf numFmtId="0" fontId="24" fillId="0" borderId="1" xfId="5" applyFont="1" applyBorder="1" applyAlignment="1">
      <alignment horizontal="justify" vertical="top" wrapText="1"/>
    </xf>
    <xf numFmtId="0" fontId="0" fillId="0" borderId="1" xfId="0" applyBorder="1" applyAlignment="1">
      <alignment horizontal="justify" vertical="top" wrapText="1"/>
    </xf>
    <xf numFmtId="0" fontId="24" fillId="0" borderId="1" xfId="5" applyFont="1" applyBorder="1" applyAlignment="1">
      <alignment horizontal="justify" vertical="center" wrapText="1"/>
    </xf>
    <xf numFmtId="0" fontId="24" fillId="0" borderId="0" xfId="5" applyFont="1" applyAlignment="1">
      <alignment horizontal="justify" vertical="center" wrapText="1"/>
    </xf>
    <xf numFmtId="0" fontId="0" fillId="0" borderId="0" xfId="0" applyAlignment="1">
      <alignment horizontal="justify" vertical="center" wrapText="1"/>
    </xf>
    <xf numFmtId="0" fontId="24" fillId="0" borderId="1" xfId="5" applyFont="1" applyBorder="1" applyAlignment="1">
      <alignment horizontal="left" vertical="top" wrapText="1"/>
    </xf>
    <xf numFmtId="0" fontId="0" fillId="0" borderId="1" xfId="0" applyBorder="1" applyAlignment="1">
      <alignment horizontal="left" vertical="top" wrapText="1"/>
    </xf>
    <xf numFmtId="0" fontId="24" fillId="0" borderId="1" xfId="5" applyFont="1" applyBorder="1" applyAlignment="1">
      <alignment horizontal="left" wrapText="1"/>
    </xf>
    <xf numFmtId="0" fontId="0" fillId="0" borderId="1" xfId="0" applyBorder="1" applyAlignment="1">
      <alignment horizontal="left" wrapText="1"/>
    </xf>
    <xf numFmtId="0" fontId="25" fillId="0" borderId="0" xfId="5" applyFont="1" applyAlignment="1">
      <alignment horizontal="center" vertical="center"/>
    </xf>
    <xf numFmtId="0" fontId="0" fillId="0" borderId="0" xfId="0" applyAlignment="1">
      <alignment horizontal="center" vertical="center"/>
    </xf>
    <xf numFmtId="0" fontId="12" fillId="0" borderId="18" xfId="0" applyFont="1" applyBorder="1" applyAlignment="1">
      <alignment horizontal="justify" wrapText="1"/>
    </xf>
    <xf numFmtId="0" fontId="12" fillId="0" borderId="0" xfId="0" applyFont="1" applyAlignment="1">
      <alignment horizontal="justify" wrapText="1"/>
    </xf>
    <xf numFmtId="0" fontId="6" fillId="7" borderId="2" xfId="0" applyFont="1" applyFill="1" applyBorder="1" applyAlignment="1">
      <alignment wrapText="1"/>
    </xf>
    <xf numFmtId="0" fontId="5" fillId="0" borderId="13" xfId="0" applyFont="1" applyBorder="1" applyAlignment="1">
      <alignment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1" xfId="0" applyBorder="1" applyAlignment="1">
      <alignment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6" fillId="7" borderId="1" xfId="0" applyFont="1" applyFill="1" applyBorder="1" applyAlignment="1">
      <alignment wrapText="1"/>
    </xf>
    <xf numFmtId="0" fontId="5" fillId="0" borderId="1" xfId="0" applyFont="1" applyBorder="1" applyAlignment="1">
      <alignment wrapText="1"/>
    </xf>
    <xf numFmtId="166" fontId="6" fillId="7" borderId="1" xfId="1" applyNumberFormat="1" applyFont="1" applyFill="1" applyBorder="1" applyAlignment="1">
      <alignment wrapText="1"/>
    </xf>
    <xf numFmtId="166" fontId="0" fillId="0" borderId="1" xfId="1" applyNumberFormat="1" applyFont="1" applyBorder="1" applyAlignment="1">
      <alignment wrapText="1"/>
    </xf>
    <xf numFmtId="0" fontId="12" fillId="0" borderId="2" xfId="0" applyFont="1" applyBorder="1" applyAlignment="1">
      <alignment horizontal="justify" wrapText="1"/>
    </xf>
    <xf numFmtId="0" fontId="12" fillId="0" borderId="13" xfId="0" applyFont="1" applyBorder="1" applyAlignment="1">
      <alignment horizontal="justify" wrapText="1"/>
    </xf>
    <xf numFmtId="0" fontId="15" fillId="3" borderId="1" xfId="0" applyFont="1" applyFill="1" applyBorder="1" applyAlignment="1">
      <alignment vertical="center" wrapText="1"/>
    </xf>
    <xf numFmtId="166" fontId="6" fillId="0" borderId="11" xfId="1" applyNumberFormat="1"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166" fontId="6" fillId="0" borderId="11" xfId="0" applyNumberFormat="1" applyFont="1" applyBorder="1" applyAlignment="1">
      <alignment horizontal="left" vertical="center" wrapText="1"/>
    </xf>
    <xf numFmtId="0" fontId="5" fillId="0" borderId="0" xfId="0" applyFont="1" applyAlignment="1">
      <alignment wrapText="1"/>
    </xf>
    <xf numFmtId="0" fontId="0" fillId="0" borderId="0" xfId="0" applyAlignment="1">
      <alignment wrapText="1"/>
    </xf>
    <xf numFmtId="166" fontId="15" fillId="3" borderId="1" xfId="0" applyNumberFormat="1" applyFont="1" applyFill="1" applyBorder="1" applyAlignment="1">
      <alignment vertical="center" wrapText="1"/>
    </xf>
    <xf numFmtId="0" fontId="6" fillId="7" borderId="13" xfId="0" applyFont="1" applyFill="1" applyBorder="1" applyAlignment="1">
      <alignment wrapText="1"/>
    </xf>
    <xf numFmtId="0" fontId="5" fillId="7" borderId="2" xfId="0" applyFont="1" applyFill="1" applyBorder="1" applyAlignment="1">
      <alignment wrapText="1"/>
    </xf>
    <xf numFmtId="0" fontId="5" fillId="7" borderId="13" xfId="0" applyFont="1" applyFill="1" applyBorder="1" applyAlignment="1">
      <alignment wrapText="1"/>
    </xf>
    <xf numFmtId="0" fontId="15" fillId="3" borderId="11" xfId="0" applyFont="1" applyFill="1" applyBorder="1" applyAlignment="1">
      <alignment horizontal="justify" vertical="center"/>
    </xf>
    <xf numFmtId="0" fontId="15" fillId="3" borderId="14" xfId="0" applyFont="1" applyFill="1" applyBorder="1" applyAlignment="1">
      <alignment horizontal="justify" vertical="center"/>
    </xf>
    <xf numFmtId="0" fontId="15" fillId="3" borderId="17" xfId="0" applyFont="1" applyFill="1" applyBorder="1" applyAlignment="1">
      <alignment horizontal="justify" vertical="center"/>
    </xf>
    <xf numFmtId="166" fontId="15" fillId="3" borderId="11" xfId="0" applyNumberFormat="1" applyFont="1" applyFill="1" applyBorder="1" applyAlignment="1">
      <alignment horizontal="justify" vertical="center"/>
    </xf>
    <xf numFmtId="0" fontId="15" fillId="3" borderId="1" xfId="0" applyFont="1" applyFill="1" applyBorder="1" applyAlignment="1">
      <alignment horizontal="justify" vertical="center"/>
    </xf>
    <xf numFmtId="166" fontId="15" fillId="3" borderId="1" xfId="0" applyNumberFormat="1" applyFont="1" applyFill="1" applyBorder="1" applyAlignment="1">
      <alignment horizontal="justify" vertical="center"/>
    </xf>
    <xf numFmtId="0" fontId="15" fillId="0" borderId="1" xfId="0" applyFont="1" applyBorder="1" applyAlignment="1">
      <alignment horizontal="justify" vertical="center"/>
    </xf>
    <xf numFmtId="166" fontId="15" fillId="0" borderId="1" xfId="0" applyNumberFormat="1" applyFont="1" applyBorder="1" applyAlignment="1">
      <alignment horizontal="justify" vertical="center"/>
    </xf>
    <xf numFmtId="166" fontId="15" fillId="0" borderId="11" xfId="0" applyNumberFormat="1" applyFont="1" applyBorder="1" applyAlignment="1">
      <alignment horizontal="justify" vertical="center" wrapText="1"/>
    </xf>
    <xf numFmtId="0" fontId="15" fillId="0" borderId="14" xfId="0" applyFont="1" applyBorder="1" applyAlignment="1">
      <alignment horizontal="justify" vertical="center" wrapText="1"/>
    </xf>
    <xf numFmtId="0" fontId="5" fillId="0" borderId="17" xfId="0" applyFont="1" applyBorder="1" applyAlignment="1">
      <alignment horizontal="justify" vertical="center" wrapText="1"/>
    </xf>
    <xf numFmtId="0" fontId="6" fillId="4" borderId="2" xfId="0" applyFont="1" applyFill="1" applyBorder="1" applyAlignment="1">
      <alignment horizontal="left" wrapText="1"/>
    </xf>
    <xf numFmtId="0" fontId="0" fillId="0" borderId="13" xfId="0" applyBorder="1" applyAlignment="1">
      <alignment horizontal="left" wrapText="1"/>
    </xf>
    <xf numFmtId="0" fontId="6" fillId="7" borderId="1" xfId="0" applyFont="1" applyFill="1" applyBorder="1" applyAlignment="1">
      <alignment horizontal="left" wrapText="1"/>
    </xf>
    <xf numFmtId="0" fontId="0" fillId="7" borderId="1" xfId="0" applyFill="1" applyBorder="1" applyAlignment="1">
      <alignment horizontal="left" wrapText="1"/>
    </xf>
    <xf numFmtId="0" fontId="3" fillId="7" borderId="1" xfId="0" applyFont="1" applyFill="1" applyBorder="1" applyAlignment="1">
      <alignment horizontal="left" wrapText="1"/>
    </xf>
    <xf numFmtId="0" fontId="0" fillId="7" borderId="1" xfId="0" applyFill="1" applyBorder="1" applyAlignment="1">
      <alignment wrapText="1"/>
    </xf>
    <xf numFmtId="0" fontId="10" fillId="0" borderId="0" xfId="0" applyFont="1" applyAlignment="1">
      <alignment wrapText="1"/>
    </xf>
    <xf numFmtId="0" fontId="5" fillId="0" borderId="1" xfId="0" applyFont="1" applyBorder="1" applyAlignment="1">
      <alignment horizontal="justify" wrapText="1"/>
    </xf>
    <xf numFmtId="0" fontId="0" fillId="0" borderId="1" xfId="0" applyBorder="1" applyAlignment="1">
      <alignment horizontal="justify" wrapText="1"/>
    </xf>
    <xf numFmtId="0" fontId="10" fillId="0" borderId="24" xfId="0" applyFont="1" applyBorder="1" applyAlignment="1">
      <alignment horizontal="justify" wrapText="1"/>
    </xf>
    <xf numFmtId="0" fontId="10" fillId="0" borderId="24" xfId="0" applyFont="1" applyBorder="1" applyAlignment="1">
      <alignment horizontal="justify" vertical="justify" wrapText="1"/>
    </xf>
    <xf numFmtId="0" fontId="5" fillId="0" borderId="24" xfId="0" applyFont="1" applyBorder="1" applyAlignment="1">
      <alignment wrapText="1"/>
    </xf>
    <xf numFmtId="0" fontId="0" fillId="0" borderId="24" xfId="0" applyBorder="1" applyAlignment="1">
      <alignment wrapText="1"/>
    </xf>
    <xf numFmtId="0" fontId="5" fillId="0" borderId="11" xfId="0" applyFont="1" applyBorder="1" applyAlignment="1">
      <alignment wrapText="1"/>
    </xf>
    <xf numFmtId="0" fontId="0" fillId="0" borderId="17" xfId="0" applyBorder="1" applyAlignment="1">
      <alignment wrapText="1"/>
    </xf>
    <xf numFmtId="0" fontId="10" fillId="0" borderId="0" xfId="0" applyFont="1" applyAlignment="1">
      <alignment horizontal="justify" wrapText="1"/>
    </xf>
    <xf numFmtId="0" fontId="10" fillId="0" borderId="24" xfId="0" applyFont="1" applyBorder="1" applyAlignment="1">
      <alignment wrapText="1"/>
    </xf>
    <xf numFmtId="0" fontId="20" fillId="0" borderId="0" xfId="0" applyFont="1" applyAlignment="1">
      <alignment wrapText="1"/>
    </xf>
    <xf numFmtId="0" fontId="16" fillId="0" borderId="24" xfId="0" applyFont="1" applyBorder="1" applyAlignment="1">
      <alignment wrapText="1"/>
    </xf>
    <xf numFmtId="0" fontId="10" fillId="0" borderId="24" xfId="0" applyFont="1" applyBorder="1" applyAlignment="1">
      <alignment horizontal="justify"/>
    </xf>
    <xf numFmtId="0" fontId="0" fillId="0" borderId="24" xfId="0" applyBorder="1" applyAlignment="1">
      <alignment horizontal="justify"/>
    </xf>
    <xf numFmtId="166" fontId="5" fillId="0" borderId="1" xfId="1" applyNumberFormat="1" applyFont="1" applyBorder="1" applyAlignment="1">
      <alignment wrapText="1"/>
    </xf>
    <xf numFmtId="0" fontId="5" fillId="0" borderId="24" xfId="0" applyFont="1" applyBorder="1" applyAlignment="1">
      <alignment horizontal="left" wrapText="1"/>
    </xf>
    <xf numFmtId="0" fontId="5" fillId="0" borderId="0" xfId="0" applyFont="1" applyAlignment="1">
      <alignment horizontal="left" wrapText="1"/>
    </xf>
    <xf numFmtId="0" fontId="0" fillId="0" borderId="24" xfId="0" applyBorder="1" applyAlignment="1">
      <alignment horizontal="justify" wrapText="1"/>
    </xf>
    <xf numFmtId="0" fontId="10" fillId="0" borderId="0" xfId="0" applyFont="1" applyAlignment="1">
      <alignment vertical="top" wrapText="1"/>
    </xf>
    <xf numFmtId="0" fontId="0" fillId="0" borderId="0" xfId="0" applyAlignment="1">
      <alignment vertical="top" wrapText="1"/>
    </xf>
    <xf numFmtId="0" fontId="45" fillId="3" borderId="35" xfId="0" applyFont="1" applyFill="1" applyBorder="1" applyAlignment="1">
      <alignment horizontal="left" vertical="center" wrapText="1"/>
    </xf>
    <xf numFmtId="0" fontId="45" fillId="3" borderId="35" xfId="0" applyFont="1" applyFill="1" applyBorder="1" applyAlignment="1">
      <alignment horizontal="center" vertical="center" wrapText="1"/>
    </xf>
    <xf numFmtId="0" fontId="45" fillId="3" borderId="35" xfId="0" applyFont="1" applyFill="1" applyBorder="1" applyAlignment="1">
      <alignment horizontal="justify" vertical="center" wrapText="1"/>
    </xf>
    <xf numFmtId="0" fontId="45" fillId="3" borderId="35" xfId="0" applyFont="1" applyFill="1" applyBorder="1" applyAlignment="1">
      <alignment horizontal="left" vertical="center"/>
    </xf>
    <xf numFmtId="0" fontId="45" fillId="0" borderId="35" xfId="0" applyFont="1" applyBorder="1" applyAlignment="1">
      <alignment horizontal="left" vertical="center" wrapText="1"/>
    </xf>
    <xf numFmtId="0" fontId="49" fillId="3" borderId="35" xfId="0" applyFont="1" applyFill="1" applyBorder="1" applyAlignment="1">
      <alignment horizontal="center" vertical="center" wrapText="1"/>
    </xf>
    <xf numFmtId="0" fontId="45" fillId="0" borderId="35" xfId="0" applyFont="1" applyBorder="1" applyAlignment="1">
      <alignment horizontal="center" vertical="center" wrapText="1"/>
    </xf>
    <xf numFmtId="0" fontId="45" fillId="0" borderId="35" xfId="0" applyFont="1" applyBorder="1" applyAlignment="1">
      <alignment horizontal="justify" vertical="center" wrapText="1"/>
    </xf>
    <xf numFmtId="0" fontId="49" fillId="0" borderId="35" xfId="0" applyFont="1" applyBorder="1" applyAlignment="1">
      <alignment horizontal="center" vertical="center" wrapText="1"/>
    </xf>
    <xf numFmtId="166" fontId="45" fillId="3" borderId="35" xfId="1" applyNumberFormat="1" applyFont="1" applyFill="1" applyBorder="1" applyAlignment="1">
      <alignment horizontal="center" vertical="center"/>
    </xf>
    <xf numFmtId="166" fontId="45" fillId="3" borderId="35" xfId="1" applyNumberFormat="1" applyFont="1" applyFill="1" applyBorder="1" applyAlignment="1">
      <alignment horizontal="center" vertical="center" wrapText="1"/>
    </xf>
    <xf numFmtId="0" fontId="26" fillId="3" borderId="0" xfId="0" applyFont="1" applyFill="1" applyAlignment="1">
      <alignment horizontal="center" vertical="center" wrapText="1"/>
    </xf>
    <xf numFmtId="0" fontId="27" fillId="0" borderId="0" xfId="0" applyFont="1" applyAlignment="1">
      <alignment horizontal="center" vertical="center" wrapText="1"/>
    </xf>
    <xf numFmtId="0" fontId="3" fillId="11" borderId="0" xfId="0" applyFont="1" applyFill="1" applyAlignment="1">
      <alignment horizontal="left" wrapText="1"/>
    </xf>
    <xf numFmtId="0" fontId="0" fillId="11" borderId="0" xfId="0" applyFill="1" applyAlignment="1">
      <alignment wrapText="1"/>
    </xf>
    <xf numFmtId="0" fontId="0" fillId="0" borderId="25" xfId="0" applyBorder="1" applyAlignment="1">
      <alignment wrapText="1"/>
    </xf>
    <xf numFmtId="0" fontId="24" fillId="0" borderId="18" xfId="0" applyFont="1" applyFill="1" applyBorder="1" applyAlignment="1">
      <alignment horizontal="center" wrapText="1"/>
    </xf>
    <xf numFmtId="0" fontId="3" fillId="11" borderId="0" xfId="0" applyFont="1" applyFill="1" applyAlignment="1">
      <alignment horizontal="justify" vertical="justify" wrapText="1"/>
    </xf>
    <xf numFmtId="0" fontId="0" fillId="11" borderId="0" xfId="0" applyFill="1" applyAlignment="1">
      <alignment horizontal="justify" vertical="justify" wrapText="1"/>
    </xf>
    <xf numFmtId="0" fontId="3" fillId="14" borderId="0" xfId="0" applyFont="1" applyFill="1" applyAlignment="1">
      <alignment horizontal="left" wrapText="1"/>
    </xf>
    <xf numFmtId="0" fontId="0" fillId="14" borderId="0" xfId="0" applyFill="1" applyAlignment="1">
      <alignment wrapText="1"/>
    </xf>
    <xf numFmtId="0" fontId="3" fillId="14" borderId="0" xfId="0" applyFont="1" applyFill="1" applyAlignment="1">
      <alignment horizontal="left" vertical="center" wrapText="1"/>
    </xf>
    <xf numFmtId="0" fontId="0" fillId="14" borderId="0" xfId="0" applyFill="1" applyAlignment="1">
      <alignment horizontal="left" vertical="center" wrapText="1"/>
    </xf>
    <xf numFmtId="0" fontId="29" fillId="14" borderId="0" xfId="0" applyFont="1" applyFill="1" applyAlignment="1">
      <alignment horizontal="left" vertical="center" wrapText="1"/>
    </xf>
    <xf numFmtId="0" fontId="30" fillId="14" borderId="0" xfId="0" applyFont="1" applyFill="1" applyAlignment="1">
      <alignment vertical="center" wrapText="1"/>
    </xf>
    <xf numFmtId="0" fontId="29" fillId="3" borderId="0" xfId="0" applyFont="1" applyFill="1" applyAlignment="1">
      <alignment horizontal="center" vertical="center" wrapText="1"/>
    </xf>
    <xf numFmtId="0" fontId="29" fillId="14" borderId="25" xfId="0" applyFont="1" applyFill="1" applyBorder="1" applyAlignment="1">
      <alignment horizontal="left" vertical="center" wrapText="1"/>
    </xf>
    <xf numFmtId="0" fontId="29" fillId="14" borderId="25" xfId="0" applyFont="1" applyFill="1" applyBorder="1" applyAlignment="1">
      <alignment horizontal="left" wrapText="1"/>
    </xf>
    <xf numFmtId="0" fontId="29" fillId="3" borderId="21" xfId="0" applyFont="1" applyFill="1" applyBorder="1" applyAlignment="1">
      <alignment horizontal="center" vertical="center" wrapText="1"/>
    </xf>
    <xf numFmtId="0" fontId="29" fillId="3" borderId="0" xfId="0" applyFont="1" applyFill="1" applyAlignment="1">
      <alignment horizontal="center" wrapText="1"/>
    </xf>
    <xf numFmtId="0" fontId="29" fillId="14" borderId="0" xfId="0" applyFont="1" applyFill="1" applyAlignment="1">
      <alignment horizontal="left" vertical="top" wrapText="1"/>
    </xf>
    <xf numFmtId="0" fontId="29" fillId="14" borderId="0" xfId="0" applyFont="1" applyFill="1" applyAlignment="1">
      <alignment horizontal="left" wrapText="1"/>
    </xf>
    <xf numFmtId="0" fontId="30" fillId="14" borderId="0" xfId="0" applyFont="1" applyFill="1" applyAlignment="1">
      <alignment wrapText="1"/>
    </xf>
    <xf numFmtId="0" fontId="0" fillId="14" borderId="0" xfId="0" applyFill="1" applyAlignment="1">
      <alignment horizontal="left" wrapText="1"/>
    </xf>
    <xf numFmtId="0" fontId="0" fillId="0" borderId="0" xfId="0" applyFill="1" applyBorder="1" applyAlignment="1">
      <alignment horizontal="center" wrapText="1"/>
    </xf>
  </cellXfs>
  <cellStyles count="11">
    <cellStyle name="Hipervínculo" xfId="4" builtinId="8"/>
    <cellStyle name="Millares" xfId="1" builtinId="3"/>
    <cellStyle name="Millares 12" xfId="6"/>
    <cellStyle name="Millares 2" xfId="9"/>
    <cellStyle name="Millares 2 2" xfId="10"/>
    <cellStyle name="Moneda" xfId="2" builtinId="4"/>
    <cellStyle name="Moneda 2" xfId="7"/>
    <cellStyle name="Moneda 3" xfId="8"/>
    <cellStyle name="Normal" xfId="0" builtinId="0"/>
    <cellStyle name="Normal 3"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568142</xdr:rowOff>
    </xdr:from>
    <xdr:to>
      <xdr:col>2</xdr:col>
      <xdr:colOff>867569</xdr:colOff>
      <xdr:row>25</xdr:row>
      <xdr:rowOff>682442</xdr:rowOff>
    </xdr:to>
    <xdr:sp macro="" textlink="">
      <xdr:nvSpPr>
        <xdr:cNvPr id="2" name="Rectángulo 1">
          <a:extLst>
            <a:ext uri="{FF2B5EF4-FFF2-40B4-BE49-F238E27FC236}">
              <a16:creationId xmlns:a16="http://schemas.microsoft.com/office/drawing/2014/main" xmlns="" id="{7B651DA1-76C7-4363-AC5B-605EFB9F84E1}"/>
            </a:ext>
          </a:extLst>
        </xdr:cNvPr>
        <xdr:cNvSpPr/>
      </xdr:nvSpPr>
      <xdr:spPr>
        <a:xfrm>
          <a:off x="2859027" y="10869796"/>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xmlns="" id="{C8A4E672-C63F-40F2-ADDF-7F7C2BA1E985}"/>
            </a:ext>
          </a:extLst>
        </xdr:cNvPr>
        <xdr:cNvSpPr/>
      </xdr:nvSpPr>
      <xdr:spPr>
        <a:xfrm>
          <a:off x="2851944" y="10075863"/>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xmlns="" id="{E8556899-6044-4A4D-A836-E976BA06A464}"/>
            </a:ext>
          </a:extLst>
        </xdr:cNvPr>
        <xdr:cNvSpPr/>
      </xdr:nvSpPr>
      <xdr:spPr>
        <a:xfrm>
          <a:off x="2845594" y="10248106"/>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xmlns="" id="{F1DA4810-6254-4088-92A4-5A4BCA45A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957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528AB760-6B7E-4573-9F3E-406082E27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143484</xdr:rowOff>
    </xdr:to>
    <xdr:pic>
      <xdr:nvPicPr>
        <xdr:cNvPr id="3" name="Imagen 2">
          <a:extLst>
            <a:ext uri="{FF2B5EF4-FFF2-40B4-BE49-F238E27FC236}">
              <a16:creationId xmlns:a16="http://schemas.microsoft.com/office/drawing/2014/main" xmlns="" id="{329F44E2-49E6-48B9-ACFD-9731FF2F4BC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228511" y="23806"/>
          <a:ext cx="2301884" cy="500678"/>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xmlns="" id="{B74CB9B5-0C19-4FBC-9A89-AD15F8E487A3}"/>
            </a:ext>
          </a:extLst>
        </xdr:cNvPr>
        <xdr:cNvSpPr/>
      </xdr:nvSpPr>
      <xdr:spPr>
        <a:xfrm>
          <a:off x="9932225" y="11870418"/>
          <a:ext cx="2315565" cy="3293382"/>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AB643D20-FFC9-4098-B0EC-B4122ACCE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4</xdr:row>
      <xdr:rowOff>0</xdr:rowOff>
    </xdr:from>
    <xdr:to>
      <xdr:col>18</xdr:col>
      <xdr:colOff>271470</xdr:colOff>
      <xdr:row>5</xdr:row>
      <xdr:rowOff>94278</xdr:rowOff>
    </xdr:to>
    <xdr:pic>
      <xdr:nvPicPr>
        <xdr:cNvPr id="3" name="Imagen 2">
          <a:extLst>
            <a:ext uri="{FF2B5EF4-FFF2-40B4-BE49-F238E27FC236}">
              <a16:creationId xmlns:a16="http://schemas.microsoft.com/office/drawing/2014/main" xmlns="" id="{B14D7217-F1E8-4480-91B0-41DF05FC0C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8838861" y="857250"/>
          <a:ext cx="2244734" cy="494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304800</xdr:colOff>
      <xdr:row>15</xdr:row>
      <xdr:rowOff>120653</xdr:rowOff>
    </xdr:to>
    <xdr:sp macro="" textlink="">
      <xdr:nvSpPr>
        <xdr:cNvPr id="2" name="AutoShape 1">
          <a:extLst>
            <a:ext uri="{FF2B5EF4-FFF2-40B4-BE49-F238E27FC236}">
              <a16:creationId xmlns:a16="http://schemas.microsoft.com/office/drawing/2014/main" xmlns="" id="{C2F796A2-4D45-4D9D-AADC-CD5BF2B95C68}"/>
            </a:ext>
          </a:extLst>
        </xdr:cNvPr>
        <xdr:cNvSpPr>
          <a:spLocks noChangeAspect="1" noChangeArrowheads="1"/>
        </xdr:cNvSpPr>
      </xdr:nvSpPr>
      <xdr:spPr bwMode="auto">
        <a:xfrm>
          <a:off x="0" y="70104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120652</xdr:rowOff>
    </xdr:to>
    <xdr:sp macro="" textlink="">
      <xdr:nvSpPr>
        <xdr:cNvPr id="3" name="AutoShape 1">
          <a:extLst>
            <a:ext uri="{FF2B5EF4-FFF2-40B4-BE49-F238E27FC236}">
              <a16:creationId xmlns:a16="http://schemas.microsoft.com/office/drawing/2014/main" xmlns="" id="{78A0F997-1876-45D9-827E-BCA64CB60931}"/>
            </a:ext>
          </a:extLst>
        </xdr:cNvPr>
        <xdr:cNvSpPr>
          <a:spLocks noChangeAspect="1" noChangeArrowheads="1"/>
        </xdr:cNvSpPr>
      </xdr:nvSpPr>
      <xdr:spPr bwMode="auto">
        <a:xfrm>
          <a:off x="0" y="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35</xdr:row>
      <xdr:rowOff>0</xdr:rowOff>
    </xdr:from>
    <xdr:to>
      <xdr:col>0</xdr:col>
      <xdr:colOff>304800</xdr:colOff>
      <xdr:row>36</xdr:row>
      <xdr:rowOff>120650</xdr:rowOff>
    </xdr:to>
    <xdr:sp macro="" textlink="">
      <xdr:nvSpPr>
        <xdr:cNvPr id="4" name="AutoShape 1">
          <a:extLst>
            <a:ext uri="{FF2B5EF4-FFF2-40B4-BE49-F238E27FC236}">
              <a16:creationId xmlns:a16="http://schemas.microsoft.com/office/drawing/2014/main" xmlns="" id="{F847244E-57DD-4066-BCEF-958EECEED432}"/>
            </a:ext>
          </a:extLst>
        </xdr:cNvPr>
        <xdr:cNvSpPr>
          <a:spLocks noChangeAspect="1" noChangeArrowheads="1"/>
        </xdr:cNvSpPr>
      </xdr:nvSpPr>
      <xdr:spPr bwMode="auto">
        <a:xfrm>
          <a:off x="0" y="100520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65</xdr:row>
      <xdr:rowOff>0</xdr:rowOff>
    </xdr:from>
    <xdr:to>
      <xdr:col>0</xdr:col>
      <xdr:colOff>304800</xdr:colOff>
      <xdr:row>66</xdr:row>
      <xdr:rowOff>5105</xdr:rowOff>
    </xdr:to>
    <xdr:sp macro="" textlink="">
      <xdr:nvSpPr>
        <xdr:cNvPr id="5" name="AutoShape 1">
          <a:extLst>
            <a:ext uri="{FF2B5EF4-FFF2-40B4-BE49-F238E27FC236}">
              <a16:creationId xmlns:a16="http://schemas.microsoft.com/office/drawing/2014/main" xmlns="" id="{EE82247D-4C43-4F1A-B313-5C2338907EEB}"/>
            </a:ext>
          </a:extLst>
        </xdr:cNvPr>
        <xdr:cNvSpPr>
          <a:spLocks noChangeAspect="1" noChangeArrowheads="1"/>
        </xdr:cNvSpPr>
      </xdr:nvSpPr>
      <xdr:spPr bwMode="auto">
        <a:xfrm>
          <a:off x="0" y="15335250"/>
          <a:ext cx="304800" cy="326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9071</xdr:colOff>
      <xdr:row>55</xdr:row>
      <xdr:rowOff>9071</xdr:rowOff>
    </xdr:from>
    <xdr:ext cx="304800" cy="300568"/>
    <xdr:sp macro="" textlink="">
      <xdr:nvSpPr>
        <xdr:cNvPr id="6" name="AutoShape 1">
          <a:extLst>
            <a:ext uri="{FF2B5EF4-FFF2-40B4-BE49-F238E27FC236}">
              <a16:creationId xmlns:a16="http://schemas.microsoft.com/office/drawing/2014/main" xmlns="" id="{84875841-2964-4CA6-8F5C-D5E948449FA5}"/>
            </a:ext>
          </a:extLst>
        </xdr:cNvPr>
        <xdr:cNvSpPr>
          <a:spLocks noChangeAspect="1" noChangeArrowheads="1"/>
        </xdr:cNvSpPr>
      </xdr:nvSpPr>
      <xdr:spPr bwMode="auto">
        <a:xfrm>
          <a:off x="9071" y="15466785"/>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304800</xdr:colOff>
      <xdr:row>14</xdr:row>
      <xdr:rowOff>120655</xdr:rowOff>
    </xdr:to>
    <xdr:sp macro="" textlink="">
      <xdr:nvSpPr>
        <xdr:cNvPr id="2" name="AutoShape 1">
          <a:extLst>
            <a:ext uri="{FF2B5EF4-FFF2-40B4-BE49-F238E27FC236}">
              <a16:creationId xmlns:a16="http://schemas.microsoft.com/office/drawing/2014/main" xmlns="" id="{0E8400CF-B690-427F-B41A-663EDEB31B23}"/>
            </a:ext>
          </a:extLst>
        </xdr:cNvPr>
        <xdr:cNvSpPr>
          <a:spLocks noChangeAspect="1" noChangeArrowheads="1"/>
        </xdr:cNvSpPr>
      </xdr:nvSpPr>
      <xdr:spPr bwMode="auto">
        <a:xfrm>
          <a:off x="0" y="37274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120651</xdr:rowOff>
    </xdr:to>
    <xdr:sp macro="" textlink="">
      <xdr:nvSpPr>
        <xdr:cNvPr id="4" name="AutoShape 1">
          <a:extLst>
            <a:ext uri="{FF2B5EF4-FFF2-40B4-BE49-F238E27FC236}">
              <a16:creationId xmlns:a16="http://schemas.microsoft.com/office/drawing/2014/main" xmlns="" id="{CA9486B3-0803-42FA-9EC0-1E8BA140BDB6}"/>
            </a:ext>
          </a:extLst>
        </xdr:cNvPr>
        <xdr:cNvSpPr>
          <a:spLocks noChangeAspect="1" noChangeArrowheads="1"/>
        </xdr:cNvSpPr>
      </xdr:nvSpPr>
      <xdr:spPr bwMode="auto">
        <a:xfrm>
          <a:off x="0" y="112522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55</xdr:row>
      <xdr:rowOff>0</xdr:rowOff>
    </xdr:from>
    <xdr:to>
      <xdr:col>0</xdr:col>
      <xdr:colOff>304800</xdr:colOff>
      <xdr:row>56</xdr:row>
      <xdr:rowOff>5103</xdr:rowOff>
    </xdr:to>
    <xdr:sp macro="" textlink="">
      <xdr:nvSpPr>
        <xdr:cNvPr id="5" name="AutoShape 1">
          <a:extLst>
            <a:ext uri="{FF2B5EF4-FFF2-40B4-BE49-F238E27FC236}">
              <a16:creationId xmlns:a16="http://schemas.microsoft.com/office/drawing/2014/main" xmlns="" id="{DD365C45-02FC-433D-9DB6-17D76B6743BF}"/>
            </a:ext>
          </a:extLst>
        </xdr:cNvPr>
        <xdr:cNvSpPr>
          <a:spLocks noChangeAspect="1" noChangeArrowheads="1"/>
        </xdr:cNvSpPr>
      </xdr:nvSpPr>
      <xdr:spPr bwMode="auto">
        <a:xfrm>
          <a:off x="0" y="23133050"/>
          <a:ext cx="304800" cy="1892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55</xdr:row>
      <xdr:rowOff>0</xdr:rowOff>
    </xdr:from>
    <xdr:ext cx="304800" cy="300568"/>
    <xdr:sp macro="" textlink="">
      <xdr:nvSpPr>
        <xdr:cNvPr id="6" name="AutoShape 1">
          <a:extLst>
            <a:ext uri="{FF2B5EF4-FFF2-40B4-BE49-F238E27FC236}">
              <a16:creationId xmlns:a16="http://schemas.microsoft.com/office/drawing/2014/main" xmlns="" id="{C043927C-11D9-40D6-8414-B7F0A7F43B61}"/>
            </a:ext>
          </a:extLst>
        </xdr:cNvPr>
        <xdr:cNvSpPr>
          <a:spLocks noChangeAspect="1" noChangeArrowheads="1"/>
        </xdr:cNvSpPr>
      </xdr:nvSpPr>
      <xdr:spPr bwMode="auto">
        <a:xfrm>
          <a:off x="0" y="19081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120652</xdr:rowOff>
    </xdr:to>
    <xdr:sp macro="" textlink="">
      <xdr:nvSpPr>
        <xdr:cNvPr id="7" name="AutoShape 1">
          <a:extLst>
            <a:ext uri="{FF2B5EF4-FFF2-40B4-BE49-F238E27FC236}">
              <a16:creationId xmlns:a16="http://schemas.microsoft.com/office/drawing/2014/main" xmlns="" id="{07D717CC-1F69-A049-9C84-22D2E2B45898}"/>
            </a:ext>
          </a:extLst>
        </xdr:cNvPr>
        <xdr:cNvSpPr>
          <a:spLocks noChangeAspect="1" noChangeArrowheads="1"/>
        </xdr:cNvSpPr>
      </xdr:nvSpPr>
      <xdr:spPr bwMode="auto">
        <a:xfrm>
          <a:off x="0" y="190500"/>
          <a:ext cx="304800" cy="3111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304800</xdr:colOff>
      <xdr:row>13</xdr:row>
      <xdr:rowOff>120651</xdr:rowOff>
    </xdr:to>
    <xdr:sp macro="" textlink="">
      <xdr:nvSpPr>
        <xdr:cNvPr id="2" name="AutoShape 1">
          <a:extLst>
            <a:ext uri="{FF2B5EF4-FFF2-40B4-BE49-F238E27FC236}">
              <a16:creationId xmlns:a16="http://schemas.microsoft.com/office/drawing/2014/main" xmlns="" id="{350DB92C-ED66-4FBB-9A97-374B8BC3E558}"/>
            </a:ext>
          </a:extLst>
        </xdr:cNvPr>
        <xdr:cNvSpPr>
          <a:spLocks noChangeAspect="1" noChangeArrowheads="1"/>
        </xdr:cNvSpPr>
      </xdr:nvSpPr>
      <xdr:spPr bwMode="auto">
        <a:xfrm>
          <a:off x="0" y="37274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120652</xdr:rowOff>
    </xdr:to>
    <xdr:sp macro="" textlink="">
      <xdr:nvSpPr>
        <xdr:cNvPr id="3" name="AutoShape 1">
          <a:extLst>
            <a:ext uri="{FF2B5EF4-FFF2-40B4-BE49-F238E27FC236}">
              <a16:creationId xmlns:a16="http://schemas.microsoft.com/office/drawing/2014/main" xmlns="" id="{91CF6A72-6360-4710-886F-206A0CD30DCF}"/>
            </a:ext>
          </a:extLst>
        </xdr:cNvPr>
        <xdr:cNvSpPr>
          <a:spLocks noChangeAspect="1" noChangeArrowheads="1"/>
        </xdr:cNvSpPr>
      </xdr:nvSpPr>
      <xdr:spPr bwMode="auto">
        <a:xfrm>
          <a:off x="0" y="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120650</xdr:rowOff>
    </xdr:to>
    <xdr:sp macro="" textlink="">
      <xdr:nvSpPr>
        <xdr:cNvPr id="4" name="AutoShape 1">
          <a:extLst>
            <a:ext uri="{FF2B5EF4-FFF2-40B4-BE49-F238E27FC236}">
              <a16:creationId xmlns:a16="http://schemas.microsoft.com/office/drawing/2014/main" xmlns="" id="{0B1CAC58-3B10-4975-A387-25481764F29E}"/>
            </a:ext>
          </a:extLst>
        </xdr:cNvPr>
        <xdr:cNvSpPr>
          <a:spLocks noChangeAspect="1" noChangeArrowheads="1"/>
        </xdr:cNvSpPr>
      </xdr:nvSpPr>
      <xdr:spPr bwMode="auto">
        <a:xfrm>
          <a:off x="0" y="979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5106</xdr:rowOff>
    </xdr:to>
    <xdr:sp macro="" textlink="">
      <xdr:nvSpPr>
        <xdr:cNvPr id="5" name="AutoShape 1">
          <a:extLst>
            <a:ext uri="{FF2B5EF4-FFF2-40B4-BE49-F238E27FC236}">
              <a16:creationId xmlns:a16="http://schemas.microsoft.com/office/drawing/2014/main" xmlns="" id="{35A2C610-BF2A-44FE-8B93-24C1325F04FE}"/>
            </a:ext>
          </a:extLst>
        </xdr:cNvPr>
        <xdr:cNvSpPr>
          <a:spLocks noChangeAspect="1" noChangeArrowheads="1"/>
        </xdr:cNvSpPr>
      </xdr:nvSpPr>
      <xdr:spPr bwMode="auto">
        <a:xfrm>
          <a:off x="0" y="17405350"/>
          <a:ext cx="304800" cy="189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9071</xdr:colOff>
      <xdr:row>28</xdr:row>
      <xdr:rowOff>0</xdr:rowOff>
    </xdr:from>
    <xdr:ext cx="304800" cy="300568"/>
    <xdr:sp macro="" textlink="">
      <xdr:nvSpPr>
        <xdr:cNvPr id="6" name="AutoShape 1">
          <a:extLst>
            <a:ext uri="{FF2B5EF4-FFF2-40B4-BE49-F238E27FC236}">
              <a16:creationId xmlns:a16="http://schemas.microsoft.com/office/drawing/2014/main" xmlns="" id="{B576265D-D28D-4A71-B19C-28874706F6D5}"/>
            </a:ext>
          </a:extLst>
        </xdr:cNvPr>
        <xdr:cNvSpPr>
          <a:spLocks noChangeAspect="1" noChangeArrowheads="1"/>
        </xdr:cNvSpPr>
      </xdr:nvSpPr>
      <xdr:spPr bwMode="auto">
        <a:xfrm>
          <a:off x="9071" y="15572921"/>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304800</xdr:colOff>
      <xdr:row>16</xdr:row>
      <xdr:rowOff>120654</xdr:rowOff>
    </xdr:to>
    <xdr:sp macro="" textlink="">
      <xdr:nvSpPr>
        <xdr:cNvPr id="2" name="AutoShape 1">
          <a:extLst>
            <a:ext uri="{FF2B5EF4-FFF2-40B4-BE49-F238E27FC236}">
              <a16:creationId xmlns:a16="http://schemas.microsoft.com/office/drawing/2014/main" xmlns="" id="{23FE05D2-54E7-48D9-8747-301BE9A3D5C3}"/>
            </a:ext>
          </a:extLst>
        </xdr:cNvPr>
        <xdr:cNvSpPr>
          <a:spLocks noChangeAspect="1" noChangeArrowheads="1"/>
        </xdr:cNvSpPr>
      </xdr:nvSpPr>
      <xdr:spPr bwMode="auto">
        <a:xfrm>
          <a:off x="0" y="3359150"/>
          <a:ext cx="304800" cy="3048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120652</xdr:rowOff>
    </xdr:to>
    <xdr:sp macro="" textlink="">
      <xdr:nvSpPr>
        <xdr:cNvPr id="3" name="AutoShape 1">
          <a:extLst>
            <a:ext uri="{FF2B5EF4-FFF2-40B4-BE49-F238E27FC236}">
              <a16:creationId xmlns:a16="http://schemas.microsoft.com/office/drawing/2014/main" xmlns="" id="{03EF6E80-21A7-43A1-A5D5-5DF8E9EB6173}"/>
            </a:ext>
          </a:extLst>
        </xdr:cNvPr>
        <xdr:cNvSpPr>
          <a:spLocks noChangeAspect="1" noChangeArrowheads="1"/>
        </xdr:cNvSpPr>
      </xdr:nvSpPr>
      <xdr:spPr bwMode="auto">
        <a:xfrm>
          <a:off x="0" y="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36</xdr:row>
      <xdr:rowOff>0</xdr:rowOff>
    </xdr:from>
    <xdr:to>
      <xdr:col>0</xdr:col>
      <xdr:colOff>304800</xdr:colOff>
      <xdr:row>37</xdr:row>
      <xdr:rowOff>120652</xdr:rowOff>
    </xdr:to>
    <xdr:sp macro="" textlink="">
      <xdr:nvSpPr>
        <xdr:cNvPr id="4" name="AutoShape 1">
          <a:extLst>
            <a:ext uri="{FF2B5EF4-FFF2-40B4-BE49-F238E27FC236}">
              <a16:creationId xmlns:a16="http://schemas.microsoft.com/office/drawing/2014/main" xmlns="" id="{843B5B56-E4A8-4AA3-A762-28ACA50A2DB9}"/>
            </a:ext>
          </a:extLst>
        </xdr:cNvPr>
        <xdr:cNvSpPr>
          <a:spLocks noChangeAspect="1" noChangeArrowheads="1"/>
        </xdr:cNvSpPr>
      </xdr:nvSpPr>
      <xdr:spPr bwMode="auto">
        <a:xfrm>
          <a:off x="0" y="8883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53</xdr:row>
      <xdr:rowOff>0</xdr:rowOff>
    </xdr:from>
    <xdr:to>
      <xdr:col>0</xdr:col>
      <xdr:colOff>304800</xdr:colOff>
      <xdr:row>54</xdr:row>
      <xdr:rowOff>5102</xdr:rowOff>
    </xdr:to>
    <xdr:sp macro="" textlink="">
      <xdr:nvSpPr>
        <xdr:cNvPr id="5" name="AutoShape 1">
          <a:extLst>
            <a:ext uri="{FF2B5EF4-FFF2-40B4-BE49-F238E27FC236}">
              <a16:creationId xmlns:a16="http://schemas.microsoft.com/office/drawing/2014/main" xmlns="" id="{B52CAC1D-8779-41BE-9631-9E570B35359E}"/>
            </a:ext>
          </a:extLst>
        </xdr:cNvPr>
        <xdr:cNvSpPr>
          <a:spLocks noChangeAspect="1" noChangeArrowheads="1"/>
        </xdr:cNvSpPr>
      </xdr:nvSpPr>
      <xdr:spPr bwMode="auto">
        <a:xfrm>
          <a:off x="0" y="15424150"/>
          <a:ext cx="304800" cy="1892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53</xdr:row>
      <xdr:rowOff>0</xdr:rowOff>
    </xdr:from>
    <xdr:ext cx="304800" cy="300568"/>
    <xdr:sp macro="" textlink="">
      <xdr:nvSpPr>
        <xdr:cNvPr id="6" name="AutoShape 1">
          <a:extLst>
            <a:ext uri="{FF2B5EF4-FFF2-40B4-BE49-F238E27FC236}">
              <a16:creationId xmlns:a16="http://schemas.microsoft.com/office/drawing/2014/main" xmlns="" id="{E5659C08-8CB8-4292-B193-DA9E2715AEF8}"/>
            </a:ext>
          </a:extLst>
        </xdr:cNvPr>
        <xdr:cNvSpPr>
          <a:spLocks noChangeAspect="1" noChangeArrowheads="1"/>
        </xdr:cNvSpPr>
      </xdr:nvSpPr>
      <xdr:spPr bwMode="auto">
        <a:xfrm>
          <a:off x="0" y="154241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2080"/>
    <xdr:sp macro="" textlink="">
      <xdr:nvSpPr>
        <xdr:cNvPr id="7" name="AutoShape 1">
          <a:extLst>
            <a:ext uri="{FF2B5EF4-FFF2-40B4-BE49-F238E27FC236}">
              <a16:creationId xmlns:a16="http://schemas.microsoft.com/office/drawing/2014/main" xmlns="" id="{888E6824-5A74-43CF-B4BD-9FC00361D657}"/>
            </a:ext>
          </a:extLst>
        </xdr:cNvPr>
        <xdr:cNvSpPr>
          <a:spLocks noChangeAspect="1" noChangeArrowheads="1"/>
        </xdr:cNvSpPr>
      </xdr:nvSpPr>
      <xdr:spPr bwMode="auto">
        <a:xfrm>
          <a:off x="0" y="878114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186531"/>
    <xdr:sp macro="" textlink="">
      <xdr:nvSpPr>
        <xdr:cNvPr id="8" name="AutoShape 1">
          <a:extLst>
            <a:ext uri="{FF2B5EF4-FFF2-40B4-BE49-F238E27FC236}">
              <a16:creationId xmlns:a16="http://schemas.microsoft.com/office/drawing/2014/main" xmlns="" id="{18EEC6D8-2D5A-4D23-8F44-6F419AEF687D}"/>
            </a:ext>
          </a:extLst>
        </xdr:cNvPr>
        <xdr:cNvSpPr>
          <a:spLocks noChangeAspect="1" noChangeArrowheads="1"/>
        </xdr:cNvSpPr>
      </xdr:nvSpPr>
      <xdr:spPr bwMode="auto">
        <a:xfrm>
          <a:off x="0" y="12790714"/>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0568"/>
    <xdr:sp macro="" textlink="">
      <xdr:nvSpPr>
        <xdr:cNvPr id="9" name="AutoShape 1">
          <a:extLst>
            <a:ext uri="{FF2B5EF4-FFF2-40B4-BE49-F238E27FC236}">
              <a16:creationId xmlns:a16="http://schemas.microsoft.com/office/drawing/2014/main" xmlns="" id="{50C1A409-BD5F-427B-829E-778EE9D9F4E1}"/>
            </a:ext>
          </a:extLst>
        </xdr:cNvPr>
        <xdr:cNvSpPr>
          <a:spLocks noChangeAspect="1" noChangeArrowheads="1"/>
        </xdr:cNvSpPr>
      </xdr:nvSpPr>
      <xdr:spPr bwMode="auto">
        <a:xfrm>
          <a:off x="0" y="12790714"/>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2080"/>
    <xdr:sp macro="" textlink="">
      <xdr:nvSpPr>
        <xdr:cNvPr id="10" name="AutoShape 1">
          <a:extLst>
            <a:ext uri="{FF2B5EF4-FFF2-40B4-BE49-F238E27FC236}">
              <a16:creationId xmlns:a16="http://schemas.microsoft.com/office/drawing/2014/main" xmlns="" id="{9394438B-B380-4D99-998A-1A7A9BF864F6}"/>
            </a:ext>
          </a:extLst>
        </xdr:cNvPr>
        <xdr:cNvSpPr>
          <a:spLocks noChangeAspect="1" noChangeArrowheads="1"/>
        </xdr:cNvSpPr>
      </xdr:nvSpPr>
      <xdr:spPr bwMode="auto">
        <a:xfrm>
          <a:off x="0" y="13153571"/>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2</xdr:row>
      <xdr:rowOff>168955</xdr:rowOff>
    </xdr:to>
    <xdr:sp macro="" textlink="">
      <xdr:nvSpPr>
        <xdr:cNvPr id="2" name="AutoShape 1">
          <a:extLst>
            <a:ext uri="{FF2B5EF4-FFF2-40B4-BE49-F238E27FC236}">
              <a16:creationId xmlns:a16="http://schemas.microsoft.com/office/drawing/2014/main" xmlns="" id="{7963AB59-420B-4217-8653-6919B6E0C0BD}"/>
            </a:ext>
          </a:extLst>
        </xdr:cNvPr>
        <xdr:cNvSpPr>
          <a:spLocks noChangeAspect="1" noChangeArrowheads="1"/>
        </xdr:cNvSpPr>
      </xdr:nvSpPr>
      <xdr:spPr bwMode="auto">
        <a:xfrm>
          <a:off x="0" y="677545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120649</xdr:rowOff>
    </xdr:to>
    <xdr:sp macro="" textlink="">
      <xdr:nvSpPr>
        <xdr:cNvPr id="3" name="AutoShape 1">
          <a:extLst>
            <a:ext uri="{FF2B5EF4-FFF2-40B4-BE49-F238E27FC236}">
              <a16:creationId xmlns:a16="http://schemas.microsoft.com/office/drawing/2014/main" xmlns="" id="{7885962C-5695-459F-B255-D4EC9FC2BA8C}"/>
            </a:ext>
          </a:extLst>
        </xdr:cNvPr>
        <xdr:cNvSpPr>
          <a:spLocks noChangeAspect="1" noChangeArrowheads="1"/>
        </xdr:cNvSpPr>
      </xdr:nvSpPr>
      <xdr:spPr bwMode="auto">
        <a:xfrm>
          <a:off x="0" y="65913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120647</xdr:rowOff>
    </xdr:to>
    <xdr:sp macro="" textlink="">
      <xdr:nvSpPr>
        <xdr:cNvPr id="4" name="AutoShape 1">
          <a:extLst>
            <a:ext uri="{FF2B5EF4-FFF2-40B4-BE49-F238E27FC236}">
              <a16:creationId xmlns:a16="http://schemas.microsoft.com/office/drawing/2014/main" xmlns="" id="{C2AF2AF5-B59C-4A61-898A-420389BAB479}"/>
            </a:ext>
          </a:extLst>
        </xdr:cNvPr>
        <xdr:cNvSpPr>
          <a:spLocks noChangeAspect="1" noChangeArrowheads="1"/>
        </xdr:cNvSpPr>
      </xdr:nvSpPr>
      <xdr:spPr bwMode="auto">
        <a:xfrm>
          <a:off x="0" y="99060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120648</xdr:rowOff>
    </xdr:to>
    <xdr:sp macro="" textlink="">
      <xdr:nvSpPr>
        <xdr:cNvPr id="5" name="AutoShape 1">
          <a:extLst>
            <a:ext uri="{FF2B5EF4-FFF2-40B4-BE49-F238E27FC236}">
              <a16:creationId xmlns:a16="http://schemas.microsoft.com/office/drawing/2014/main" xmlns="" id="{8C6E95FA-3035-4F5B-942F-C8ABDA66231F}"/>
            </a:ext>
          </a:extLst>
        </xdr:cNvPr>
        <xdr:cNvSpPr>
          <a:spLocks noChangeAspect="1" noChangeArrowheads="1"/>
        </xdr:cNvSpPr>
      </xdr:nvSpPr>
      <xdr:spPr bwMode="auto">
        <a:xfrm>
          <a:off x="0" y="6534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120653</xdr:rowOff>
    </xdr:to>
    <xdr:sp macro="" textlink="">
      <xdr:nvSpPr>
        <xdr:cNvPr id="6" name="AutoShape 1">
          <a:extLst>
            <a:ext uri="{FF2B5EF4-FFF2-40B4-BE49-F238E27FC236}">
              <a16:creationId xmlns:a16="http://schemas.microsoft.com/office/drawing/2014/main" xmlns="" id="{54B08336-EDA8-4C32-9B4A-B86A2D069D92}"/>
            </a:ext>
          </a:extLst>
        </xdr:cNvPr>
        <xdr:cNvSpPr>
          <a:spLocks noChangeAspect="1" noChangeArrowheads="1"/>
        </xdr:cNvSpPr>
      </xdr:nvSpPr>
      <xdr:spPr bwMode="auto">
        <a:xfrm>
          <a:off x="0" y="3873500"/>
          <a:ext cx="304800" cy="3048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34</xdr:row>
      <xdr:rowOff>0</xdr:rowOff>
    </xdr:from>
    <xdr:to>
      <xdr:col>0</xdr:col>
      <xdr:colOff>304800</xdr:colOff>
      <xdr:row>35</xdr:row>
      <xdr:rowOff>120652</xdr:rowOff>
    </xdr:to>
    <xdr:sp macro="" textlink="">
      <xdr:nvSpPr>
        <xdr:cNvPr id="8" name="AutoShape 1">
          <a:extLst>
            <a:ext uri="{FF2B5EF4-FFF2-40B4-BE49-F238E27FC236}">
              <a16:creationId xmlns:a16="http://schemas.microsoft.com/office/drawing/2014/main" xmlns="" id="{816F5AF6-0C22-4392-BE90-C5C81392C179}"/>
            </a:ext>
          </a:extLst>
        </xdr:cNvPr>
        <xdr:cNvSpPr>
          <a:spLocks noChangeAspect="1" noChangeArrowheads="1"/>
        </xdr:cNvSpPr>
      </xdr:nvSpPr>
      <xdr:spPr bwMode="auto">
        <a:xfrm>
          <a:off x="0" y="88455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56</xdr:row>
      <xdr:rowOff>0</xdr:rowOff>
    </xdr:from>
    <xdr:to>
      <xdr:col>0</xdr:col>
      <xdr:colOff>304800</xdr:colOff>
      <xdr:row>57</xdr:row>
      <xdr:rowOff>5099</xdr:rowOff>
    </xdr:to>
    <xdr:sp macro="" textlink="">
      <xdr:nvSpPr>
        <xdr:cNvPr id="9" name="AutoShape 1">
          <a:extLst>
            <a:ext uri="{FF2B5EF4-FFF2-40B4-BE49-F238E27FC236}">
              <a16:creationId xmlns:a16="http://schemas.microsoft.com/office/drawing/2014/main" xmlns="" id="{BB7488DE-CFE4-41BA-975A-D900C07B62AC}"/>
            </a:ext>
          </a:extLst>
        </xdr:cNvPr>
        <xdr:cNvSpPr>
          <a:spLocks noChangeAspect="1" noChangeArrowheads="1"/>
        </xdr:cNvSpPr>
      </xdr:nvSpPr>
      <xdr:spPr bwMode="auto">
        <a:xfrm>
          <a:off x="0" y="12896850"/>
          <a:ext cx="304800" cy="1892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56</xdr:row>
      <xdr:rowOff>0</xdr:rowOff>
    </xdr:from>
    <xdr:ext cx="304800" cy="300568"/>
    <xdr:sp macro="" textlink="">
      <xdr:nvSpPr>
        <xdr:cNvPr id="10" name="AutoShape 1">
          <a:extLst>
            <a:ext uri="{FF2B5EF4-FFF2-40B4-BE49-F238E27FC236}">
              <a16:creationId xmlns:a16="http://schemas.microsoft.com/office/drawing/2014/main" xmlns="" id="{C28DA3E7-B499-4332-92B3-707464253785}"/>
            </a:ext>
          </a:extLst>
        </xdr:cNvPr>
        <xdr:cNvSpPr>
          <a:spLocks noChangeAspect="1" noChangeArrowheads="1"/>
        </xdr:cNvSpPr>
      </xdr:nvSpPr>
      <xdr:spPr bwMode="auto">
        <a:xfrm>
          <a:off x="0" y="128968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2080"/>
    <xdr:sp macro="" textlink="">
      <xdr:nvSpPr>
        <xdr:cNvPr id="11" name="AutoShape 1">
          <a:extLst>
            <a:ext uri="{FF2B5EF4-FFF2-40B4-BE49-F238E27FC236}">
              <a16:creationId xmlns:a16="http://schemas.microsoft.com/office/drawing/2014/main" xmlns="" id="{F783A168-7292-49CD-A424-A7D08CC9700A}"/>
            </a:ext>
          </a:extLst>
        </xdr:cNvPr>
        <xdr:cNvSpPr>
          <a:spLocks noChangeAspect="1" noChangeArrowheads="1"/>
        </xdr:cNvSpPr>
      </xdr:nvSpPr>
      <xdr:spPr bwMode="auto">
        <a:xfrm>
          <a:off x="0" y="132651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186531"/>
    <xdr:sp macro="" textlink="">
      <xdr:nvSpPr>
        <xdr:cNvPr id="12" name="AutoShape 1">
          <a:extLst>
            <a:ext uri="{FF2B5EF4-FFF2-40B4-BE49-F238E27FC236}">
              <a16:creationId xmlns:a16="http://schemas.microsoft.com/office/drawing/2014/main" xmlns="" id="{10C1636F-B534-4843-9AB7-D66FBC721095}"/>
            </a:ext>
          </a:extLst>
        </xdr:cNvPr>
        <xdr:cNvSpPr>
          <a:spLocks noChangeAspect="1" noChangeArrowheads="1"/>
        </xdr:cNvSpPr>
      </xdr:nvSpPr>
      <xdr:spPr bwMode="auto">
        <a:xfrm>
          <a:off x="0" y="171323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0568"/>
    <xdr:sp macro="" textlink="">
      <xdr:nvSpPr>
        <xdr:cNvPr id="13" name="AutoShape 1">
          <a:extLst>
            <a:ext uri="{FF2B5EF4-FFF2-40B4-BE49-F238E27FC236}">
              <a16:creationId xmlns:a16="http://schemas.microsoft.com/office/drawing/2014/main" xmlns="" id="{C907ED56-A2C4-4A2F-AAD6-F11FC2459FF0}"/>
            </a:ext>
          </a:extLst>
        </xdr:cNvPr>
        <xdr:cNvSpPr>
          <a:spLocks noChangeAspect="1" noChangeArrowheads="1"/>
        </xdr:cNvSpPr>
      </xdr:nvSpPr>
      <xdr:spPr bwMode="auto">
        <a:xfrm>
          <a:off x="0" y="171323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302080"/>
    <xdr:sp macro="" textlink="">
      <xdr:nvSpPr>
        <xdr:cNvPr id="14" name="AutoShape 1">
          <a:extLst>
            <a:ext uri="{FF2B5EF4-FFF2-40B4-BE49-F238E27FC236}">
              <a16:creationId xmlns:a16="http://schemas.microsoft.com/office/drawing/2014/main" xmlns="" id="{2BE2008A-1A96-4DCE-AE75-1D223B77D432}"/>
            </a:ext>
          </a:extLst>
        </xdr:cNvPr>
        <xdr:cNvSpPr>
          <a:spLocks noChangeAspect="1" noChangeArrowheads="1"/>
        </xdr:cNvSpPr>
      </xdr:nvSpPr>
      <xdr:spPr bwMode="auto">
        <a:xfrm>
          <a:off x="0" y="175006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304800</xdr:colOff>
      <xdr:row>15</xdr:row>
      <xdr:rowOff>120653</xdr:rowOff>
    </xdr:to>
    <xdr:sp macro="" textlink="">
      <xdr:nvSpPr>
        <xdr:cNvPr id="2" name="AutoShape 1">
          <a:extLst>
            <a:ext uri="{FF2B5EF4-FFF2-40B4-BE49-F238E27FC236}">
              <a16:creationId xmlns:a16="http://schemas.microsoft.com/office/drawing/2014/main" xmlns="" id="{00AE98C7-FC15-4615-A008-EF76BA27C457}"/>
            </a:ext>
          </a:extLst>
        </xdr:cNvPr>
        <xdr:cNvSpPr>
          <a:spLocks noChangeAspect="1" noChangeArrowheads="1"/>
        </xdr:cNvSpPr>
      </xdr:nvSpPr>
      <xdr:spPr bwMode="auto">
        <a:xfrm>
          <a:off x="0" y="3873500"/>
          <a:ext cx="304800" cy="3048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120652</xdr:rowOff>
    </xdr:to>
    <xdr:sp macro="" textlink="">
      <xdr:nvSpPr>
        <xdr:cNvPr id="4" name="AutoShape 1">
          <a:extLst>
            <a:ext uri="{FF2B5EF4-FFF2-40B4-BE49-F238E27FC236}">
              <a16:creationId xmlns:a16="http://schemas.microsoft.com/office/drawing/2014/main" xmlns="" id="{7FFC2B8A-17C9-4386-BAA2-3A9D768EE1A8}"/>
            </a:ext>
          </a:extLst>
        </xdr:cNvPr>
        <xdr:cNvSpPr>
          <a:spLocks noChangeAspect="1" noChangeArrowheads="1"/>
        </xdr:cNvSpPr>
      </xdr:nvSpPr>
      <xdr:spPr bwMode="auto">
        <a:xfrm>
          <a:off x="0" y="88455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5100</xdr:rowOff>
    </xdr:to>
    <xdr:sp macro="" textlink="">
      <xdr:nvSpPr>
        <xdr:cNvPr id="5" name="AutoShape 1">
          <a:extLst>
            <a:ext uri="{FF2B5EF4-FFF2-40B4-BE49-F238E27FC236}">
              <a16:creationId xmlns:a16="http://schemas.microsoft.com/office/drawing/2014/main" xmlns="" id="{129C4E49-07E0-4B08-95E0-5EB281236428}"/>
            </a:ext>
          </a:extLst>
        </xdr:cNvPr>
        <xdr:cNvSpPr>
          <a:spLocks noChangeAspect="1" noChangeArrowheads="1"/>
        </xdr:cNvSpPr>
      </xdr:nvSpPr>
      <xdr:spPr bwMode="auto">
        <a:xfrm>
          <a:off x="0" y="13125450"/>
          <a:ext cx="304800" cy="1892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47</xdr:row>
      <xdr:rowOff>0</xdr:rowOff>
    </xdr:from>
    <xdr:ext cx="304800" cy="300568"/>
    <xdr:sp macro="" textlink="">
      <xdr:nvSpPr>
        <xdr:cNvPr id="6" name="AutoShape 1">
          <a:extLst>
            <a:ext uri="{FF2B5EF4-FFF2-40B4-BE49-F238E27FC236}">
              <a16:creationId xmlns:a16="http://schemas.microsoft.com/office/drawing/2014/main" xmlns="" id="{650B0A8B-9C96-49E3-8A63-6BF1DA783397}"/>
            </a:ext>
          </a:extLst>
        </xdr:cNvPr>
        <xdr:cNvSpPr>
          <a:spLocks noChangeAspect="1" noChangeArrowheads="1"/>
        </xdr:cNvSpPr>
      </xdr:nvSpPr>
      <xdr:spPr bwMode="auto">
        <a:xfrm>
          <a:off x="0" y="131254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50</xdr:row>
      <xdr:rowOff>0</xdr:rowOff>
    </xdr:from>
    <xdr:ext cx="304800" cy="302080"/>
    <xdr:sp macro="" textlink="">
      <xdr:nvSpPr>
        <xdr:cNvPr id="7" name="AutoShape 1">
          <a:extLst>
            <a:ext uri="{FF2B5EF4-FFF2-40B4-BE49-F238E27FC236}">
              <a16:creationId xmlns:a16="http://schemas.microsoft.com/office/drawing/2014/main" xmlns="" id="{97C5792A-8012-491C-835D-12B29D3AA041}"/>
            </a:ext>
          </a:extLst>
        </xdr:cNvPr>
        <xdr:cNvSpPr>
          <a:spLocks noChangeAspect="1" noChangeArrowheads="1"/>
        </xdr:cNvSpPr>
      </xdr:nvSpPr>
      <xdr:spPr bwMode="auto">
        <a:xfrm>
          <a:off x="31750" y="13366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186531"/>
    <xdr:sp macro="" textlink="">
      <xdr:nvSpPr>
        <xdr:cNvPr id="8" name="AutoShape 1">
          <a:extLst>
            <a:ext uri="{FF2B5EF4-FFF2-40B4-BE49-F238E27FC236}">
              <a16:creationId xmlns:a16="http://schemas.microsoft.com/office/drawing/2014/main" xmlns="" id="{94BB20D2-6304-496C-9765-7A00F2805143}"/>
            </a:ext>
          </a:extLst>
        </xdr:cNvPr>
        <xdr:cNvSpPr>
          <a:spLocks noChangeAspect="1" noChangeArrowheads="1"/>
        </xdr:cNvSpPr>
      </xdr:nvSpPr>
      <xdr:spPr bwMode="auto">
        <a:xfrm>
          <a:off x="0" y="173609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0568"/>
    <xdr:sp macro="" textlink="">
      <xdr:nvSpPr>
        <xdr:cNvPr id="9" name="AutoShape 1">
          <a:extLst>
            <a:ext uri="{FF2B5EF4-FFF2-40B4-BE49-F238E27FC236}">
              <a16:creationId xmlns:a16="http://schemas.microsoft.com/office/drawing/2014/main" xmlns="" id="{4675CCBE-F255-4748-B6FD-69262A1B7D5C}"/>
            </a:ext>
          </a:extLst>
        </xdr:cNvPr>
        <xdr:cNvSpPr>
          <a:spLocks noChangeAspect="1" noChangeArrowheads="1"/>
        </xdr:cNvSpPr>
      </xdr:nvSpPr>
      <xdr:spPr bwMode="auto">
        <a:xfrm>
          <a:off x="0" y="173609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2080"/>
    <xdr:sp macro="" textlink="">
      <xdr:nvSpPr>
        <xdr:cNvPr id="10" name="AutoShape 1">
          <a:extLst>
            <a:ext uri="{FF2B5EF4-FFF2-40B4-BE49-F238E27FC236}">
              <a16:creationId xmlns:a16="http://schemas.microsoft.com/office/drawing/2014/main" xmlns="" id="{47077CF3-94E1-4E82-8D2F-0B3EE0E68BB8}"/>
            </a:ext>
          </a:extLst>
        </xdr:cNvPr>
        <xdr:cNvSpPr>
          <a:spLocks noChangeAspect="1" noChangeArrowheads="1"/>
        </xdr:cNvSpPr>
      </xdr:nvSpPr>
      <xdr:spPr bwMode="auto">
        <a:xfrm>
          <a:off x="0" y="177292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2080"/>
    <xdr:sp macro="" textlink="">
      <xdr:nvSpPr>
        <xdr:cNvPr id="11" name="AutoShape 1">
          <a:extLst>
            <a:ext uri="{FF2B5EF4-FFF2-40B4-BE49-F238E27FC236}">
              <a16:creationId xmlns:a16="http://schemas.microsoft.com/office/drawing/2014/main" xmlns="" id="{B0D9A554-2BE4-4D76-A3CF-F520CB673366}"/>
            </a:ext>
          </a:extLst>
        </xdr:cNvPr>
        <xdr:cNvSpPr>
          <a:spLocks noChangeAspect="1" noChangeArrowheads="1"/>
        </xdr:cNvSpPr>
      </xdr:nvSpPr>
      <xdr:spPr bwMode="auto">
        <a:xfrm>
          <a:off x="0" y="1208314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186529"/>
    <xdr:sp macro="" textlink="">
      <xdr:nvSpPr>
        <xdr:cNvPr id="12" name="AutoShape 1">
          <a:extLst>
            <a:ext uri="{FF2B5EF4-FFF2-40B4-BE49-F238E27FC236}">
              <a16:creationId xmlns:a16="http://schemas.microsoft.com/office/drawing/2014/main" xmlns="" id="{FC9592CD-6DE8-47A7-AE85-9DA04D867F14}"/>
            </a:ext>
          </a:extLst>
        </xdr:cNvPr>
        <xdr:cNvSpPr>
          <a:spLocks noChangeAspect="1" noChangeArrowheads="1"/>
        </xdr:cNvSpPr>
      </xdr:nvSpPr>
      <xdr:spPr bwMode="auto">
        <a:xfrm>
          <a:off x="0" y="12264571"/>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0568"/>
    <xdr:sp macro="" textlink="">
      <xdr:nvSpPr>
        <xdr:cNvPr id="13" name="AutoShape 1">
          <a:extLst>
            <a:ext uri="{FF2B5EF4-FFF2-40B4-BE49-F238E27FC236}">
              <a16:creationId xmlns:a16="http://schemas.microsoft.com/office/drawing/2014/main" xmlns="" id="{1DF29F79-F9FD-4095-93E3-A95A3D5A0B82}"/>
            </a:ext>
          </a:extLst>
        </xdr:cNvPr>
        <xdr:cNvSpPr>
          <a:spLocks noChangeAspect="1" noChangeArrowheads="1"/>
        </xdr:cNvSpPr>
      </xdr:nvSpPr>
      <xdr:spPr bwMode="auto">
        <a:xfrm>
          <a:off x="0" y="12264571"/>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77</xdr:row>
      <xdr:rowOff>0</xdr:rowOff>
    </xdr:from>
    <xdr:ext cx="304800" cy="302080"/>
    <xdr:sp macro="" textlink="">
      <xdr:nvSpPr>
        <xdr:cNvPr id="14" name="AutoShape 1">
          <a:extLst>
            <a:ext uri="{FF2B5EF4-FFF2-40B4-BE49-F238E27FC236}">
              <a16:creationId xmlns:a16="http://schemas.microsoft.com/office/drawing/2014/main" xmlns="" id="{DFDBD2AF-F976-4EF0-9E37-68944D35B178}"/>
            </a:ext>
          </a:extLst>
        </xdr:cNvPr>
        <xdr:cNvSpPr>
          <a:spLocks noChangeAspect="1" noChangeArrowheads="1"/>
        </xdr:cNvSpPr>
      </xdr:nvSpPr>
      <xdr:spPr bwMode="auto">
        <a:xfrm>
          <a:off x="31750" y="12808857"/>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186531"/>
    <xdr:sp macro="" textlink="">
      <xdr:nvSpPr>
        <xdr:cNvPr id="15" name="AutoShape 1">
          <a:extLst>
            <a:ext uri="{FF2B5EF4-FFF2-40B4-BE49-F238E27FC236}">
              <a16:creationId xmlns:a16="http://schemas.microsoft.com/office/drawing/2014/main" xmlns="" id="{82469BC3-7FFE-4173-BA58-CE59634F464D}"/>
            </a:ext>
          </a:extLst>
        </xdr:cNvPr>
        <xdr:cNvSpPr>
          <a:spLocks noChangeAspect="1" noChangeArrowheads="1"/>
        </xdr:cNvSpPr>
      </xdr:nvSpPr>
      <xdr:spPr bwMode="auto">
        <a:xfrm>
          <a:off x="0" y="149860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0568"/>
    <xdr:sp macro="" textlink="">
      <xdr:nvSpPr>
        <xdr:cNvPr id="16" name="AutoShape 1">
          <a:extLst>
            <a:ext uri="{FF2B5EF4-FFF2-40B4-BE49-F238E27FC236}">
              <a16:creationId xmlns:a16="http://schemas.microsoft.com/office/drawing/2014/main" xmlns="" id="{76FBC44A-515D-43C7-8D44-E1B0CC473709}"/>
            </a:ext>
          </a:extLst>
        </xdr:cNvPr>
        <xdr:cNvSpPr>
          <a:spLocks noChangeAspect="1" noChangeArrowheads="1"/>
        </xdr:cNvSpPr>
      </xdr:nvSpPr>
      <xdr:spPr bwMode="auto">
        <a:xfrm>
          <a:off x="0" y="149860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2080"/>
    <xdr:sp macro="" textlink="">
      <xdr:nvSpPr>
        <xdr:cNvPr id="17" name="AutoShape 1">
          <a:extLst>
            <a:ext uri="{FF2B5EF4-FFF2-40B4-BE49-F238E27FC236}">
              <a16:creationId xmlns:a16="http://schemas.microsoft.com/office/drawing/2014/main" xmlns="" id="{84E38C84-666C-44BD-A1F1-C154351CC7F8}"/>
            </a:ext>
          </a:extLst>
        </xdr:cNvPr>
        <xdr:cNvSpPr>
          <a:spLocks noChangeAspect="1" noChangeArrowheads="1"/>
        </xdr:cNvSpPr>
      </xdr:nvSpPr>
      <xdr:spPr bwMode="auto">
        <a:xfrm>
          <a:off x="0" y="149860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304800</xdr:colOff>
      <xdr:row>13</xdr:row>
      <xdr:rowOff>120653</xdr:rowOff>
    </xdr:to>
    <xdr:sp macro="" textlink="">
      <xdr:nvSpPr>
        <xdr:cNvPr id="2" name="AutoShape 1">
          <a:extLst>
            <a:ext uri="{FF2B5EF4-FFF2-40B4-BE49-F238E27FC236}">
              <a16:creationId xmlns:a16="http://schemas.microsoft.com/office/drawing/2014/main" xmlns="" id="{72FF5E50-BAAA-4722-9DFC-7902E0040C9C}"/>
            </a:ext>
          </a:extLst>
        </xdr:cNvPr>
        <xdr:cNvSpPr>
          <a:spLocks noChangeAspect="1" noChangeArrowheads="1"/>
        </xdr:cNvSpPr>
      </xdr:nvSpPr>
      <xdr:spPr bwMode="auto">
        <a:xfrm>
          <a:off x="0" y="33020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120651</xdr:rowOff>
    </xdr:to>
    <xdr:sp macro="" textlink="">
      <xdr:nvSpPr>
        <xdr:cNvPr id="4" name="AutoShape 1">
          <a:extLst>
            <a:ext uri="{FF2B5EF4-FFF2-40B4-BE49-F238E27FC236}">
              <a16:creationId xmlns:a16="http://schemas.microsoft.com/office/drawing/2014/main" xmlns="" id="{6BFB8A43-A2BE-4495-8B73-43BD947878E2}"/>
            </a:ext>
          </a:extLst>
        </xdr:cNvPr>
        <xdr:cNvSpPr>
          <a:spLocks noChangeAspect="1" noChangeArrowheads="1"/>
        </xdr:cNvSpPr>
      </xdr:nvSpPr>
      <xdr:spPr bwMode="auto">
        <a:xfrm>
          <a:off x="0" y="121793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5098</xdr:rowOff>
    </xdr:to>
    <xdr:sp macro="" textlink="">
      <xdr:nvSpPr>
        <xdr:cNvPr id="5" name="AutoShape 1">
          <a:extLst>
            <a:ext uri="{FF2B5EF4-FFF2-40B4-BE49-F238E27FC236}">
              <a16:creationId xmlns:a16="http://schemas.microsoft.com/office/drawing/2014/main" xmlns="" id="{0358218A-3460-4B15-95FA-2CB887274989}"/>
            </a:ext>
          </a:extLst>
        </xdr:cNvPr>
        <xdr:cNvSpPr>
          <a:spLocks noChangeAspect="1" noChangeArrowheads="1"/>
        </xdr:cNvSpPr>
      </xdr:nvSpPr>
      <xdr:spPr bwMode="auto">
        <a:xfrm>
          <a:off x="0" y="12363450"/>
          <a:ext cx="304800" cy="18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0568"/>
    <xdr:sp macro="" textlink="">
      <xdr:nvSpPr>
        <xdr:cNvPr id="6" name="AutoShape 1">
          <a:extLst>
            <a:ext uri="{FF2B5EF4-FFF2-40B4-BE49-F238E27FC236}">
              <a16:creationId xmlns:a16="http://schemas.microsoft.com/office/drawing/2014/main" xmlns="" id="{BDD13029-CDF5-4BE0-9B36-CE71F8C82146}"/>
            </a:ext>
          </a:extLst>
        </xdr:cNvPr>
        <xdr:cNvSpPr>
          <a:spLocks noChangeAspect="1" noChangeArrowheads="1"/>
        </xdr:cNvSpPr>
      </xdr:nvSpPr>
      <xdr:spPr bwMode="auto">
        <a:xfrm>
          <a:off x="0" y="123634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41</xdr:row>
      <xdr:rowOff>0</xdr:rowOff>
    </xdr:from>
    <xdr:ext cx="304800" cy="302080"/>
    <xdr:sp macro="" textlink="">
      <xdr:nvSpPr>
        <xdr:cNvPr id="7" name="AutoShape 1">
          <a:extLst>
            <a:ext uri="{FF2B5EF4-FFF2-40B4-BE49-F238E27FC236}">
              <a16:creationId xmlns:a16="http://schemas.microsoft.com/office/drawing/2014/main" xmlns="" id="{CF271A27-92BF-466F-9841-D068A40E4869}"/>
            </a:ext>
          </a:extLst>
        </xdr:cNvPr>
        <xdr:cNvSpPr>
          <a:spLocks noChangeAspect="1" noChangeArrowheads="1"/>
        </xdr:cNvSpPr>
      </xdr:nvSpPr>
      <xdr:spPr bwMode="auto">
        <a:xfrm>
          <a:off x="31750" y="129159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186531"/>
    <xdr:sp macro="" textlink="">
      <xdr:nvSpPr>
        <xdr:cNvPr id="8" name="AutoShape 1">
          <a:extLst>
            <a:ext uri="{FF2B5EF4-FFF2-40B4-BE49-F238E27FC236}">
              <a16:creationId xmlns:a16="http://schemas.microsoft.com/office/drawing/2014/main" xmlns="" id="{AE19B92A-F121-4757-B625-5E2CF7D9B28D}"/>
            </a:ext>
          </a:extLst>
        </xdr:cNvPr>
        <xdr:cNvSpPr>
          <a:spLocks noChangeAspect="1" noChangeArrowheads="1"/>
        </xdr:cNvSpPr>
      </xdr:nvSpPr>
      <xdr:spPr bwMode="auto">
        <a:xfrm>
          <a:off x="0" y="151257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0568"/>
    <xdr:sp macro="" textlink="">
      <xdr:nvSpPr>
        <xdr:cNvPr id="9" name="AutoShape 1">
          <a:extLst>
            <a:ext uri="{FF2B5EF4-FFF2-40B4-BE49-F238E27FC236}">
              <a16:creationId xmlns:a16="http://schemas.microsoft.com/office/drawing/2014/main" xmlns="" id="{0616663F-5DBA-4546-9763-208DF25CB9C1}"/>
            </a:ext>
          </a:extLst>
        </xdr:cNvPr>
        <xdr:cNvSpPr>
          <a:spLocks noChangeAspect="1" noChangeArrowheads="1"/>
        </xdr:cNvSpPr>
      </xdr:nvSpPr>
      <xdr:spPr bwMode="auto">
        <a:xfrm>
          <a:off x="0" y="151257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2080"/>
    <xdr:sp macro="" textlink="">
      <xdr:nvSpPr>
        <xdr:cNvPr id="10" name="AutoShape 1">
          <a:extLst>
            <a:ext uri="{FF2B5EF4-FFF2-40B4-BE49-F238E27FC236}">
              <a16:creationId xmlns:a16="http://schemas.microsoft.com/office/drawing/2014/main" xmlns="" id="{E961B83B-D649-403F-8714-F026D835A45D}"/>
            </a:ext>
          </a:extLst>
        </xdr:cNvPr>
        <xdr:cNvSpPr>
          <a:spLocks noChangeAspect="1" noChangeArrowheads="1"/>
        </xdr:cNvSpPr>
      </xdr:nvSpPr>
      <xdr:spPr bwMode="auto">
        <a:xfrm>
          <a:off x="0" y="151257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2080"/>
    <xdr:sp macro="" textlink="">
      <xdr:nvSpPr>
        <xdr:cNvPr id="11" name="AutoShape 1">
          <a:extLst>
            <a:ext uri="{FF2B5EF4-FFF2-40B4-BE49-F238E27FC236}">
              <a16:creationId xmlns:a16="http://schemas.microsoft.com/office/drawing/2014/main" xmlns="" id="{000FFF70-E189-4846-81C0-B110C4FE149F}"/>
            </a:ext>
          </a:extLst>
        </xdr:cNvPr>
        <xdr:cNvSpPr>
          <a:spLocks noChangeAspect="1" noChangeArrowheads="1"/>
        </xdr:cNvSpPr>
      </xdr:nvSpPr>
      <xdr:spPr bwMode="auto">
        <a:xfrm>
          <a:off x="0" y="191516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186529"/>
    <xdr:sp macro="" textlink="">
      <xdr:nvSpPr>
        <xdr:cNvPr id="12" name="AutoShape 1">
          <a:extLst>
            <a:ext uri="{FF2B5EF4-FFF2-40B4-BE49-F238E27FC236}">
              <a16:creationId xmlns:a16="http://schemas.microsoft.com/office/drawing/2014/main" xmlns="" id="{312623C2-84B8-445C-97CC-67DFBDBA4105}"/>
            </a:ext>
          </a:extLst>
        </xdr:cNvPr>
        <xdr:cNvSpPr>
          <a:spLocks noChangeAspect="1" noChangeArrowheads="1"/>
        </xdr:cNvSpPr>
      </xdr:nvSpPr>
      <xdr:spPr bwMode="auto">
        <a:xfrm>
          <a:off x="0" y="193357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0568"/>
    <xdr:sp macro="" textlink="">
      <xdr:nvSpPr>
        <xdr:cNvPr id="13" name="AutoShape 1">
          <a:extLst>
            <a:ext uri="{FF2B5EF4-FFF2-40B4-BE49-F238E27FC236}">
              <a16:creationId xmlns:a16="http://schemas.microsoft.com/office/drawing/2014/main" xmlns="" id="{2E6B8FB6-00B2-4FCA-8A59-31E02C5C6CC9}"/>
            </a:ext>
          </a:extLst>
        </xdr:cNvPr>
        <xdr:cNvSpPr>
          <a:spLocks noChangeAspect="1" noChangeArrowheads="1"/>
        </xdr:cNvSpPr>
      </xdr:nvSpPr>
      <xdr:spPr bwMode="auto">
        <a:xfrm>
          <a:off x="0" y="19335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41</xdr:row>
      <xdr:rowOff>0</xdr:rowOff>
    </xdr:from>
    <xdr:ext cx="304800" cy="302080"/>
    <xdr:sp macro="" textlink="">
      <xdr:nvSpPr>
        <xdr:cNvPr id="14" name="AutoShape 1">
          <a:extLst>
            <a:ext uri="{FF2B5EF4-FFF2-40B4-BE49-F238E27FC236}">
              <a16:creationId xmlns:a16="http://schemas.microsoft.com/office/drawing/2014/main" xmlns="" id="{1BE924B7-8987-4D10-973E-E183F9D7ECB6}"/>
            </a:ext>
          </a:extLst>
        </xdr:cNvPr>
        <xdr:cNvSpPr>
          <a:spLocks noChangeAspect="1" noChangeArrowheads="1"/>
        </xdr:cNvSpPr>
      </xdr:nvSpPr>
      <xdr:spPr bwMode="auto">
        <a:xfrm>
          <a:off x="31750" y="198882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186531"/>
    <xdr:sp macro="" textlink="">
      <xdr:nvSpPr>
        <xdr:cNvPr id="15" name="AutoShape 1">
          <a:extLst>
            <a:ext uri="{FF2B5EF4-FFF2-40B4-BE49-F238E27FC236}">
              <a16:creationId xmlns:a16="http://schemas.microsoft.com/office/drawing/2014/main" xmlns="" id="{18A677E0-D4F3-4995-9FD9-5E70C9A255BC}"/>
            </a:ext>
          </a:extLst>
        </xdr:cNvPr>
        <xdr:cNvSpPr>
          <a:spLocks noChangeAspect="1" noChangeArrowheads="1"/>
        </xdr:cNvSpPr>
      </xdr:nvSpPr>
      <xdr:spPr bwMode="auto">
        <a:xfrm>
          <a:off x="0" y="217297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0568"/>
    <xdr:sp macro="" textlink="">
      <xdr:nvSpPr>
        <xdr:cNvPr id="16" name="AutoShape 1">
          <a:extLst>
            <a:ext uri="{FF2B5EF4-FFF2-40B4-BE49-F238E27FC236}">
              <a16:creationId xmlns:a16="http://schemas.microsoft.com/office/drawing/2014/main" xmlns="" id="{8F28F2A9-AC58-406E-9D1D-D6234CC48B83}"/>
            </a:ext>
          </a:extLst>
        </xdr:cNvPr>
        <xdr:cNvSpPr>
          <a:spLocks noChangeAspect="1" noChangeArrowheads="1"/>
        </xdr:cNvSpPr>
      </xdr:nvSpPr>
      <xdr:spPr bwMode="auto">
        <a:xfrm>
          <a:off x="0" y="217297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2080"/>
    <xdr:sp macro="" textlink="">
      <xdr:nvSpPr>
        <xdr:cNvPr id="17" name="AutoShape 1">
          <a:extLst>
            <a:ext uri="{FF2B5EF4-FFF2-40B4-BE49-F238E27FC236}">
              <a16:creationId xmlns:a16="http://schemas.microsoft.com/office/drawing/2014/main" xmlns="" id="{88D6D308-9AB8-4E60-9A21-8BF4F3F785D9}"/>
            </a:ext>
          </a:extLst>
        </xdr:cNvPr>
        <xdr:cNvSpPr>
          <a:spLocks noChangeAspect="1" noChangeArrowheads="1"/>
        </xdr:cNvSpPr>
      </xdr:nvSpPr>
      <xdr:spPr bwMode="auto">
        <a:xfrm>
          <a:off x="0" y="217297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304800</xdr:colOff>
      <xdr:row>14</xdr:row>
      <xdr:rowOff>120653</xdr:rowOff>
    </xdr:to>
    <xdr:sp macro="" textlink="">
      <xdr:nvSpPr>
        <xdr:cNvPr id="2" name="AutoShape 1">
          <a:extLst>
            <a:ext uri="{FF2B5EF4-FFF2-40B4-BE49-F238E27FC236}">
              <a16:creationId xmlns:a16="http://schemas.microsoft.com/office/drawing/2014/main" xmlns="" id="{1255A951-9917-440C-8027-FCBE6D1957E9}"/>
            </a:ext>
          </a:extLst>
        </xdr:cNvPr>
        <xdr:cNvSpPr>
          <a:spLocks noChangeAspect="1" noChangeArrowheads="1"/>
        </xdr:cNvSpPr>
      </xdr:nvSpPr>
      <xdr:spPr bwMode="auto">
        <a:xfrm>
          <a:off x="0" y="33020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120652</xdr:rowOff>
    </xdr:to>
    <xdr:sp macro="" textlink="">
      <xdr:nvSpPr>
        <xdr:cNvPr id="3" name="AutoShape 1">
          <a:extLst>
            <a:ext uri="{FF2B5EF4-FFF2-40B4-BE49-F238E27FC236}">
              <a16:creationId xmlns:a16="http://schemas.microsoft.com/office/drawing/2014/main" xmlns="" id="{3B98FDD6-213C-4B72-ACC5-039DF10654A9}"/>
            </a:ext>
          </a:extLst>
        </xdr:cNvPr>
        <xdr:cNvSpPr>
          <a:spLocks noChangeAspect="1" noChangeArrowheads="1"/>
        </xdr:cNvSpPr>
      </xdr:nvSpPr>
      <xdr:spPr bwMode="auto">
        <a:xfrm>
          <a:off x="0" y="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120652</xdr:rowOff>
    </xdr:to>
    <xdr:sp macro="" textlink="">
      <xdr:nvSpPr>
        <xdr:cNvPr id="4" name="AutoShape 1">
          <a:extLst>
            <a:ext uri="{FF2B5EF4-FFF2-40B4-BE49-F238E27FC236}">
              <a16:creationId xmlns:a16="http://schemas.microsoft.com/office/drawing/2014/main" xmlns="" id="{DECA37EC-3968-4D69-899E-01E6245EC8B2}"/>
            </a:ext>
          </a:extLst>
        </xdr:cNvPr>
        <xdr:cNvSpPr>
          <a:spLocks noChangeAspect="1" noChangeArrowheads="1"/>
        </xdr:cNvSpPr>
      </xdr:nvSpPr>
      <xdr:spPr bwMode="auto">
        <a:xfrm>
          <a:off x="0" y="121793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40</xdr:row>
      <xdr:rowOff>5101</xdr:rowOff>
    </xdr:to>
    <xdr:sp macro="" textlink="">
      <xdr:nvSpPr>
        <xdr:cNvPr id="5" name="AutoShape 1">
          <a:extLst>
            <a:ext uri="{FF2B5EF4-FFF2-40B4-BE49-F238E27FC236}">
              <a16:creationId xmlns:a16="http://schemas.microsoft.com/office/drawing/2014/main" xmlns="" id="{FF8FD024-C390-47FC-8186-934509C029F3}"/>
            </a:ext>
          </a:extLst>
        </xdr:cNvPr>
        <xdr:cNvSpPr>
          <a:spLocks noChangeAspect="1" noChangeArrowheads="1"/>
        </xdr:cNvSpPr>
      </xdr:nvSpPr>
      <xdr:spPr bwMode="auto">
        <a:xfrm>
          <a:off x="0" y="12363450"/>
          <a:ext cx="304800" cy="18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39</xdr:row>
      <xdr:rowOff>0</xdr:rowOff>
    </xdr:from>
    <xdr:ext cx="304800" cy="300568"/>
    <xdr:sp macro="" textlink="">
      <xdr:nvSpPr>
        <xdr:cNvPr id="6" name="AutoShape 1">
          <a:extLst>
            <a:ext uri="{FF2B5EF4-FFF2-40B4-BE49-F238E27FC236}">
              <a16:creationId xmlns:a16="http://schemas.microsoft.com/office/drawing/2014/main" xmlns="" id="{220421E1-790D-411D-A784-3EDDBAC05FF4}"/>
            </a:ext>
          </a:extLst>
        </xdr:cNvPr>
        <xdr:cNvSpPr>
          <a:spLocks noChangeAspect="1" noChangeArrowheads="1"/>
        </xdr:cNvSpPr>
      </xdr:nvSpPr>
      <xdr:spPr bwMode="auto">
        <a:xfrm>
          <a:off x="0" y="123634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42</xdr:row>
      <xdr:rowOff>0</xdr:rowOff>
    </xdr:from>
    <xdr:ext cx="304800" cy="302080"/>
    <xdr:sp macro="" textlink="">
      <xdr:nvSpPr>
        <xdr:cNvPr id="7" name="AutoShape 1">
          <a:extLst>
            <a:ext uri="{FF2B5EF4-FFF2-40B4-BE49-F238E27FC236}">
              <a16:creationId xmlns:a16="http://schemas.microsoft.com/office/drawing/2014/main" xmlns="" id="{A41A2CF9-161F-4A98-8BCF-8E7608935612}"/>
            </a:ext>
          </a:extLst>
        </xdr:cNvPr>
        <xdr:cNvSpPr>
          <a:spLocks noChangeAspect="1" noChangeArrowheads="1"/>
        </xdr:cNvSpPr>
      </xdr:nvSpPr>
      <xdr:spPr bwMode="auto">
        <a:xfrm>
          <a:off x="31750" y="129159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186531"/>
    <xdr:sp macro="" textlink="">
      <xdr:nvSpPr>
        <xdr:cNvPr id="8" name="AutoShape 1">
          <a:extLst>
            <a:ext uri="{FF2B5EF4-FFF2-40B4-BE49-F238E27FC236}">
              <a16:creationId xmlns:a16="http://schemas.microsoft.com/office/drawing/2014/main" xmlns="" id="{8B11206B-1B3B-4344-9213-33A9326B8061}"/>
            </a:ext>
          </a:extLst>
        </xdr:cNvPr>
        <xdr:cNvSpPr>
          <a:spLocks noChangeAspect="1" noChangeArrowheads="1"/>
        </xdr:cNvSpPr>
      </xdr:nvSpPr>
      <xdr:spPr bwMode="auto">
        <a:xfrm>
          <a:off x="0" y="151257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0568"/>
    <xdr:sp macro="" textlink="">
      <xdr:nvSpPr>
        <xdr:cNvPr id="9" name="AutoShape 1">
          <a:extLst>
            <a:ext uri="{FF2B5EF4-FFF2-40B4-BE49-F238E27FC236}">
              <a16:creationId xmlns:a16="http://schemas.microsoft.com/office/drawing/2014/main" xmlns="" id="{95CE1E72-0629-44D4-8378-7B4DFCF29A9E}"/>
            </a:ext>
          </a:extLst>
        </xdr:cNvPr>
        <xdr:cNvSpPr>
          <a:spLocks noChangeAspect="1" noChangeArrowheads="1"/>
        </xdr:cNvSpPr>
      </xdr:nvSpPr>
      <xdr:spPr bwMode="auto">
        <a:xfrm>
          <a:off x="0" y="151257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2080"/>
    <xdr:sp macro="" textlink="">
      <xdr:nvSpPr>
        <xdr:cNvPr id="10" name="AutoShape 1">
          <a:extLst>
            <a:ext uri="{FF2B5EF4-FFF2-40B4-BE49-F238E27FC236}">
              <a16:creationId xmlns:a16="http://schemas.microsoft.com/office/drawing/2014/main" xmlns="" id="{6CBEB9AE-5164-4A5C-8E4C-E8E93FAB4A67}"/>
            </a:ext>
          </a:extLst>
        </xdr:cNvPr>
        <xdr:cNvSpPr>
          <a:spLocks noChangeAspect="1" noChangeArrowheads="1"/>
        </xdr:cNvSpPr>
      </xdr:nvSpPr>
      <xdr:spPr bwMode="auto">
        <a:xfrm>
          <a:off x="0" y="151257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2080"/>
    <xdr:sp macro="" textlink="">
      <xdr:nvSpPr>
        <xdr:cNvPr id="11" name="AutoShape 1">
          <a:extLst>
            <a:ext uri="{FF2B5EF4-FFF2-40B4-BE49-F238E27FC236}">
              <a16:creationId xmlns:a16="http://schemas.microsoft.com/office/drawing/2014/main" xmlns="" id="{A4571BDA-2E2B-4E13-A42E-B351C1CD386B}"/>
            </a:ext>
          </a:extLst>
        </xdr:cNvPr>
        <xdr:cNvSpPr>
          <a:spLocks noChangeAspect="1" noChangeArrowheads="1"/>
        </xdr:cNvSpPr>
      </xdr:nvSpPr>
      <xdr:spPr bwMode="auto">
        <a:xfrm>
          <a:off x="0" y="191516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186529"/>
    <xdr:sp macro="" textlink="">
      <xdr:nvSpPr>
        <xdr:cNvPr id="12" name="AutoShape 1">
          <a:extLst>
            <a:ext uri="{FF2B5EF4-FFF2-40B4-BE49-F238E27FC236}">
              <a16:creationId xmlns:a16="http://schemas.microsoft.com/office/drawing/2014/main" xmlns="" id="{088CC555-20F0-40ED-89D3-2E8186EF14C3}"/>
            </a:ext>
          </a:extLst>
        </xdr:cNvPr>
        <xdr:cNvSpPr>
          <a:spLocks noChangeAspect="1" noChangeArrowheads="1"/>
        </xdr:cNvSpPr>
      </xdr:nvSpPr>
      <xdr:spPr bwMode="auto">
        <a:xfrm>
          <a:off x="0" y="193357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0568"/>
    <xdr:sp macro="" textlink="">
      <xdr:nvSpPr>
        <xdr:cNvPr id="13" name="AutoShape 1">
          <a:extLst>
            <a:ext uri="{FF2B5EF4-FFF2-40B4-BE49-F238E27FC236}">
              <a16:creationId xmlns:a16="http://schemas.microsoft.com/office/drawing/2014/main" xmlns="" id="{5822AC49-DB3F-4362-A530-72DADC09766E}"/>
            </a:ext>
          </a:extLst>
        </xdr:cNvPr>
        <xdr:cNvSpPr>
          <a:spLocks noChangeAspect="1" noChangeArrowheads="1"/>
        </xdr:cNvSpPr>
      </xdr:nvSpPr>
      <xdr:spPr bwMode="auto">
        <a:xfrm>
          <a:off x="0" y="19335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64</xdr:row>
      <xdr:rowOff>0</xdr:rowOff>
    </xdr:from>
    <xdr:ext cx="304800" cy="302080"/>
    <xdr:sp macro="" textlink="">
      <xdr:nvSpPr>
        <xdr:cNvPr id="14" name="AutoShape 1">
          <a:extLst>
            <a:ext uri="{FF2B5EF4-FFF2-40B4-BE49-F238E27FC236}">
              <a16:creationId xmlns:a16="http://schemas.microsoft.com/office/drawing/2014/main" xmlns="" id="{1BEE2E39-20B8-4BD5-928E-27411E5C8D0C}"/>
            </a:ext>
          </a:extLst>
        </xdr:cNvPr>
        <xdr:cNvSpPr>
          <a:spLocks noChangeAspect="1" noChangeArrowheads="1"/>
        </xdr:cNvSpPr>
      </xdr:nvSpPr>
      <xdr:spPr bwMode="auto">
        <a:xfrm>
          <a:off x="31750" y="198882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186531"/>
    <xdr:sp macro="" textlink="">
      <xdr:nvSpPr>
        <xdr:cNvPr id="15" name="AutoShape 1">
          <a:extLst>
            <a:ext uri="{FF2B5EF4-FFF2-40B4-BE49-F238E27FC236}">
              <a16:creationId xmlns:a16="http://schemas.microsoft.com/office/drawing/2014/main" xmlns="" id="{0F33E64C-5BE1-4C35-B4B5-814031C0BC28}"/>
            </a:ext>
          </a:extLst>
        </xdr:cNvPr>
        <xdr:cNvSpPr>
          <a:spLocks noChangeAspect="1" noChangeArrowheads="1"/>
        </xdr:cNvSpPr>
      </xdr:nvSpPr>
      <xdr:spPr bwMode="auto">
        <a:xfrm>
          <a:off x="0" y="217297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0568"/>
    <xdr:sp macro="" textlink="">
      <xdr:nvSpPr>
        <xdr:cNvPr id="16" name="AutoShape 1">
          <a:extLst>
            <a:ext uri="{FF2B5EF4-FFF2-40B4-BE49-F238E27FC236}">
              <a16:creationId xmlns:a16="http://schemas.microsoft.com/office/drawing/2014/main" xmlns="" id="{BAE94FE2-0007-4524-B2D2-3198F1785525}"/>
            </a:ext>
          </a:extLst>
        </xdr:cNvPr>
        <xdr:cNvSpPr>
          <a:spLocks noChangeAspect="1" noChangeArrowheads="1"/>
        </xdr:cNvSpPr>
      </xdr:nvSpPr>
      <xdr:spPr bwMode="auto">
        <a:xfrm>
          <a:off x="0" y="217297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2080"/>
    <xdr:sp macro="" textlink="">
      <xdr:nvSpPr>
        <xdr:cNvPr id="17" name="AutoShape 1">
          <a:extLst>
            <a:ext uri="{FF2B5EF4-FFF2-40B4-BE49-F238E27FC236}">
              <a16:creationId xmlns:a16="http://schemas.microsoft.com/office/drawing/2014/main" xmlns="" id="{A02A1874-8307-434C-9AC2-503495A112D7}"/>
            </a:ext>
          </a:extLst>
        </xdr:cNvPr>
        <xdr:cNvSpPr>
          <a:spLocks noChangeAspect="1" noChangeArrowheads="1"/>
        </xdr:cNvSpPr>
      </xdr:nvSpPr>
      <xdr:spPr bwMode="auto">
        <a:xfrm>
          <a:off x="0" y="217297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186531"/>
    <xdr:sp macro="" textlink="">
      <xdr:nvSpPr>
        <xdr:cNvPr id="18" name="AutoShape 1">
          <a:extLst>
            <a:ext uri="{FF2B5EF4-FFF2-40B4-BE49-F238E27FC236}">
              <a16:creationId xmlns:a16="http://schemas.microsoft.com/office/drawing/2014/main" xmlns="" id="{AEAF1A68-794C-467E-9CFB-7773E69CAF68}"/>
            </a:ext>
          </a:extLst>
        </xdr:cNvPr>
        <xdr:cNvSpPr>
          <a:spLocks noChangeAspect="1" noChangeArrowheads="1"/>
        </xdr:cNvSpPr>
      </xdr:nvSpPr>
      <xdr:spPr bwMode="auto">
        <a:xfrm>
          <a:off x="0" y="12110357"/>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0568"/>
    <xdr:sp macro="" textlink="">
      <xdr:nvSpPr>
        <xdr:cNvPr id="19" name="AutoShape 1">
          <a:extLst>
            <a:ext uri="{FF2B5EF4-FFF2-40B4-BE49-F238E27FC236}">
              <a16:creationId xmlns:a16="http://schemas.microsoft.com/office/drawing/2014/main" xmlns="" id="{0B2C2E96-ADB0-4876-A19B-A1FD068B9A11}"/>
            </a:ext>
          </a:extLst>
        </xdr:cNvPr>
        <xdr:cNvSpPr>
          <a:spLocks noChangeAspect="1" noChangeArrowheads="1"/>
        </xdr:cNvSpPr>
      </xdr:nvSpPr>
      <xdr:spPr bwMode="auto">
        <a:xfrm>
          <a:off x="0" y="12110357"/>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2080"/>
    <xdr:sp macro="" textlink="">
      <xdr:nvSpPr>
        <xdr:cNvPr id="20" name="AutoShape 1">
          <a:extLst>
            <a:ext uri="{FF2B5EF4-FFF2-40B4-BE49-F238E27FC236}">
              <a16:creationId xmlns:a16="http://schemas.microsoft.com/office/drawing/2014/main" xmlns="" id="{F7838BBF-F601-4602-A15C-30FB70AE49F7}"/>
            </a:ext>
          </a:extLst>
        </xdr:cNvPr>
        <xdr:cNvSpPr>
          <a:spLocks noChangeAspect="1" noChangeArrowheads="1"/>
        </xdr:cNvSpPr>
      </xdr:nvSpPr>
      <xdr:spPr bwMode="auto">
        <a:xfrm>
          <a:off x="0" y="12110357"/>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186531"/>
    <xdr:sp macro="" textlink="">
      <xdr:nvSpPr>
        <xdr:cNvPr id="21" name="AutoShape 1">
          <a:extLst>
            <a:ext uri="{FF2B5EF4-FFF2-40B4-BE49-F238E27FC236}">
              <a16:creationId xmlns:a16="http://schemas.microsoft.com/office/drawing/2014/main" xmlns="" id="{A363294D-E5D1-4136-B173-A9081BDCDD98}"/>
            </a:ext>
          </a:extLst>
        </xdr:cNvPr>
        <xdr:cNvSpPr>
          <a:spLocks noChangeAspect="1" noChangeArrowheads="1"/>
        </xdr:cNvSpPr>
      </xdr:nvSpPr>
      <xdr:spPr bwMode="auto">
        <a:xfrm>
          <a:off x="0" y="12836071"/>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0568"/>
    <xdr:sp macro="" textlink="">
      <xdr:nvSpPr>
        <xdr:cNvPr id="22" name="AutoShape 1">
          <a:extLst>
            <a:ext uri="{FF2B5EF4-FFF2-40B4-BE49-F238E27FC236}">
              <a16:creationId xmlns:a16="http://schemas.microsoft.com/office/drawing/2014/main" xmlns="" id="{BC242846-E60A-4389-BF55-0C83D9D3F635}"/>
            </a:ext>
          </a:extLst>
        </xdr:cNvPr>
        <xdr:cNvSpPr>
          <a:spLocks noChangeAspect="1" noChangeArrowheads="1"/>
        </xdr:cNvSpPr>
      </xdr:nvSpPr>
      <xdr:spPr bwMode="auto">
        <a:xfrm>
          <a:off x="0" y="12836071"/>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2080"/>
    <xdr:sp macro="" textlink="">
      <xdr:nvSpPr>
        <xdr:cNvPr id="23" name="AutoShape 1">
          <a:extLst>
            <a:ext uri="{FF2B5EF4-FFF2-40B4-BE49-F238E27FC236}">
              <a16:creationId xmlns:a16="http://schemas.microsoft.com/office/drawing/2014/main" xmlns="" id="{5F7E9D13-A282-41CF-9C06-644F592A4F50}"/>
            </a:ext>
          </a:extLst>
        </xdr:cNvPr>
        <xdr:cNvSpPr>
          <a:spLocks noChangeAspect="1" noChangeArrowheads="1"/>
        </xdr:cNvSpPr>
      </xdr:nvSpPr>
      <xdr:spPr bwMode="auto">
        <a:xfrm>
          <a:off x="0" y="12836071"/>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186531"/>
    <xdr:sp macro="" textlink="">
      <xdr:nvSpPr>
        <xdr:cNvPr id="24" name="AutoShape 1">
          <a:extLst>
            <a:ext uri="{FF2B5EF4-FFF2-40B4-BE49-F238E27FC236}">
              <a16:creationId xmlns:a16="http://schemas.microsoft.com/office/drawing/2014/main" xmlns="" id="{54FC188B-2534-4D18-8F22-AAEF0FDAD733}"/>
            </a:ext>
          </a:extLst>
        </xdr:cNvPr>
        <xdr:cNvSpPr>
          <a:spLocks noChangeAspect="1" noChangeArrowheads="1"/>
        </xdr:cNvSpPr>
      </xdr:nvSpPr>
      <xdr:spPr bwMode="auto">
        <a:xfrm>
          <a:off x="0" y="12473214"/>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0568"/>
    <xdr:sp macro="" textlink="">
      <xdr:nvSpPr>
        <xdr:cNvPr id="25" name="AutoShape 1">
          <a:extLst>
            <a:ext uri="{FF2B5EF4-FFF2-40B4-BE49-F238E27FC236}">
              <a16:creationId xmlns:a16="http://schemas.microsoft.com/office/drawing/2014/main" xmlns="" id="{3DCE08B4-80A3-4E98-A538-2B86433BC9EA}"/>
            </a:ext>
          </a:extLst>
        </xdr:cNvPr>
        <xdr:cNvSpPr>
          <a:spLocks noChangeAspect="1" noChangeArrowheads="1"/>
        </xdr:cNvSpPr>
      </xdr:nvSpPr>
      <xdr:spPr bwMode="auto">
        <a:xfrm>
          <a:off x="0" y="12473214"/>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2080"/>
    <xdr:sp macro="" textlink="">
      <xdr:nvSpPr>
        <xdr:cNvPr id="26" name="AutoShape 1">
          <a:extLst>
            <a:ext uri="{FF2B5EF4-FFF2-40B4-BE49-F238E27FC236}">
              <a16:creationId xmlns:a16="http://schemas.microsoft.com/office/drawing/2014/main" xmlns="" id="{7347362C-9454-4F86-82F3-E4EC7E08AE48}"/>
            </a:ext>
          </a:extLst>
        </xdr:cNvPr>
        <xdr:cNvSpPr>
          <a:spLocks noChangeAspect="1" noChangeArrowheads="1"/>
        </xdr:cNvSpPr>
      </xdr:nvSpPr>
      <xdr:spPr bwMode="auto">
        <a:xfrm>
          <a:off x="0" y="12473214"/>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304800</xdr:colOff>
      <xdr:row>15</xdr:row>
      <xdr:rowOff>120651</xdr:rowOff>
    </xdr:to>
    <xdr:sp macro="" textlink="">
      <xdr:nvSpPr>
        <xdr:cNvPr id="2" name="AutoShape 1">
          <a:extLst>
            <a:ext uri="{FF2B5EF4-FFF2-40B4-BE49-F238E27FC236}">
              <a16:creationId xmlns:a16="http://schemas.microsoft.com/office/drawing/2014/main" xmlns="" id="{E2A67C10-39FB-4B99-9088-CF3E03A0C106}"/>
            </a:ext>
          </a:extLst>
        </xdr:cNvPr>
        <xdr:cNvSpPr>
          <a:spLocks noChangeAspect="1" noChangeArrowheads="1"/>
        </xdr:cNvSpPr>
      </xdr:nvSpPr>
      <xdr:spPr bwMode="auto">
        <a:xfrm>
          <a:off x="0" y="32194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120653</xdr:rowOff>
    </xdr:to>
    <xdr:sp macro="" textlink="">
      <xdr:nvSpPr>
        <xdr:cNvPr id="4" name="AutoShape 1">
          <a:extLst>
            <a:ext uri="{FF2B5EF4-FFF2-40B4-BE49-F238E27FC236}">
              <a16:creationId xmlns:a16="http://schemas.microsoft.com/office/drawing/2014/main" xmlns="" id="{53B2F600-A5DE-404A-B13A-A45070CC7229}"/>
            </a:ext>
          </a:extLst>
        </xdr:cNvPr>
        <xdr:cNvSpPr>
          <a:spLocks noChangeAspect="1" noChangeArrowheads="1"/>
        </xdr:cNvSpPr>
      </xdr:nvSpPr>
      <xdr:spPr bwMode="auto">
        <a:xfrm>
          <a:off x="0" y="107696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5100</xdr:rowOff>
    </xdr:to>
    <xdr:sp macro="" textlink="">
      <xdr:nvSpPr>
        <xdr:cNvPr id="5" name="AutoShape 1">
          <a:extLst>
            <a:ext uri="{FF2B5EF4-FFF2-40B4-BE49-F238E27FC236}">
              <a16:creationId xmlns:a16="http://schemas.microsoft.com/office/drawing/2014/main" xmlns="" id="{301230AE-5D9F-4DB6-94B6-C811D48FB986}"/>
            </a:ext>
          </a:extLst>
        </xdr:cNvPr>
        <xdr:cNvSpPr>
          <a:spLocks noChangeAspect="1" noChangeArrowheads="1"/>
        </xdr:cNvSpPr>
      </xdr:nvSpPr>
      <xdr:spPr bwMode="auto">
        <a:xfrm>
          <a:off x="0" y="10953750"/>
          <a:ext cx="304800" cy="18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32</xdr:row>
      <xdr:rowOff>0</xdr:rowOff>
    </xdr:from>
    <xdr:ext cx="304800" cy="300568"/>
    <xdr:sp macro="" textlink="">
      <xdr:nvSpPr>
        <xdr:cNvPr id="6" name="AutoShape 1">
          <a:extLst>
            <a:ext uri="{FF2B5EF4-FFF2-40B4-BE49-F238E27FC236}">
              <a16:creationId xmlns:a16="http://schemas.microsoft.com/office/drawing/2014/main" xmlns="" id="{6DDE3AD4-31E2-49D9-ADA9-97ECEB5D9F7A}"/>
            </a:ext>
          </a:extLst>
        </xdr:cNvPr>
        <xdr:cNvSpPr>
          <a:spLocks noChangeAspect="1" noChangeArrowheads="1"/>
        </xdr:cNvSpPr>
      </xdr:nvSpPr>
      <xdr:spPr bwMode="auto">
        <a:xfrm>
          <a:off x="0" y="10953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35</xdr:row>
      <xdr:rowOff>0</xdr:rowOff>
    </xdr:from>
    <xdr:ext cx="304800" cy="302080"/>
    <xdr:sp macro="" textlink="">
      <xdr:nvSpPr>
        <xdr:cNvPr id="7" name="AutoShape 1">
          <a:extLst>
            <a:ext uri="{FF2B5EF4-FFF2-40B4-BE49-F238E27FC236}">
              <a16:creationId xmlns:a16="http://schemas.microsoft.com/office/drawing/2014/main" xmlns="" id="{6112D44D-67B2-4C10-9174-D652E3949B90}"/>
            </a:ext>
          </a:extLst>
        </xdr:cNvPr>
        <xdr:cNvSpPr>
          <a:spLocks noChangeAspect="1" noChangeArrowheads="1"/>
        </xdr:cNvSpPr>
      </xdr:nvSpPr>
      <xdr:spPr bwMode="auto">
        <a:xfrm>
          <a:off x="31750" y="115062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186531"/>
    <xdr:sp macro="" textlink="">
      <xdr:nvSpPr>
        <xdr:cNvPr id="8" name="AutoShape 1">
          <a:extLst>
            <a:ext uri="{FF2B5EF4-FFF2-40B4-BE49-F238E27FC236}">
              <a16:creationId xmlns:a16="http://schemas.microsoft.com/office/drawing/2014/main" xmlns="" id="{CD025659-D5F3-4BB2-BD62-AA2DC6E4F014}"/>
            </a:ext>
          </a:extLst>
        </xdr:cNvPr>
        <xdr:cNvSpPr>
          <a:spLocks noChangeAspect="1" noChangeArrowheads="1"/>
        </xdr:cNvSpPr>
      </xdr:nvSpPr>
      <xdr:spPr bwMode="auto">
        <a:xfrm>
          <a:off x="0" y="140843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0568"/>
    <xdr:sp macro="" textlink="">
      <xdr:nvSpPr>
        <xdr:cNvPr id="9" name="AutoShape 1">
          <a:extLst>
            <a:ext uri="{FF2B5EF4-FFF2-40B4-BE49-F238E27FC236}">
              <a16:creationId xmlns:a16="http://schemas.microsoft.com/office/drawing/2014/main" xmlns="" id="{D117435B-EF3A-4D93-9230-421A87FB7FFD}"/>
            </a:ext>
          </a:extLst>
        </xdr:cNvPr>
        <xdr:cNvSpPr>
          <a:spLocks noChangeAspect="1" noChangeArrowheads="1"/>
        </xdr:cNvSpPr>
      </xdr:nvSpPr>
      <xdr:spPr bwMode="auto">
        <a:xfrm>
          <a:off x="0" y="140843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2080"/>
    <xdr:sp macro="" textlink="">
      <xdr:nvSpPr>
        <xdr:cNvPr id="10" name="AutoShape 1">
          <a:extLst>
            <a:ext uri="{FF2B5EF4-FFF2-40B4-BE49-F238E27FC236}">
              <a16:creationId xmlns:a16="http://schemas.microsoft.com/office/drawing/2014/main" xmlns="" id="{6EEEA01F-775C-46DA-BADB-3AD76AFC99E3}"/>
            </a:ext>
          </a:extLst>
        </xdr:cNvPr>
        <xdr:cNvSpPr>
          <a:spLocks noChangeAspect="1" noChangeArrowheads="1"/>
        </xdr:cNvSpPr>
      </xdr:nvSpPr>
      <xdr:spPr bwMode="auto">
        <a:xfrm>
          <a:off x="0" y="140843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2080"/>
    <xdr:sp macro="" textlink="">
      <xdr:nvSpPr>
        <xdr:cNvPr id="11" name="AutoShape 1">
          <a:extLst>
            <a:ext uri="{FF2B5EF4-FFF2-40B4-BE49-F238E27FC236}">
              <a16:creationId xmlns:a16="http://schemas.microsoft.com/office/drawing/2014/main" xmlns="" id="{7B01622A-4C4D-4696-936C-0EBE1F54D458}"/>
            </a:ext>
          </a:extLst>
        </xdr:cNvPr>
        <xdr:cNvSpPr>
          <a:spLocks noChangeAspect="1" noChangeArrowheads="1"/>
        </xdr:cNvSpPr>
      </xdr:nvSpPr>
      <xdr:spPr bwMode="auto">
        <a:xfrm>
          <a:off x="0" y="17938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186529"/>
    <xdr:sp macro="" textlink="">
      <xdr:nvSpPr>
        <xdr:cNvPr id="12" name="AutoShape 1">
          <a:extLst>
            <a:ext uri="{FF2B5EF4-FFF2-40B4-BE49-F238E27FC236}">
              <a16:creationId xmlns:a16="http://schemas.microsoft.com/office/drawing/2014/main" xmlns="" id="{57A11079-7ABD-4F7E-BE58-04FDE7E0E114}"/>
            </a:ext>
          </a:extLst>
        </xdr:cNvPr>
        <xdr:cNvSpPr>
          <a:spLocks noChangeAspect="1" noChangeArrowheads="1"/>
        </xdr:cNvSpPr>
      </xdr:nvSpPr>
      <xdr:spPr bwMode="auto">
        <a:xfrm>
          <a:off x="0" y="179387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0568"/>
    <xdr:sp macro="" textlink="">
      <xdr:nvSpPr>
        <xdr:cNvPr id="13" name="AutoShape 1">
          <a:extLst>
            <a:ext uri="{FF2B5EF4-FFF2-40B4-BE49-F238E27FC236}">
              <a16:creationId xmlns:a16="http://schemas.microsoft.com/office/drawing/2014/main" xmlns="" id="{F24FBF2B-2AC0-4E75-8550-D9B88E904E6E}"/>
            </a:ext>
          </a:extLst>
        </xdr:cNvPr>
        <xdr:cNvSpPr>
          <a:spLocks noChangeAspect="1" noChangeArrowheads="1"/>
        </xdr:cNvSpPr>
      </xdr:nvSpPr>
      <xdr:spPr bwMode="auto">
        <a:xfrm>
          <a:off x="0" y="17938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43</xdr:row>
      <xdr:rowOff>0</xdr:rowOff>
    </xdr:from>
    <xdr:ext cx="304800" cy="302080"/>
    <xdr:sp macro="" textlink="">
      <xdr:nvSpPr>
        <xdr:cNvPr id="14" name="AutoShape 1">
          <a:extLst>
            <a:ext uri="{FF2B5EF4-FFF2-40B4-BE49-F238E27FC236}">
              <a16:creationId xmlns:a16="http://schemas.microsoft.com/office/drawing/2014/main" xmlns="" id="{3D29E3D1-15C4-42B2-A24A-9794ADE84464}"/>
            </a:ext>
          </a:extLst>
        </xdr:cNvPr>
        <xdr:cNvSpPr>
          <a:spLocks noChangeAspect="1" noChangeArrowheads="1"/>
        </xdr:cNvSpPr>
      </xdr:nvSpPr>
      <xdr:spPr bwMode="auto">
        <a:xfrm>
          <a:off x="31750" y="17938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186531"/>
    <xdr:sp macro="" textlink="">
      <xdr:nvSpPr>
        <xdr:cNvPr id="15" name="AutoShape 1">
          <a:extLst>
            <a:ext uri="{FF2B5EF4-FFF2-40B4-BE49-F238E27FC236}">
              <a16:creationId xmlns:a16="http://schemas.microsoft.com/office/drawing/2014/main" xmlns="" id="{A21A0989-3345-456A-B2CC-5915A5AE92FE}"/>
            </a:ext>
          </a:extLst>
        </xdr:cNvPr>
        <xdr:cNvSpPr>
          <a:spLocks noChangeAspect="1" noChangeArrowheads="1"/>
        </xdr:cNvSpPr>
      </xdr:nvSpPr>
      <xdr:spPr bwMode="auto">
        <a:xfrm>
          <a:off x="0" y="1793875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0568"/>
    <xdr:sp macro="" textlink="">
      <xdr:nvSpPr>
        <xdr:cNvPr id="16" name="AutoShape 1">
          <a:extLst>
            <a:ext uri="{FF2B5EF4-FFF2-40B4-BE49-F238E27FC236}">
              <a16:creationId xmlns:a16="http://schemas.microsoft.com/office/drawing/2014/main" xmlns="" id="{50FCAF4E-A789-42B1-B124-68370E318B82}"/>
            </a:ext>
          </a:extLst>
        </xdr:cNvPr>
        <xdr:cNvSpPr>
          <a:spLocks noChangeAspect="1" noChangeArrowheads="1"/>
        </xdr:cNvSpPr>
      </xdr:nvSpPr>
      <xdr:spPr bwMode="auto">
        <a:xfrm>
          <a:off x="0" y="17938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2080"/>
    <xdr:sp macro="" textlink="">
      <xdr:nvSpPr>
        <xdr:cNvPr id="17" name="AutoShape 1">
          <a:extLst>
            <a:ext uri="{FF2B5EF4-FFF2-40B4-BE49-F238E27FC236}">
              <a16:creationId xmlns:a16="http://schemas.microsoft.com/office/drawing/2014/main" xmlns="" id="{D1CD4D08-6523-4F7C-B3D0-43CF99A50D4D}"/>
            </a:ext>
          </a:extLst>
        </xdr:cNvPr>
        <xdr:cNvSpPr>
          <a:spLocks noChangeAspect="1" noChangeArrowheads="1"/>
        </xdr:cNvSpPr>
      </xdr:nvSpPr>
      <xdr:spPr bwMode="auto">
        <a:xfrm>
          <a:off x="0" y="17938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186531"/>
    <xdr:sp macro="" textlink="">
      <xdr:nvSpPr>
        <xdr:cNvPr id="18" name="AutoShape 1">
          <a:extLst>
            <a:ext uri="{FF2B5EF4-FFF2-40B4-BE49-F238E27FC236}">
              <a16:creationId xmlns:a16="http://schemas.microsoft.com/office/drawing/2014/main" xmlns="" id="{E07CF718-41EC-4706-B652-5FEF328D1687}"/>
            </a:ext>
          </a:extLst>
        </xdr:cNvPr>
        <xdr:cNvSpPr>
          <a:spLocks noChangeAspect="1" noChangeArrowheads="1"/>
        </xdr:cNvSpPr>
      </xdr:nvSpPr>
      <xdr:spPr bwMode="auto">
        <a:xfrm>
          <a:off x="0" y="1390015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0568"/>
    <xdr:sp macro="" textlink="">
      <xdr:nvSpPr>
        <xdr:cNvPr id="19" name="AutoShape 1">
          <a:extLst>
            <a:ext uri="{FF2B5EF4-FFF2-40B4-BE49-F238E27FC236}">
              <a16:creationId xmlns:a16="http://schemas.microsoft.com/office/drawing/2014/main" xmlns="" id="{EAFBD9F6-1835-4A95-90AE-274663109DF0}"/>
            </a:ext>
          </a:extLst>
        </xdr:cNvPr>
        <xdr:cNvSpPr>
          <a:spLocks noChangeAspect="1" noChangeArrowheads="1"/>
        </xdr:cNvSpPr>
      </xdr:nvSpPr>
      <xdr:spPr bwMode="auto">
        <a:xfrm>
          <a:off x="0" y="139001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2080"/>
    <xdr:sp macro="" textlink="">
      <xdr:nvSpPr>
        <xdr:cNvPr id="20" name="AutoShape 1">
          <a:extLst>
            <a:ext uri="{FF2B5EF4-FFF2-40B4-BE49-F238E27FC236}">
              <a16:creationId xmlns:a16="http://schemas.microsoft.com/office/drawing/2014/main" xmlns="" id="{7A0765E4-8D2C-48F0-9B67-FD2C2F57AEE7}"/>
            </a:ext>
          </a:extLst>
        </xdr:cNvPr>
        <xdr:cNvSpPr>
          <a:spLocks noChangeAspect="1" noChangeArrowheads="1"/>
        </xdr:cNvSpPr>
      </xdr:nvSpPr>
      <xdr:spPr bwMode="auto">
        <a:xfrm>
          <a:off x="0" y="139001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186531"/>
    <xdr:sp macro="" textlink="">
      <xdr:nvSpPr>
        <xdr:cNvPr id="21" name="AutoShape 1">
          <a:extLst>
            <a:ext uri="{FF2B5EF4-FFF2-40B4-BE49-F238E27FC236}">
              <a16:creationId xmlns:a16="http://schemas.microsoft.com/office/drawing/2014/main" xmlns="" id="{2F7E25CE-6C2F-444C-B117-01A41E9FD27B}"/>
            </a:ext>
          </a:extLst>
        </xdr:cNvPr>
        <xdr:cNvSpPr>
          <a:spLocks noChangeAspect="1" noChangeArrowheads="1"/>
        </xdr:cNvSpPr>
      </xdr:nvSpPr>
      <xdr:spPr bwMode="auto">
        <a:xfrm>
          <a:off x="0" y="137160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0568"/>
    <xdr:sp macro="" textlink="">
      <xdr:nvSpPr>
        <xdr:cNvPr id="22" name="AutoShape 1">
          <a:extLst>
            <a:ext uri="{FF2B5EF4-FFF2-40B4-BE49-F238E27FC236}">
              <a16:creationId xmlns:a16="http://schemas.microsoft.com/office/drawing/2014/main" xmlns="" id="{5E922524-EA35-4736-8B06-FA9B36946E0A}"/>
            </a:ext>
          </a:extLst>
        </xdr:cNvPr>
        <xdr:cNvSpPr>
          <a:spLocks noChangeAspect="1" noChangeArrowheads="1"/>
        </xdr:cNvSpPr>
      </xdr:nvSpPr>
      <xdr:spPr bwMode="auto">
        <a:xfrm>
          <a:off x="0" y="137160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2080"/>
    <xdr:sp macro="" textlink="">
      <xdr:nvSpPr>
        <xdr:cNvPr id="23" name="AutoShape 1">
          <a:extLst>
            <a:ext uri="{FF2B5EF4-FFF2-40B4-BE49-F238E27FC236}">
              <a16:creationId xmlns:a16="http://schemas.microsoft.com/office/drawing/2014/main" xmlns="" id="{41021BA7-9B2B-43F4-A10B-EDDDC4E7CA22}"/>
            </a:ext>
          </a:extLst>
        </xdr:cNvPr>
        <xdr:cNvSpPr>
          <a:spLocks noChangeAspect="1" noChangeArrowheads="1"/>
        </xdr:cNvSpPr>
      </xdr:nvSpPr>
      <xdr:spPr bwMode="auto">
        <a:xfrm>
          <a:off x="0" y="137160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186531"/>
    <xdr:sp macro="" textlink="">
      <xdr:nvSpPr>
        <xdr:cNvPr id="24" name="AutoShape 1">
          <a:extLst>
            <a:ext uri="{FF2B5EF4-FFF2-40B4-BE49-F238E27FC236}">
              <a16:creationId xmlns:a16="http://schemas.microsoft.com/office/drawing/2014/main" xmlns="" id="{72D80361-21C6-4745-881C-1705EF945D1F}"/>
            </a:ext>
          </a:extLst>
        </xdr:cNvPr>
        <xdr:cNvSpPr>
          <a:spLocks noChangeAspect="1" noChangeArrowheads="1"/>
        </xdr:cNvSpPr>
      </xdr:nvSpPr>
      <xdr:spPr bwMode="auto">
        <a:xfrm>
          <a:off x="0" y="1353185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0568"/>
    <xdr:sp macro="" textlink="">
      <xdr:nvSpPr>
        <xdr:cNvPr id="25" name="AutoShape 1">
          <a:extLst>
            <a:ext uri="{FF2B5EF4-FFF2-40B4-BE49-F238E27FC236}">
              <a16:creationId xmlns:a16="http://schemas.microsoft.com/office/drawing/2014/main" xmlns="" id="{C5A455ED-A86A-4449-AE01-431E4AE317BA}"/>
            </a:ext>
          </a:extLst>
        </xdr:cNvPr>
        <xdr:cNvSpPr>
          <a:spLocks noChangeAspect="1" noChangeArrowheads="1"/>
        </xdr:cNvSpPr>
      </xdr:nvSpPr>
      <xdr:spPr bwMode="auto">
        <a:xfrm>
          <a:off x="0" y="135318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2080"/>
    <xdr:sp macro="" textlink="">
      <xdr:nvSpPr>
        <xdr:cNvPr id="26" name="AutoShape 1">
          <a:extLst>
            <a:ext uri="{FF2B5EF4-FFF2-40B4-BE49-F238E27FC236}">
              <a16:creationId xmlns:a16="http://schemas.microsoft.com/office/drawing/2014/main" xmlns="" id="{F3CDA5DF-BCC7-4757-90D5-B6F5838DA414}"/>
            </a:ext>
          </a:extLst>
        </xdr:cNvPr>
        <xdr:cNvSpPr>
          <a:spLocks noChangeAspect="1" noChangeArrowheads="1"/>
        </xdr:cNvSpPr>
      </xdr:nvSpPr>
      <xdr:spPr bwMode="auto">
        <a:xfrm>
          <a:off x="0" y="135318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0569"/>
    <xdr:sp macro="" textlink="">
      <xdr:nvSpPr>
        <xdr:cNvPr id="27" name="AutoShape 1">
          <a:extLst>
            <a:ext uri="{FF2B5EF4-FFF2-40B4-BE49-F238E27FC236}">
              <a16:creationId xmlns:a16="http://schemas.microsoft.com/office/drawing/2014/main" xmlns="" id="{B4BFAFB4-DF33-4E1D-AC63-34D3D057501F}"/>
            </a:ext>
          </a:extLst>
        </xdr:cNvPr>
        <xdr:cNvSpPr>
          <a:spLocks noChangeAspect="1" noChangeArrowheads="1"/>
        </xdr:cNvSpPr>
      </xdr:nvSpPr>
      <xdr:spPr bwMode="auto">
        <a:xfrm>
          <a:off x="0" y="10107083"/>
          <a:ext cx="304800" cy="3005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185017"/>
    <xdr:sp macro="" textlink="">
      <xdr:nvSpPr>
        <xdr:cNvPr id="28" name="AutoShape 1">
          <a:extLst>
            <a:ext uri="{FF2B5EF4-FFF2-40B4-BE49-F238E27FC236}">
              <a16:creationId xmlns:a16="http://schemas.microsoft.com/office/drawing/2014/main" xmlns="" id="{32B6594C-2F5C-41AB-B9A0-881D76814F65}"/>
            </a:ext>
          </a:extLst>
        </xdr:cNvPr>
        <xdr:cNvSpPr>
          <a:spLocks noChangeAspect="1" noChangeArrowheads="1"/>
        </xdr:cNvSpPr>
      </xdr:nvSpPr>
      <xdr:spPr bwMode="auto">
        <a:xfrm>
          <a:off x="0" y="10287000"/>
          <a:ext cx="304800" cy="1850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0568"/>
    <xdr:sp macro="" textlink="">
      <xdr:nvSpPr>
        <xdr:cNvPr id="29" name="AutoShape 1">
          <a:extLst>
            <a:ext uri="{FF2B5EF4-FFF2-40B4-BE49-F238E27FC236}">
              <a16:creationId xmlns:a16="http://schemas.microsoft.com/office/drawing/2014/main" xmlns="" id="{BD1E4262-2D4E-4CEA-AA0F-055026E3FC11}"/>
            </a:ext>
          </a:extLst>
        </xdr:cNvPr>
        <xdr:cNvSpPr>
          <a:spLocks noChangeAspect="1" noChangeArrowheads="1"/>
        </xdr:cNvSpPr>
      </xdr:nvSpPr>
      <xdr:spPr bwMode="auto">
        <a:xfrm>
          <a:off x="0" y="102870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50</xdr:row>
      <xdr:rowOff>0</xdr:rowOff>
    </xdr:from>
    <xdr:ext cx="304800" cy="302080"/>
    <xdr:sp macro="" textlink="">
      <xdr:nvSpPr>
        <xdr:cNvPr id="30" name="AutoShape 1">
          <a:extLst>
            <a:ext uri="{FF2B5EF4-FFF2-40B4-BE49-F238E27FC236}">
              <a16:creationId xmlns:a16="http://schemas.microsoft.com/office/drawing/2014/main" xmlns="" id="{BC0600AE-71F3-4932-ACFB-CEF02C444D00}"/>
            </a:ext>
          </a:extLst>
        </xdr:cNvPr>
        <xdr:cNvSpPr>
          <a:spLocks noChangeAspect="1" noChangeArrowheads="1"/>
        </xdr:cNvSpPr>
      </xdr:nvSpPr>
      <xdr:spPr bwMode="auto">
        <a:xfrm>
          <a:off x="31750" y="10826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186531"/>
    <xdr:sp macro="" textlink="">
      <xdr:nvSpPr>
        <xdr:cNvPr id="31" name="AutoShape 1">
          <a:extLst>
            <a:ext uri="{FF2B5EF4-FFF2-40B4-BE49-F238E27FC236}">
              <a16:creationId xmlns:a16="http://schemas.microsoft.com/office/drawing/2014/main" xmlns="" id="{EF787FC1-3A30-4F2D-98E8-BB3A144ED9D9}"/>
            </a:ext>
          </a:extLst>
        </xdr:cNvPr>
        <xdr:cNvSpPr>
          <a:spLocks noChangeAspect="1" noChangeArrowheads="1"/>
        </xdr:cNvSpPr>
      </xdr:nvSpPr>
      <xdr:spPr bwMode="auto">
        <a:xfrm>
          <a:off x="0" y="113665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0568"/>
    <xdr:sp macro="" textlink="">
      <xdr:nvSpPr>
        <xdr:cNvPr id="32" name="AutoShape 1">
          <a:extLst>
            <a:ext uri="{FF2B5EF4-FFF2-40B4-BE49-F238E27FC236}">
              <a16:creationId xmlns:a16="http://schemas.microsoft.com/office/drawing/2014/main" xmlns="" id="{76196F37-01D3-41EF-AFC8-70627AE66296}"/>
            </a:ext>
          </a:extLst>
        </xdr:cNvPr>
        <xdr:cNvSpPr>
          <a:spLocks noChangeAspect="1" noChangeArrowheads="1"/>
        </xdr:cNvSpPr>
      </xdr:nvSpPr>
      <xdr:spPr bwMode="auto">
        <a:xfrm>
          <a:off x="0" y="113665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2080"/>
    <xdr:sp macro="" textlink="">
      <xdr:nvSpPr>
        <xdr:cNvPr id="33" name="AutoShape 1">
          <a:extLst>
            <a:ext uri="{FF2B5EF4-FFF2-40B4-BE49-F238E27FC236}">
              <a16:creationId xmlns:a16="http://schemas.microsoft.com/office/drawing/2014/main" xmlns="" id="{E664C6BB-C2BE-45EB-9081-69ED60FB93FC}"/>
            </a:ext>
          </a:extLst>
        </xdr:cNvPr>
        <xdr:cNvSpPr>
          <a:spLocks noChangeAspect="1" noChangeArrowheads="1"/>
        </xdr:cNvSpPr>
      </xdr:nvSpPr>
      <xdr:spPr bwMode="auto">
        <a:xfrm>
          <a:off x="0" y="113665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186531"/>
    <xdr:sp macro="" textlink="">
      <xdr:nvSpPr>
        <xdr:cNvPr id="34" name="AutoShape 1">
          <a:extLst>
            <a:ext uri="{FF2B5EF4-FFF2-40B4-BE49-F238E27FC236}">
              <a16:creationId xmlns:a16="http://schemas.microsoft.com/office/drawing/2014/main" xmlns="" id="{C7E070F9-3C2E-4841-9C39-92586E2F2ADF}"/>
            </a:ext>
          </a:extLst>
        </xdr:cNvPr>
        <xdr:cNvSpPr>
          <a:spLocks noChangeAspect="1" noChangeArrowheads="1"/>
        </xdr:cNvSpPr>
      </xdr:nvSpPr>
      <xdr:spPr bwMode="auto">
        <a:xfrm>
          <a:off x="0" y="113665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0568"/>
    <xdr:sp macro="" textlink="">
      <xdr:nvSpPr>
        <xdr:cNvPr id="35" name="AutoShape 1">
          <a:extLst>
            <a:ext uri="{FF2B5EF4-FFF2-40B4-BE49-F238E27FC236}">
              <a16:creationId xmlns:a16="http://schemas.microsoft.com/office/drawing/2014/main" xmlns="" id="{C7D899BC-7B1F-4412-9D48-0367E53265C5}"/>
            </a:ext>
          </a:extLst>
        </xdr:cNvPr>
        <xdr:cNvSpPr>
          <a:spLocks noChangeAspect="1" noChangeArrowheads="1"/>
        </xdr:cNvSpPr>
      </xdr:nvSpPr>
      <xdr:spPr bwMode="auto">
        <a:xfrm>
          <a:off x="0" y="113665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2080"/>
    <xdr:sp macro="" textlink="">
      <xdr:nvSpPr>
        <xdr:cNvPr id="36" name="AutoShape 1">
          <a:extLst>
            <a:ext uri="{FF2B5EF4-FFF2-40B4-BE49-F238E27FC236}">
              <a16:creationId xmlns:a16="http://schemas.microsoft.com/office/drawing/2014/main" xmlns="" id="{E121A38C-AB44-4E16-9DE1-729033ECE703}"/>
            </a:ext>
          </a:extLst>
        </xdr:cNvPr>
        <xdr:cNvSpPr>
          <a:spLocks noChangeAspect="1" noChangeArrowheads="1"/>
        </xdr:cNvSpPr>
      </xdr:nvSpPr>
      <xdr:spPr bwMode="auto">
        <a:xfrm>
          <a:off x="0" y="113665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186531"/>
    <xdr:sp macro="" textlink="">
      <xdr:nvSpPr>
        <xdr:cNvPr id="37" name="AutoShape 1">
          <a:extLst>
            <a:ext uri="{FF2B5EF4-FFF2-40B4-BE49-F238E27FC236}">
              <a16:creationId xmlns:a16="http://schemas.microsoft.com/office/drawing/2014/main" xmlns="" id="{DC7FB900-3025-4270-B74F-0B39F6165390}"/>
            </a:ext>
          </a:extLst>
        </xdr:cNvPr>
        <xdr:cNvSpPr>
          <a:spLocks noChangeAspect="1" noChangeArrowheads="1"/>
        </xdr:cNvSpPr>
      </xdr:nvSpPr>
      <xdr:spPr bwMode="auto">
        <a:xfrm>
          <a:off x="0" y="113665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0568"/>
    <xdr:sp macro="" textlink="">
      <xdr:nvSpPr>
        <xdr:cNvPr id="38" name="AutoShape 1">
          <a:extLst>
            <a:ext uri="{FF2B5EF4-FFF2-40B4-BE49-F238E27FC236}">
              <a16:creationId xmlns:a16="http://schemas.microsoft.com/office/drawing/2014/main" xmlns="" id="{57C96AFE-7097-4E99-B108-605A5ED1688E}"/>
            </a:ext>
          </a:extLst>
        </xdr:cNvPr>
        <xdr:cNvSpPr>
          <a:spLocks noChangeAspect="1" noChangeArrowheads="1"/>
        </xdr:cNvSpPr>
      </xdr:nvSpPr>
      <xdr:spPr bwMode="auto">
        <a:xfrm>
          <a:off x="0" y="113665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2080"/>
    <xdr:sp macro="" textlink="">
      <xdr:nvSpPr>
        <xdr:cNvPr id="39" name="AutoShape 1">
          <a:extLst>
            <a:ext uri="{FF2B5EF4-FFF2-40B4-BE49-F238E27FC236}">
              <a16:creationId xmlns:a16="http://schemas.microsoft.com/office/drawing/2014/main" xmlns="" id="{C501DE6E-A7E7-4044-BA3B-E93411996F64}"/>
            </a:ext>
          </a:extLst>
        </xdr:cNvPr>
        <xdr:cNvSpPr>
          <a:spLocks noChangeAspect="1" noChangeArrowheads="1"/>
        </xdr:cNvSpPr>
      </xdr:nvSpPr>
      <xdr:spPr bwMode="auto">
        <a:xfrm>
          <a:off x="0" y="113665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186531"/>
    <xdr:sp macro="" textlink="">
      <xdr:nvSpPr>
        <xdr:cNvPr id="40" name="AutoShape 1">
          <a:extLst>
            <a:ext uri="{FF2B5EF4-FFF2-40B4-BE49-F238E27FC236}">
              <a16:creationId xmlns:a16="http://schemas.microsoft.com/office/drawing/2014/main" xmlns="" id="{3F79545F-7A27-48BB-BC5D-3852A50B4F60}"/>
            </a:ext>
          </a:extLst>
        </xdr:cNvPr>
        <xdr:cNvSpPr>
          <a:spLocks noChangeAspect="1" noChangeArrowheads="1"/>
        </xdr:cNvSpPr>
      </xdr:nvSpPr>
      <xdr:spPr bwMode="auto">
        <a:xfrm>
          <a:off x="0" y="113665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0568"/>
    <xdr:sp macro="" textlink="">
      <xdr:nvSpPr>
        <xdr:cNvPr id="41" name="AutoShape 1">
          <a:extLst>
            <a:ext uri="{FF2B5EF4-FFF2-40B4-BE49-F238E27FC236}">
              <a16:creationId xmlns:a16="http://schemas.microsoft.com/office/drawing/2014/main" xmlns="" id="{60DC1714-663C-4A0D-88B4-06F2A2EE978D}"/>
            </a:ext>
          </a:extLst>
        </xdr:cNvPr>
        <xdr:cNvSpPr>
          <a:spLocks noChangeAspect="1" noChangeArrowheads="1"/>
        </xdr:cNvSpPr>
      </xdr:nvSpPr>
      <xdr:spPr bwMode="auto">
        <a:xfrm>
          <a:off x="0" y="113665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2080"/>
    <xdr:sp macro="" textlink="">
      <xdr:nvSpPr>
        <xdr:cNvPr id="42" name="AutoShape 1">
          <a:extLst>
            <a:ext uri="{FF2B5EF4-FFF2-40B4-BE49-F238E27FC236}">
              <a16:creationId xmlns:a16="http://schemas.microsoft.com/office/drawing/2014/main" xmlns="" id="{D7475A5B-1679-4708-9C41-59F36DD664C0}"/>
            </a:ext>
          </a:extLst>
        </xdr:cNvPr>
        <xdr:cNvSpPr>
          <a:spLocks noChangeAspect="1" noChangeArrowheads="1"/>
        </xdr:cNvSpPr>
      </xdr:nvSpPr>
      <xdr:spPr bwMode="auto">
        <a:xfrm>
          <a:off x="0" y="113665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2080"/>
    <xdr:sp macro="" textlink="">
      <xdr:nvSpPr>
        <xdr:cNvPr id="43" name="AutoShape 1">
          <a:extLst>
            <a:ext uri="{FF2B5EF4-FFF2-40B4-BE49-F238E27FC236}">
              <a16:creationId xmlns:a16="http://schemas.microsoft.com/office/drawing/2014/main" xmlns="" id="{8EC3DD8D-6E99-4FFC-9483-1ECA39FCF548}"/>
            </a:ext>
          </a:extLst>
        </xdr:cNvPr>
        <xdr:cNvSpPr>
          <a:spLocks noChangeAspect="1" noChangeArrowheads="1"/>
        </xdr:cNvSpPr>
      </xdr:nvSpPr>
      <xdr:spPr bwMode="auto">
        <a:xfrm>
          <a:off x="0" y="13006917"/>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186529"/>
    <xdr:sp macro="" textlink="">
      <xdr:nvSpPr>
        <xdr:cNvPr id="44" name="AutoShape 1">
          <a:extLst>
            <a:ext uri="{FF2B5EF4-FFF2-40B4-BE49-F238E27FC236}">
              <a16:creationId xmlns:a16="http://schemas.microsoft.com/office/drawing/2014/main" xmlns="" id="{840E9A2E-8A1D-418D-8603-408E5A203CC0}"/>
            </a:ext>
          </a:extLst>
        </xdr:cNvPr>
        <xdr:cNvSpPr>
          <a:spLocks noChangeAspect="1" noChangeArrowheads="1"/>
        </xdr:cNvSpPr>
      </xdr:nvSpPr>
      <xdr:spPr bwMode="auto">
        <a:xfrm>
          <a:off x="0" y="13006917"/>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0568"/>
    <xdr:sp macro="" textlink="">
      <xdr:nvSpPr>
        <xdr:cNvPr id="45" name="AutoShape 1">
          <a:extLst>
            <a:ext uri="{FF2B5EF4-FFF2-40B4-BE49-F238E27FC236}">
              <a16:creationId xmlns:a16="http://schemas.microsoft.com/office/drawing/2014/main" xmlns="" id="{E639EAA9-DF27-41C6-A383-B256315FC082}"/>
            </a:ext>
          </a:extLst>
        </xdr:cNvPr>
        <xdr:cNvSpPr>
          <a:spLocks noChangeAspect="1" noChangeArrowheads="1"/>
        </xdr:cNvSpPr>
      </xdr:nvSpPr>
      <xdr:spPr bwMode="auto">
        <a:xfrm>
          <a:off x="0" y="13006917"/>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45</xdr:row>
      <xdr:rowOff>0</xdr:rowOff>
    </xdr:from>
    <xdr:ext cx="304800" cy="302080"/>
    <xdr:sp macro="" textlink="">
      <xdr:nvSpPr>
        <xdr:cNvPr id="46" name="AutoShape 1">
          <a:extLst>
            <a:ext uri="{FF2B5EF4-FFF2-40B4-BE49-F238E27FC236}">
              <a16:creationId xmlns:a16="http://schemas.microsoft.com/office/drawing/2014/main" xmlns="" id="{05176F53-8424-47BC-ACCF-E69F755A511E}"/>
            </a:ext>
          </a:extLst>
        </xdr:cNvPr>
        <xdr:cNvSpPr>
          <a:spLocks noChangeAspect="1" noChangeArrowheads="1"/>
        </xdr:cNvSpPr>
      </xdr:nvSpPr>
      <xdr:spPr bwMode="auto">
        <a:xfrm>
          <a:off x="31750" y="13006917"/>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186531"/>
    <xdr:sp macro="" textlink="">
      <xdr:nvSpPr>
        <xdr:cNvPr id="47" name="AutoShape 1">
          <a:extLst>
            <a:ext uri="{FF2B5EF4-FFF2-40B4-BE49-F238E27FC236}">
              <a16:creationId xmlns:a16="http://schemas.microsoft.com/office/drawing/2014/main" xmlns="" id="{3B8B8DDF-8EFD-4345-AE0C-5C19ACF70B17}"/>
            </a:ext>
          </a:extLst>
        </xdr:cNvPr>
        <xdr:cNvSpPr>
          <a:spLocks noChangeAspect="1" noChangeArrowheads="1"/>
        </xdr:cNvSpPr>
      </xdr:nvSpPr>
      <xdr:spPr bwMode="auto">
        <a:xfrm>
          <a:off x="0" y="13006917"/>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0568"/>
    <xdr:sp macro="" textlink="">
      <xdr:nvSpPr>
        <xdr:cNvPr id="48" name="AutoShape 1">
          <a:extLst>
            <a:ext uri="{FF2B5EF4-FFF2-40B4-BE49-F238E27FC236}">
              <a16:creationId xmlns:a16="http://schemas.microsoft.com/office/drawing/2014/main" xmlns="" id="{4DF92D2B-8A7B-43EC-A8C9-7543F0CCCF30}"/>
            </a:ext>
          </a:extLst>
        </xdr:cNvPr>
        <xdr:cNvSpPr>
          <a:spLocks noChangeAspect="1" noChangeArrowheads="1"/>
        </xdr:cNvSpPr>
      </xdr:nvSpPr>
      <xdr:spPr bwMode="auto">
        <a:xfrm>
          <a:off x="0" y="13006917"/>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2080"/>
    <xdr:sp macro="" textlink="">
      <xdr:nvSpPr>
        <xdr:cNvPr id="49" name="AutoShape 1">
          <a:extLst>
            <a:ext uri="{FF2B5EF4-FFF2-40B4-BE49-F238E27FC236}">
              <a16:creationId xmlns:a16="http://schemas.microsoft.com/office/drawing/2014/main" xmlns="" id="{E9A93BEB-CCB6-4632-94B9-53CBB3D313D6}"/>
            </a:ext>
          </a:extLst>
        </xdr:cNvPr>
        <xdr:cNvSpPr>
          <a:spLocks noChangeAspect="1" noChangeArrowheads="1"/>
        </xdr:cNvSpPr>
      </xdr:nvSpPr>
      <xdr:spPr bwMode="auto">
        <a:xfrm>
          <a:off x="0" y="13006917"/>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304800</xdr:colOff>
      <xdr:row>14</xdr:row>
      <xdr:rowOff>120654</xdr:rowOff>
    </xdr:to>
    <xdr:sp macro="" textlink="">
      <xdr:nvSpPr>
        <xdr:cNvPr id="2" name="AutoShape 1">
          <a:extLst>
            <a:ext uri="{FF2B5EF4-FFF2-40B4-BE49-F238E27FC236}">
              <a16:creationId xmlns:a16="http://schemas.microsoft.com/office/drawing/2014/main" xmlns="" id="{CC71ECC8-95E3-42C9-9200-251C2A9C59AB}"/>
            </a:ext>
          </a:extLst>
        </xdr:cNvPr>
        <xdr:cNvSpPr>
          <a:spLocks noChangeAspect="1" noChangeArrowheads="1"/>
        </xdr:cNvSpPr>
      </xdr:nvSpPr>
      <xdr:spPr bwMode="auto">
        <a:xfrm>
          <a:off x="0" y="25654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120651</xdr:rowOff>
    </xdr:to>
    <xdr:sp macro="" textlink="">
      <xdr:nvSpPr>
        <xdr:cNvPr id="4" name="AutoShape 1">
          <a:extLst>
            <a:ext uri="{FF2B5EF4-FFF2-40B4-BE49-F238E27FC236}">
              <a16:creationId xmlns:a16="http://schemas.microsoft.com/office/drawing/2014/main" xmlns="" id="{4AE845EE-A83A-4A18-B65D-A52EBB5285A7}"/>
            </a:ext>
          </a:extLst>
        </xdr:cNvPr>
        <xdr:cNvSpPr>
          <a:spLocks noChangeAspect="1" noChangeArrowheads="1"/>
        </xdr:cNvSpPr>
      </xdr:nvSpPr>
      <xdr:spPr bwMode="auto">
        <a:xfrm>
          <a:off x="0" y="10763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5098</xdr:rowOff>
    </xdr:to>
    <xdr:sp macro="" textlink="">
      <xdr:nvSpPr>
        <xdr:cNvPr id="5" name="AutoShape 1">
          <a:extLst>
            <a:ext uri="{FF2B5EF4-FFF2-40B4-BE49-F238E27FC236}">
              <a16:creationId xmlns:a16="http://schemas.microsoft.com/office/drawing/2014/main" xmlns="" id="{7E5A143E-C7FF-40CC-906D-9F3B07812C7D}"/>
            </a:ext>
          </a:extLst>
        </xdr:cNvPr>
        <xdr:cNvSpPr>
          <a:spLocks noChangeAspect="1" noChangeArrowheads="1"/>
        </xdr:cNvSpPr>
      </xdr:nvSpPr>
      <xdr:spPr bwMode="auto">
        <a:xfrm>
          <a:off x="0" y="10763250"/>
          <a:ext cx="304800" cy="189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xdr:row>
      <xdr:rowOff>0</xdr:rowOff>
    </xdr:from>
    <xdr:ext cx="304800" cy="300568"/>
    <xdr:sp macro="" textlink="">
      <xdr:nvSpPr>
        <xdr:cNvPr id="6" name="AutoShape 1">
          <a:extLst>
            <a:ext uri="{FF2B5EF4-FFF2-40B4-BE49-F238E27FC236}">
              <a16:creationId xmlns:a16="http://schemas.microsoft.com/office/drawing/2014/main" xmlns="" id="{CE8E20CF-EC65-486A-9786-92D3EBE887BE}"/>
            </a:ext>
          </a:extLst>
        </xdr:cNvPr>
        <xdr:cNvSpPr>
          <a:spLocks noChangeAspect="1" noChangeArrowheads="1"/>
        </xdr:cNvSpPr>
      </xdr:nvSpPr>
      <xdr:spPr bwMode="auto">
        <a:xfrm>
          <a:off x="0" y="107632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15</xdr:row>
      <xdr:rowOff>0</xdr:rowOff>
    </xdr:from>
    <xdr:ext cx="304800" cy="302080"/>
    <xdr:sp macro="" textlink="">
      <xdr:nvSpPr>
        <xdr:cNvPr id="7" name="AutoShape 1">
          <a:extLst>
            <a:ext uri="{FF2B5EF4-FFF2-40B4-BE49-F238E27FC236}">
              <a16:creationId xmlns:a16="http://schemas.microsoft.com/office/drawing/2014/main" xmlns="" id="{D7A64675-77AB-47F0-A953-154582E739CD}"/>
            </a:ext>
          </a:extLst>
        </xdr:cNvPr>
        <xdr:cNvSpPr>
          <a:spLocks noChangeAspect="1" noChangeArrowheads="1"/>
        </xdr:cNvSpPr>
      </xdr:nvSpPr>
      <xdr:spPr bwMode="auto">
        <a:xfrm>
          <a:off x="31750" y="107632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186531"/>
    <xdr:sp macro="" textlink="">
      <xdr:nvSpPr>
        <xdr:cNvPr id="8" name="AutoShape 1">
          <a:extLst>
            <a:ext uri="{FF2B5EF4-FFF2-40B4-BE49-F238E27FC236}">
              <a16:creationId xmlns:a16="http://schemas.microsoft.com/office/drawing/2014/main" xmlns="" id="{DF778C3E-C5E4-4B89-9A16-5E384899542B}"/>
            </a:ext>
          </a:extLst>
        </xdr:cNvPr>
        <xdr:cNvSpPr>
          <a:spLocks noChangeAspect="1" noChangeArrowheads="1"/>
        </xdr:cNvSpPr>
      </xdr:nvSpPr>
      <xdr:spPr bwMode="auto">
        <a:xfrm>
          <a:off x="0" y="1076325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0568"/>
    <xdr:sp macro="" textlink="">
      <xdr:nvSpPr>
        <xdr:cNvPr id="9" name="AutoShape 1">
          <a:extLst>
            <a:ext uri="{FF2B5EF4-FFF2-40B4-BE49-F238E27FC236}">
              <a16:creationId xmlns:a16="http://schemas.microsoft.com/office/drawing/2014/main" xmlns="" id="{8425D6A0-4541-4F64-835A-5315A888140B}"/>
            </a:ext>
          </a:extLst>
        </xdr:cNvPr>
        <xdr:cNvSpPr>
          <a:spLocks noChangeAspect="1" noChangeArrowheads="1"/>
        </xdr:cNvSpPr>
      </xdr:nvSpPr>
      <xdr:spPr bwMode="auto">
        <a:xfrm>
          <a:off x="0" y="107632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2080"/>
    <xdr:sp macro="" textlink="">
      <xdr:nvSpPr>
        <xdr:cNvPr id="10" name="AutoShape 1">
          <a:extLst>
            <a:ext uri="{FF2B5EF4-FFF2-40B4-BE49-F238E27FC236}">
              <a16:creationId xmlns:a16="http://schemas.microsoft.com/office/drawing/2014/main" xmlns="" id="{C4C40D83-E022-4674-B141-579F9290E0C5}"/>
            </a:ext>
          </a:extLst>
        </xdr:cNvPr>
        <xdr:cNvSpPr>
          <a:spLocks noChangeAspect="1" noChangeArrowheads="1"/>
        </xdr:cNvSpPr>
      </xdr:nvSpPr>
      <xdr:spPr bwMode="auto">
        <a:xfrm>
          <a:off x="0" y="107632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2080"/>
    <xdr:sp macro="" textlink="">
      <xdr:nvSpPr>
        <xdr:cNvPr id="11" name="AutoShape 1">
          <a:extLst>
            <a:ext uri="{FF2B5EF4-FFF2-40B4-BE49-F238E27FC236}">
              <a16:creationId xmlns:a16="http://schemas.microsoft.com/office/drawing/2014/main" xmlns="" id="{1BEF4C72-8D38-43CD-8BE1-A5C76054559F}"/>
            </a:ext>
          </a:extLst>
        </xdr:cNvPr>
        <xdr:cNvSpPr>
          <a:spLocks noChangeAspect="1" noChangeArrowheads="1"/>
        </xdr:cNvSpPr>
      </xdr:nvSpPr>
      <xdr:spPr bwMode="auto">
        <a:xfrm>
          <a:off x="0" y="107632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186529"/>
    <xdr:sp macro="" textlink="">
      <xdr:nvSpPr>
        <xdr:cNvPr id="12" name="AutoShape 1">
          <a:extLst>
            <a:ext uri="{FF2B5EF4-FFF2-40B4-BE49-F238E27FC236}">
              <a16:creationId xmlns:a16="http://schemas.microsoft.com/office/drawing/2014/main" xmlns="" id="{C35A5E17-13C9-40A1-86D3-9B9CB634E6F4}"/>
            </a:ext>
          </a:extLst>
        </xdr:cNvPr>
        <xdr:cNvSpPr>
          <a:spLocks noChangeAspect="1" noChangeArrowheads="1"/>
        </xdr:cNvSpPr>
      </xdr:nvSpPr>
      <xdr:spPr bwMode="auto">
        <a:xfrm>
          <a:off x="0" y="107632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0568"/>
    <xdr:sp macro="" textlink="">
      <xdr:nvSpPr>
        <xdr:cNvPr id="13" name="AutoShape 1">
          <a:extLst>
            <a:ext uri="{FF2B5EF4-FFF2-40B4-BE49-F238E27FC236}">
              <a16:creationId xmlns:a16="http://schemas.microsoft.com/office/drawing/2014/main" xmlns="" id="{ECE5DA1D-FE75-4760-B6E8-CC176CB0B248}"/>
            </a:ext>
          </a:extLst>
        </xdr:cNvPr>
        <xdr:cNvSpPr>
          <a:spLocks noChangeAspect="1" noChangeArrowheads="1"/>
        </xdr:cNvSpPr>
      </xdr:nvSpPr>
      <xdr:spPr bwMode="auto">
        <a:xfrm>
          <a:off x="0" y="107632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15</xdr:row>
      <xdr:rowOff>0</xdr:rowOff>
    </xdr:from>
    <xdr:ext cx="304800" cy="302080"/>
    <xdr:sp macro="" textlink="">
      <xdr:nvSpPr>
        <xdr:cNvPr id="14" name="AutoShape 1">
          <a:extLst>
            <a:ext uri="{FF2B5EF4-FFF2-40B4-BE49-F238E27FC236}">
              <a16:creationId xmlns:a16="http://schemas.microsoft.com/office/drawing/2014/main" xmlns="" id="{FF3A8ED7-EE0D-400F-BCBE-538D1C114C2F}"/>
            </a:ext>
          </a:extLst>
        </xdr:cNvPr>
        <xdr:cNvSpPr>
          <a:spLocks noChangeAspect="1" noChangeArrowheads="1"/>
        </xdr:cNvSpPr>
      </xdr:nvSpPr>
      <xdr:spPr bwMode="auto">
        <a:xfrm>
          <a:off x="31750" y="107632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186531"/>
    <xdr:sp macro="" textlink="">
      <xdr:nvSpPr>
        <xdr:cNvPr id="15" name="AutoShape 1">
          <a:extLst>
            <a:ext uri="{FF2B5EF4-FFF2-40B4-BE49-F238E27FC236}">
              <a16:creationId xmlns:a16="http://schemas.microsoft.com/office/drawing/2014/main" xmlns="" id="{506B6B00-DDF8-4C29-A0C1-FCF6708BCA9E}"/>
            </a:ext>
          </a:extLst>
        </xdr:cNvPr>
        <xdr:cNvSpPr>
          <a:spLocks noChangeAspect="1" noChangeArrowheads="1"/>
        </xdr:cNvSpPr>
      </xdr:nvSpPr>
      <xdr:spPr bwMode="auto">
        <a:xfrm>
          <a:off x="0" y="1076325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0568"/>
    <xdr:sp macro="" textlink="">
      <xdr:nvSpPr>
        <xdr:cNvPr id="16" name="AutoShape 1">
          <a:extLst>
            <a:ext uri="{FF2B5EF4-FFF2-40B4-BE49-F238E27FC236}">
              <a16:creationId xmlns:a16="http://schemas.microsoft.com/office/drawing/2014/main" xmlns="" id="{B0CE9B8A-DD79-4C56-BE6F-C3516E043869}"/>
            </a:ext>
          </a:extLst>
        </xdr:cNvPr>
        <xdr:cNvSpPr>
          <a:spLocks noChangeAspect="1" noChangeArrowheads="1"/>
        </xdr:cNvSpPr>
      </xdr:nvSpPr>
      <xdr:spPr bwMode="auto">
        <a:xfrm>
          <a:off x="0" y="107632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2080"/>
    <xdr:sp macro="" textlink="">
      <xdr:nvSpPr>
        <xdr:cNvPr id="17" name="AutoShape 1">
          <a:extLst>
            <a:ext uri="{FF2B5EF4-FFF2-40B4-BE49-F238E27FC236}">
              <a16:creationId xmlns:a16="http://schemas.microsoft.com/office/drawing/2014/main" xmlns="" id="{6585CFFC-6B60-4EEC-A7F8-4A6B58D21CF0}"/>
            </a:ext>
          </a:extLst>
        </xdr:cNvPr>
        <xdr:cNvSpPr>
          <a:spLocks noChangeAspect="1" noChangeArrowheads="1"/>
        </xdr:cNvSpPr>
      </xdr:nvSpPr>
      <xdr:spPr bwMode="auto">
        <a:xfrm>
          <a:off x="0" y="107632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2080"/>
    <xdr:sp macro="" textlink="">
      <xdr:nvSpPr>
        <xdr:cNvPr id="25" name="AutoShape 1">
          <a:extLst>
            <a:ext uri="{FF2B5EF4-FFF2-40B4-BE49-F238E27FC236}">
              <a16:creationId xmlns:a16="http://schemas.microsoft.com/office/drawing/2014/main" xmlns="" id="{8C425579-C4DC-40E1-AA77-26ED7A798AA4}"/>
            </a:ext>
          </a:extLst>
        </xdr:cNvPr>
        <xdr:cNvSpPr>
          <a:spLocks noChangeAspect="1" noChangeArrowheads="1"/>
        </xdr:cNvSpPr>
      </xdr:nvSpPr>
      <xdr:spPr bwMode="auto">
        <a:xfrm>
          <a:off x="0" y="191516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186529"/>
    <xdr:sp macro="" textlink="">
      <xdr:nvSpPr>
        <xdr:cNvPr id="26" name="AutoShape 1">
          <a:extLst>
            <a:ext uri="{FF2B5EF4-FFF2-40B4-BE49-F238E27FC236}">
              <a16:creationId xmlns:a16="http://schemas.microsoft.com/office/drawing/2014/main" xmlns="" id="{83E44B24-AA75-4F7C-88F4-1F09A2C2E164}"/>
            </a:ext>
          </a:extLst>
        </xdr:cNvPr>
        <xdr:cNvSpPr>
          <a:spLocks noChangeAspect="1" noChangeArrowheads="1"/>
        </xdr:cNvSpPr>
      </xdr:nvSpPr>
      <xdr:spPr bwMode="auto">
        <a:xfrm>
          <a:off x="0" y="193357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0568"/>
    <xdr:sp macro="" textlink="">
      <xdr:nvSpPr>
        <xdr:cNvPr id="27" name="AutoShape 1">
          <a:extLst>
            <a:ext uri="{FF2B5EF4-FFF2-40B4-BE49-F238E27FC236}">
              <a16:creationId xmlns:a16="http://schemas.microsoft.com/office/drawing/2014/main" xmlns="" id="{7B02E55D-958F-4BF7-AA34-B3FE4D4C8ED4}"/>
            </a:ext>
          </a:extLst>
        </xdr:cNvPr>
        <xdr:cNvSpPr>
          <a:spLocks noChangeAspect="1" noChangeArrowheads="1"/>
        </xdr:cNvSpPr>
      </xdr:nvSpPr>
      <xdr:spPr bwMode="auto">
        <a:xfrm>
          <a:off x="0" y="193357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19</xdr:row>
      <xdr:rowOff>0</xdr:rowOff>
    </xdr:from>
    <xdr:ext cx="304800" cy="302080"/>
    <xdr:sp macro="" textlink="">
      <xdr:nvSpPr>
        <xdr:cNvPr id="28" name="AutoShape 1">
          <a:extLst>
            <a:ext uri="{FF2B5EF4-FFF2-40B4-BE49-F238E27FC236}">
              <a16:creationId xmlns:a16="http://schemas.microsoft.com/office/drawing/2014/main" xmlns="" id="{2BB4E07F-2018-42AE-968D-1964B91EE4BE}"/>
            </a:ext>
          </a:extLst>
        </xdr:cNvPr>
        <xdr:cNvSpPr>
          <a:spLocks noChangeAspect="1" noChangeArrowheads="1"/>
        </xdr:cNvSpPr>
      </xdr:nvSpPr>
      <xdr:spPr bwMode="auto">
        <a:xfrm>
          <a:off x="31750" y="198882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186531"/>
    <xdr:sp macro="" textlink="">
      <xdr:nvSpPr>
        <xdr:cNvPr id="29" name="AutoShape 1">
          <a:extLst>
            <a:ext uri="{FF2B5EF4-FFF2-40B4-BE49-F238E27FC236}">
              <a16:creationId xmlns:a16="http://schemas.microsoft.com/office/drawing/2014/main" xmlns="" id="{E93D4FA1-C5C2-487A-B505-3F42A5AC1DF7}"/>
            </a:ext>
          </a:extLst>
        </xdr:cNvPr>
        <xdr:cNvSpPr>
          <a:spLocks noChangeAspect="1" noChangeArrowheads="1"/>
        </xdr:cNvSpPr>
      </xdr:nvSpPr>
      <xdr:spPr bwMode="auto">
        <a:xfrm>
          <a:off x="0" y="21729700"/>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0568"/>
    <xdr:sp macro="" textlink="">
      <xdr:nvSpPr>
        <xdr:cNvPr id="30" name="AutoShape 1">
          <a:extLst>
            <a:ext uri="{FF2B5EF4-FFF2-40B4-BE49-F238E27FC236}">
              <a16:creationId xmlns:a16="http://schemas.microsoft.com/office/drawing/2014/main" xmlns="" id="{7520F6E8-9835-409F-BE87-B85518D670CB}"/>
            </a:ext>
          </a:extLst>
        </xdr:cNvPr>
        <xdr:cNvSpPr>
          <a:spLocks noChangeAspect="1" noChangeArrowheads="1"/>
        </xdr:cNvSpPr>
      </xdr:nvSpPr>
      <xdr:spPr bwMode="auto">
        <a:xfrm>
          <a:off x="0" y="217297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2080"/>
    <xdr:sp macro="" textlink="">
      <xdr:nvSpPr>
        <xdr:cNvPr id="31" name="AutoShape 1">
          <a:extLst>
            <a:ext uri="{FF2B5EF4-FFF2-40B4-BE49-F238E27FC236}">
              <a16:creationId xmlns:a16="http://schemas.microsoft.com/office/drawing/2014/main" xmlns="" id="{3F1080D2-998E-4449-B414-FCA8BC6AD8D8}"/>
            </a:ext>
          </a:extLst>
        </xdr:cNvPr>
        <xdr:cNvSpPr>
          <a:spLocks noChangeAspect="1" noChangeArrowheads="1"/>
        </xdr:cNvSpPr>
      </xdr:nvSpPr>
      <xdr:spPr bwMode="auto">
        <a:xfrm>
          <a:off x="0" y="217297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3216"/>
    <xdr:sp macro="" textlink="">
      <xdr:nvSpPr>
        <xdr:cNvPr id="32" name="AutoShape 1">
          <a:extLst>
            <a:ext uri="{FF2B5EF4-FFF2-40B4-BE49-F238E27FC236}">
              <a16:creationId xmlns:a16="http://schemas.microsoft.com/office/drawing/2014/main" xmlns="" id="{18F7EDC7-2F99-48B7-9EB2-170747B27ACD}"/>
            </a:ext>
          </a:extLst>
        </xdr:cNvPr>
        <xdr:cNvSpPr>
          <a:spLocks noChangeAspect="1" noChangeArrowheads="1"/>
        </xdr:cNvSpPr>
      </xdr:nvSpPr>
      <xdr:spPr bwMode="auto">
        <a:xfrm>
          <a:off x="0" y="2976563"/>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3213"/>
    <xdr:sp macro="" textlink="">
      <xdr:nvSpPr>
        <xdr:cNvPr id="33" name="AutoShape 1">
          <a:extLst>
            <a:ext uri="{FF2B5EF4-FFF2-40B4-BE49-F238E27FC236}">
              <a16:creationId xmlns:a16="http://schemas.microsoft.com/office/drawing/2014/main" xmlns="" id="{2C2837A1-8435-4666-89B1-C3E243D0137B}"/>
            </a:ext>
          </a:extLst>
        </xdr:cNvPr>
        <xdr:cNvSpPr>
          <a:spLocks noChangeAspect="1" noChangeArrowheads="1"/>
        </xdr:cNvSpPr>
      </xdr:nvSpPr>
      <xdr:spPr bwMode="auto">
        <a:xfrm>
          <a:off x="0" y="3341688"/>
          <a:ext cx="304800" cy="3032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187660"/>
    <xdr:sp macro="" textlink="">
      <xdr:nvSpPr>
        <xdr:cNvPr id="34" name="AutoShape 1">
          <a:extLst>
            <a:ext uri="{FF2B5EF4-FFF2-40B4-BE49-F238E27FC236}">
              <a16:creationId xmlns:a16="http://schemas.microsoft.com/office/drawing/2014/main" xmlns="" id="{3C6053D7-78A8-40EA-8DD8-A71A18827290}"/>
            </a:ext>
          </a:extLst>
        </xdr:cNvPr>
        <xdr:cNvSpPr>
          <a:spLocks noChangeAspect="1" noChangeArrowheads="1"/>
        </xdr:cNvSpPr>
      </xdr:nvSpPr>
      <xdr:spPr bwMode="auto">
        <a:xfrm>
          <a:off x="0" y="3341688"/>
          <a:ext cx="304800" cy="18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0568"/>
    <xdr:sp macro="" textlink="">
      <xdr:nvSpPr>
        <xdr:cNvPr id="35" name="AutoShape 1">
          <a:extLst>
            <a:ext uri="{FF2B5EF4-FFF2-40B4-BE49-F238E27FC236}">
              <a16:creationId xmlns:a16="http://schemas.microsoft.com/office/drawing/2014/main" xmlns="" id="{4B75DC48-222C-412F-9BB2-F9112CE327AF}"/>
            </a:ext>
          </a:extLst>
        </xdr:cNvPr>
        <xdr:cNvSpPr>
          <a:spLocks noChangeAspect="1" noChangeArrowheads="1"/>
        </xdr:cNvSpPr>
      </xdr:nvSpPr>
      <xdr:spPr bwMode="auto">
        <a:xfrm>
          <a:off x="0" y="3341688"/>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46</xdr:row>
      <xdr:rowOff>0</xdr:rowOff>
    </xdr:from>
    <xdr:ext cx="304800" cy="302080"/>
    <xdr:sp macro="" textlink="">
      <xdr:nvSpPr>
        <xdr:cNvPr id="36" name="AutoShape 1">
          <a:extLst>
            <a:ext uri="{FF2B5EF4-FFF2-40B4-BE49-F238E27FC236}">
              <a16:creationId xmlns:a16="http://schemas.microsoft.com/office/drawing/2014/main" xmlns="" id="{5D498C17-B882-4034-835A-4D8A4A70533B}"/>
            </a:ext>
          </a:extLst>
        </xdr:cNvPr>
        <xdr:cNvSpPr>
          <a:spLocks noChangeAspect="1" noChangeArrowheads="1"/>
        </xdr:cNvSpPr>
      </xdr:nvSpPr>
      <xdr:spPr bwMode="auto">
        <a:xfrm>
          <a:off x="3175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186531"/>
    <xdr:sp macro="" textlink="">
      <xdr:nvSpPr>
        <xdr:cNvPr id="37" name="AutoShape 1">
          <a:extLst>
            <a:ext uri="{FF2B5EF4-FFF2-40B4-BE49-F238E27FC236}">
              <a16:creationId xmlns:a16="http://schemas.microsoft.com/office/drawing/2014/main" xmlns="" id="{5145425D-ECA2-4DA1-9424-B641119FA5F9}"/>
            </a:ext>
          </a:extLst>
        </xdr:cNvPr>
        <xdr:cNvSpPr>
          <a:spLocks noChangeAspect="1" noChangeArrowheads="1"/>
        </xdr:cNvSpPr>
      </xdr:nvSpPr>
      <xdr:spPr bwMode="auto">
        <a:xfrm>
          <a:off x="0" y="3341688"/>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0568"/>
    <xdr:sp macro="" textlink="">
      <xdr:nvSpPr>
        <xdr:cNvPr id="38" name="AutoShape 1">
          <a:extLst>
            <a:ext uri="{FF2B5EF4-FFF2-40B4-BE49-F238E27FC236}">
              <a16:creationId xmlns:a16="http://schemas.microsoft.com/office/drawing/2014/main" xmlns="" id="{5ECAFB19-D1B0-4546-B093-19B1B52CDF7D}"/>
            </a:ext>
          </a:extLst>
        </xdr:cNvPr>
        <xdr:cNvSpPr>
          <a:spLocks noChangeAspect="1" noChangeArrowheads="1"/>
        </xdr:cNvSpPr>
      </xdr:nvSpPr>
      <xdr:spPr bwMode="auto">
        <a:xfrm>
          <a:off x="0" y="3341688"/>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2080"/>
    <xdr:sp macro="" textlink="">
      <xdr:nvSpPr>
        <xdr:cNvPr id="39" name="AutoShape 1">
          <a:extLst>
            <a:ext uri="{FF2B5EF4-FFF2-40B4-BE49-F238E27FC236}">
              <a16:creationId xmlns:a16="http://schemas.microsoft.com/office/drawing/2014/main" xmlns="" id="{1C45FAF9-CCF0-4E97-9C18-241EA9538842}"/>
            </a:ext>
          </a:extLst>
        </xdr:cNvPr>
        <xdr:cNvSpPr>
          <a:spLocks noChangeAspect="1" noChangeArrowheads="1"/>
        </xdr:cNvSpPr>
      </xdr:nvSpPr>
      <xdr:spPr bwMode="auto">
        <a:xfrm>
          <a:off x="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2080"/>
    <xdr:sp macro="" textlink="">
      <xdr:nvSpPr>
        <xdr:cNvPr id="40" name="AutoShape 1">
          <a:extLst>
            <a:ext uri="{FF2B5EF4-FFF2-40B4-BE49-F238E27FC236}">
              <a16:creationId xmlns:a16="http://schemas.microsoft.com/office/drawing/2014/main" xmlns="" id="{F77D7AFC-A869-4FC0-8907-AFE7982F4489}"/>
            </a:ext>
          </a:extLst>
        </xdr:cNvPr>
        <xdr:cNvSpPr>
          <a:spLocks noChangeAspect="1" noChangeArrowheads="1"/>
        </xdr:cNvSpPr>
      </xdr:nvSpPr>
      <xdr:spPr bwMode="auto">
        <a:xfrm>
          <a:off x="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186529"/>
    <xdr:sp macro="" textlink="">
      <xdr:nvSpPr>
        <xdr:cNvPr id="41" name="AutoShape 1">
          <a:extLst>
            <a:ext uri="{FF2B5EF4-FFF2-40B4-BE49-F238E27FC236}">
              <a16:creationId xmlns:a16="http://schemas.microsoft.com/office/drawing/2014/main" xmlns="" id="{CD366410-F511-4516-B163-507452DAD13A}"/>
            </a:ext>
          </a:extLst>
        </xdr:cNvPr>
        <xdr:cNvSpPr>
          <a:spLocks noChangeAspect="1" noChangeArrowheads="1"/>
        </xdr:cNvSpPr>
      </xdr:nvSpPr>
      <xdr:spPr bwMode="auto">
        <a:xfrm>
          <a:off x="0" y="3341688"/>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0568"/>
    <xdr:sp macro="" textlink="">
      <xdr:nvSpPr>
        <xdr:cNvPr id="42" name="AutoShape 1">
          <a:extLst>
            <a:ext uri="{FF2B5EF4-FFF2-40B4-BE49-F238E27FC236}">
              <a16:creationId xmlns:a16="http://schemas.microsoft.com/office/drawing/2014/main" xmlns="" id="{F78CF41A-1864-4293-A2A5-A2DF4F2F3E58}"/>
            </a:ext>
          </a:extLst>
        </xdr:cNvPr>
        <xdr:cNvSpPr>
          <a:spLocks noChangeAspect="1" noChangeArrowheads="1"/>
        </xdr:cNvSpPr>
      </xdr:nvSpPr>
      <xdr:spPr bwMode="auto">
        <a:xfrm>
          <a:off x="0" y="3341688"/>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46</xdr:row>
      <xdr:rowOff>0</xdr:rowOff>
    </xdr:from>
    <xdr:ext cx="304800" cy="302080"/>
    <xdr:sp macro="" textlink="">
      <xdr:nvSpPr>
        <xdr:cNvPr id="43" name="AutoShape 1">
          <a:extLst>
            <a:ext uri="{FF2B5EF4-FFF2-40B4-BE49-F238E27FC236}">
              <a16:creationId xmlns:a16="http://schemas.microsoft.com/office/drawing/2014/main" xmlns="" id="{C13F7024-7FEE-4A3C-8793-7C5F3CF3D4CA}"/>
            </a:ext>
          </a:extLst>
        </xdr:cNvPr>
        <xdr:cNvSpPr>
          <a:spLocks noChangeAspect="1" noChangeArrowheads="1"/>
        </xdr:cNvSpPr>
      </xdr:nvSpPr>
      <xdr:spPr bwMode="auto">
        <a:xfrm>
          <a:off x="3175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186531"/>
    <xdr:sp macro="" textlink="">
      <xdr:nvSpPr>
        <xdr:cNvPr id="44" name="AutoShape 1">
          <a:extLst>
            <a:ext uri="{FF2B5EF4-FFF2-40B4-BE49-F238E27FC236}">
              <a16:creationId xmlns:a16="http://schemas.microsoft.com/office/drawing/2014/main" xmlns="" id="{241592C3-396A-4CD7-AF7C-BC1B8AA3E194}"/>
            </a:ext>
          </a:extLst>
        </xdr:cNvPr>
        <xdr:cNvSpPr>
          <a:spLocks noChangeAspect="1" noChangeArrowheads="1"/>
        </xdr:cNvSpPr>
      </xdr:nvSpPr>
      <xdr:spPr bwMode="auto">
        <a:xfrm>
          <a:off x="0" y="3341688"/>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0568"/>
    <xdr:sp macro="" textlink="">
      <xdr:nvSpPr>
        <xdr:cNvPr id="45" name="AutoShape 1">
          <a:extLst>
            <a:ext uri="{FF2B5EF4-FFF2-40B4-BE49-F238E27FC236}">
              <a16:creationId xmlns:a16="http://schemas.microsoft.com/office/drawing/2014/main" xmlns="" id="{C27EED46-EA42-4965-AD2F-6F3013BF2C23}"/>
            </a:ext>
          </a:extLst>
        </xdr:cNvPr>
        <xdr:cNvSpPr>
          <a:spLocks noChangeAspect="1" noChangeArrowheads="1"/>
        </xdr:cNvSpPr>
      </xdr:nvSpPr>
      <xdr:spPr bwMode="auto">
        <a:xfrm>
          <a:off x="0" y="3341688"/>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2080"/>
    <xdr:sp macro="" textlink="">
      <xdr:nvSpPr>
        <xdr:cNvPr id="46" name="AutoShape 1">
          <a:extLst>
            <a:ext uri="{FF2B5EF4-FFF2-40B4-BE49-F238E27FC236}">
              <a16:creationId xmlns:a16="http://schemas.microsoft.com/office/drawing/2014/main" xmlns="" id="{A0833E5B-CF3A-4B2A-A4D2-10AFCBB32CCE}"/>
            </a:ext>
          </a:extLst>
        </xdr:cNvPr>
        <xdr:cNvSpPr>
          <a:spLocks noChangeAspect="1" noChangeArrowheads="1"/>
        </xdr:cNvSpPr>
      </xdr:nvSpPr>
      <xdr:spPr bwMode="auto">
        <a:xfrm>
          <a:off x="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2080"/>
    <xdr:sp macro="" textlink="">
      <xdr:nvSpPr>
        <xdr:cNvPr id="47" name="AutoShape 1">
          <a:extLst>
            <a:ext uri="{FF2B5EF4-FFF2-40B4-BE49-F238E27FC236}">
              <a16:creationId xmlns:a16="http://schemas.microsoft.com/office/drawing/2014/main" xmlns="" id="{9B537D2B-B248-433A-8D53-C80EC1E3B5ED}"/>
            </a:ext>
          </a:extLst>
        </xdr:cNvPr>
        <xdr:cNvSpPr>
          <a:spLocks noChangeAspect="1" noChangeArrowheads="1"/>
        </xdr:cNvSpPr>
      </xdr:nvSpPr>
      <xdr:spPr bwMode="auto">
        <a:xfrm>
          <a:off x="0" y="3341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186529"/>
    <xdr:sp macro="" textlink="">
      <xdr:nvSpPr>
        <xdr:cNvPr id="48" name="AutoShape 1">
          <a:extLst>
            <a:ext uri="{FF2B5EF4-FFF2-40B4-BE49-F238E27FC236}">
              <a16:creationId xmlns:a16="http://schemas.microsoft.com/office/drawing/2014/main" xmlns="" id="{0A4BAD06-1AE1-4A62-967A-356CB5CF977C}"/>
            </a:ext>
          </a:extLst>
        </xdr:cNvPr>
        <xdr:cNvSpPr>
          <a:spLocks noChangeAspect="1" noChangeArrowheads="1"/>
        </xdr:cNvSpPr>
      </xdr:nvSpPr>
      <xdr:spPr bwMode="auto">
        <a:xfrm>
          <a:off x="0" y="352425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0568"/>
    <xdr:sp macro="" textlink="">
      <xdr:nvSpPr>
        <xdr:cNvPr id="49" name="AutoShape 1">
          <a:extLst>
            <a:ext uri="{FF2B5EF4-FFF2-40B4-BE49-F238E27FC236}">
              <a16:creationId xmlns:a16="http://schemas.microsoft.com/office/drawing/2014/main" xmlns="" id="{7659BAA4-4C0B-46C8-AD7A-DA7AD5F7085B}"/>
            </a:ext>
          </a:extLst>
        </xdr:cNvPr>
        <xdr:cNvSpPr>
          <a:spLocks noChangeAspect="1" noChangeArrowheads="1"/>
        </xdr:cNvSpPr>
      </xdr:nvSpPr>
      <xdr:spPr bwMode="auto">
        <a:xfrm>
          <a:off x="0" y="352425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50</xdr:row>
      <xdr:rowOff>0</xdr:rowOff>
    </xdr:from>
    <xdr:ext cx="304800" cy="302080"/>
    <xdr:sp macro="" textlink="">
      <xdr:nvSpPr>
        <xdr:cNvPr id="50" name="AutoShape 1">
          <a:extLst>
            <a:ext uri="{FF2B5EF4-FFF2-40B4-BE49-F238E27FC236}">
              <a16:creationId xmlns:a16="http://schemas.microsoft.com/office/drawing/2014/main" xmlns="" id="{90CF7BA9-89A6-4946-B482-7B0607298FBB}"/>
            </a:ext>
          </a:extLst>
        </xdr:cNvPr>
        <xdr:cNvSpPr>
          <a:spLocks noChangeAspect="1" noChangeArrowheads="1"/>
        </xdr:cNvSpPr>
      </xdr:nvSpPr>
      <xdr:spPr bwMode="auto">
        <a:xfrm>
          <a:off x="31750" y="407193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186531"/>
    <xdr:sp macro="" textlink="">
      <xdr:nvSpPr>
        <xdr:cNvPr id="51" name="AutoShape 1">
          <a:extLst>
            <a:ext uri="{FF2B5EF4-FFF2-40B4-BE49-F238E27FC236}">
              <a16:creationId xmlns:a16="http://schemas.microsoft.com/office/drawing/2014/main" xmlns="" id="{2F8538D8-BD22-493C-A020-4CABF53DD743}"/>
            </a:ext>
          </a:extLst>
        </xdr:cNvPr>
        <xdr:cNvSpPr>
          <a:spLocks noChangeAspect="1" noChangeArrowheads="1"/>
        </xdr:cNvSpPr>
      </xdr:nvSpPr>
      <xdr:spPr bwMode="auto">
        <a:xfrm>
          <a:off x="0" y="6262688"/>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0568"/>
    <xdr:sp macro="" textlink="">
      <xdr:nvSpPr>
        <xdr:cNvPr id="52" name="AutoShape 1">
          <a:extLst>
            <a:ext uri="{FF2B5EF4-FFF2-40B4-BE49-F238E27FC236}">
              <a16:creationId xmlns:a16="http://schemas.microsoft.com/office/drawing/2014/main" xmlns="" id="{C68C28A3-54F4-481F-887D-260648FEBF14}"/>
            </a:ext>
          </a:extLst>
        </xdr:cNvPr>
        <xdr:cNvSpPr>
          <a:spLocks noChangeAspect="1" noChangeArrowheads="1"/>
        </xdr:cNvSpPr>
      </xdr:nvSpPr>
      <xdr:spPr bwMode="auto">
        <a:xfrm>
          <a:off x="0" y="6262688"/>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2080"/>
    <xdr:sp macro="" textlink="">
      <xdr:nvSpPr>
        <xdr:cNvPr id="53" name="AutoShape 1">
          <a:extLst>
            <a:ext uri="{FF2B5EF4-FFF2-40B4-BE49-F238E27FC236}">
              <a16:creationId xmlns:a16="http://schemas.microsoft.com/office/drawing/2014/main" xmlns="" id="{67D8FDB6-2068-438B-BBA1-C184FE1FAC17}"/>
            </a:ext>
          </a:extLst>
        </xdr:cNvPr>
        <xdr:cNvSpPr>
          <a:spLocks noChangeAspect="1" noChangeArrowheads="1"/>
        </xdr:cNvSpPr>
      </xdr:nvSpPr>
      <xdr:spPr bwMode="auto">
        <a:xfrm>
          <a:off x="0" y="6262688"/>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3216"/>
    <xdr:sp macro="" textlink="">
      <xdr:nvSpPr>
        <xdr:cNvPr id="54" name="AutoShape 1">
          <a:extLst>
            <a:ext uri="{FF2B5EF4-FFF2-40B4-BE49-F238E27FC236}">
              <a16:creationId xmlns:a16="http://schemas.microsoft.com/office/drawing/2014/main" xmlns="" id="{1B1208AE-CAAE-49CA-B491-E8AB6759373B}"/>
            </a:ext>
          </a:extLst>
        </xdr:cNvPr>
        <xdr:cNvSpPr>
          <a:spLocks noChangeAspect="1" noChangeArrowheads="1"/>
        </xdr:cNvSpPr>
      </xdr:nvSpPr>
      <xdr:spPr bwMode="auto">
        <a:xfrm>
          <a:off x="0" y="135572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3213"/>
    <xdr:sp macro="" textlink="">
      <xdr:nvSpPr>
        <xdr:cNvPr id="55" name="AutoShape 1">
          <a:extLst>
            <a:ext uri="{FF2B5EF4-FFF2-40B4-BE49-F238E27FC236}">
              <a16:creationId xmlns:a16="http://schemas.microsoft.com/office/drawing/2014/main" xmlns="" id="{A53E6961-206C-4BA4-AD9E-999AF17697BC}"/>
            </a:ext>
          </a:extLst>
        </xdr:cNvPr>
        <xdr:cNvSpPr>
          <a:spLocks noChangeAspect="1" noChangeArrowheads="1"/>
        </xdr:cNvSpPr>
      </xdr:nvSpPr>
      <xdr:spPr bwMode="auto">
        <a:xfrm>
          <a:off x="0" y="13917083"/>
          <a:ext cx="304800" cy="3032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187660"/>
    <xdr:sp macro="" textlink="">
      <xdr:nvSpPr>
        <xdr:cNvPr id="56" name="AutoShape 1">
          <a:extLst>
            <a:ext uri="{FF2B5EF4-FFF2-40B4-BE49-F238E27FC236}">
              <a16:creationId xmlns:a16="http://schemas.microsoft.com/office/drawing/2014/main" xmlns="" id="{A455B182-3D30-467D-A564-9CFB8F4F2126}"/>
            </a:ext>
          </a:extLst>
        </xdr:cNvPr>
        <xdr:cNvSpPr>
          <a:spLocks noChangeAspect="1" noChangeArrowheads="1"/>
        </xdr:cNvSpPr>
      </xdr:nvSpPr>
      <xdr:spPr bwMode="auto">
        <a:xfrm>
          <a:off x="0" y="13917083"/>
          <a:ext cx="304800" cy="18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0568"/>
    <xdr:sp macro="" textlink="">
      <xdr:nvSpPr>
        <xdr:cNvPr id="57" name="AutoShape 1">
          <a:extLst>
            <a:ext uri="{FF2B5EF4-FFF2-40B4-BE49-F238E27FC236}">
              <a16:creationId xmlns:a16="http://schemas.microsoft.com/office/drawing/2014/main" xmlns="" id="{B97CE55A-1748-4E29-8A1A-145161FDE29C}"/>
            </a:ext>
          </a:extLst>
        </xdr:cNvPr>
        <xdr:cNvSpPr>
          <a:spLocks noChangeAspect="1" noChangeArrowheads="1"/>
        </xdr:cNvSpPr>
      </xdr:nvSpPr>
      <xdr:spPr bwMode="auto">
        <a:xfrm>
          <a:off x="0" y="13917083"/>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74</xdr:row>
      <xdr:rowOff>0</xdr:rowOff>
    </xdr:from>
    <xdr:ext cx="304800" cy="302080"/>
    <xdr:sp macro="" textlink="">
      <xdr:nvSpPr>
        <xdr:cNvPr id="58" name="AutoShape 1">
          <a:extLst>
            <a:ext uri="{FF2B5EF4-FFF2-40B4-BE49-F238E27FC236}">
              <a16:creationId xmlns:a16="http://schemas.microsoft.com/office/drawing/2014/main" xmlns="" id="{44D7A516-4D96-47E1-BC25-DE5C20C45DB9}"/>
            </a:ext>
          </a:extLst>
        </xdr:cNvPr>
        <xdr:cNvSpPr>
          <a:spLocks noChangeAspect="1" noChangeArrowheads="1"/>
        </xdr:cNvSpPr>
      </xdr:nvSpPr>
      <xdr:spPr bwMode="auto">
        <a:xfrm>
          <a:off x="3175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186531"/>
    <xdr:sp macro="" textlink="">
      <xdr:nvSpPr>
        <xdr:cNvPr id="59" name="AutoShape 1">
          <a:extLst>
            <a:ext uri="{FF2B5EF4-FFF2-40B4-BE49-F238E27FC236}">
              <a16:creationId xmlns:a16="http://schemas.microsoft.com/office/drawing/2014/main" xmlns="" id="{D298C32D-985A-4795-B11D-74C822B763C2}"/>
            </a:ext>
          </a:extLst>
        </xdr:cNvPr>
        <xdr:cNvSpPr>
          <a:spLocks noChangeAspect="1" noChangeArrowheads="1"/>
        </xdr:cNvSpPr>
      </xdr:nvSpPr>
      <xdr:spPr bwMode="auto">
        <a:xfrm>
          <a:off x="0" y="13917083"/>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0568"/>
    <xdr:sp macro="" textlink="">
      <xdr:nvSpPr>
        <xdr:cNvPr id="60" name="AutoShape 1">
          <a:extLst>
            <a:ext uri="{FF2B5EF4-FFF2-40B4-BE49-F238E27FC236}">
              <a16:creationId xmlns:a16="http://schemas.microsoft.com/office/drawing/2014/main" xmlns="" id="{566FF823-1AB9-457E-B97F-A504C26601FD}"/>
            </a:ext>
          </a:extLst>
        </xdr:cNvPr>
        <xdr:cNvSpPr>
          <a:spLocks noChangeAspect="1" noChangeArrowheads="1"/>
        </xdr:cNvSpPr>
      </xdr:nvSpPr>
      <xdr:spPr bwMode="auto">
        <a:xfrm>
          <a:off x="0" y="13917083"/>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2080"/>
    <xdr:sp macro="" textlink="">
      <xdr:nvSpPr>
        <xdr:cNvPr id="61" name="AutoShape 1">
          <a:extLst>
            <a:ext uri="{FF2B5EF4-FFF2-40B4-BE49-F238E27FC236}">
              <a16:creationId xmlns:a16="http://schemas.microsoft.com/office/drawing/2014/main" xmlns="" id="{0F31AF08-AEC0-4CF7-A22B-9A2A52D54B6B}"/>
            </a:ext>
          </a:extLst>
        </xdr:cNvPr>
        <xdr:cNvSpPr>
          <a:spLocks noChangeAspect="1" noChangeArrowheads="1"/>
        </xdr:cNvSpPr>
      </xdr:nvSpPr>
      <xdr:spPr bwMode="auto">
        <a:xfrm>
          <a:off x="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2080"/>
    <xdr:sp macro="" textlink="">
      <xdr:nvSpPr>
        <xdr:cNvPr id="62" name="AutoShape 1">
          <a:extLst>
            <a:ext uri="{FF2B5EF4-FFF2-40B4-BE49-F238E27FC236}">
              <a16:creationId xmlns:a16="http://schemas.microsoft.com/office/drawing/2014/main" xmlns="" id="{DDD10D14-4FD1-4EA5-9C74-1FA8A4094C99}"/>
            </a:ext>
          </a:extLst>
        </xdr:cNvPr>
        <xdr:cNvSpPr>
          <a:spLocks noChangeAspect="1" noChangeArrowheads="1"/>
        </xdr:cNvSpPr>
      </xdr:nvSpPr>
      <xdr:spPr bwMode="auto">
        <a:xfrm>
          <a:off x="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186529"/>
    <xdr:sp macro="" textlink="">
      <xdr:nvSpPr>
        <xdr:cNvPr id="63" name="AutoShape 1">
          <a:extLst>
            <a:ext uri="{FF2B5EF4-FFF2-40B4-BE49-F238E27FC236}">
              <a16:creationId xmlns:a16="http://schemas.microsoft.com/office/drawing/2014/main" xmlns="" id="{A60F9E62-9767-433E-B465-6988A679C7C2}"/>
            </a:ext>
          </a:extLst>
        </xdr:cNvPr>
        <xdr:cNvSpPr>
          <a:spLocks noChangeAspect="1" noChangeArrowheads="1"/>
        </xdr:cNvSpPr>
      </xdr:nvSpPr>
      <xdr:spPr bwMode="auto">
        <a:xfrm>
          <a:off x="0" y="13917083"/>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0568"/>
    <xdr:sp macro="" textlink="">
      <xdr:nvSpPr>
        <xdr:cNvPr id="64" name="AutoShape 1">
          <a:extLst>
            <a:ext uri="{FF2B5EF4-FFF2-40B4-BE49-F238E27FC236}">
              <a16:creationId xmlns:a16="http://schemas.microsoft.com/office/drawing/2014/main" xmlns="" id="{C607EF22-958D-491F-961E-730E3E60902F}"/>
            </a:ext>
          </a:extLst>
        </xdr:cNvPr>
        <xdr:cNvSpPr>
          <a:spLocks noChangeAspect="1" noChangeArrowheads="1"/>
        </xdr:cNvSpPr>
      </xdr:nvSpPr>
      <xdr:spPr bwMode="auto">
        <a:xfrm>
          <a:off x="0" y="13917083"/>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74</xdr:row>
      <xdr:rowOff>0</xdr:rowOff>
    </xdr:from>
    <xdr:ext cx="304800" cy="302080"/>
    <xdr:sp macro="" textlink="">
      <xdr:nvSpPr>
        <xdr:cNvPr id="65" name="AutoShape 1">
          <a:extLst>
            <a:ext uri="{FF2B5EF4-FFF2-40B4-BE49-F238E27FC236}">
              <a16:creationId xmlns:a16="http://schemas.microsoft.com/office/drawing/2014/main" xmlns="" id="{75ED8125-66F5-4C9B-B758-37CC1C64206C}"/>
            </a:ext>
          </a:extLst>
        </xdr:cNvPr>
        <xdr:cNvSpPr>
          <a:spLocks noChangeAspect="1" noChangeArrowheads="1"/>
        </xdr:cNvSpPr>
      </xdr:nvSpPr>
      <xdr:spPr bwMode="auto">
        <a:xfrm>
          <a:off x="3175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186531"/>
    <xdr:sp macro="" textlink="">
      <xdr:nvSpPr>
        <xdr:cNvPr id="66" name="AutoShape 1">
          <a:extLst>
            <a:ext uri="{FF2B5EF4-FFF2-40B4-BE49-F238E27FC236}">
              <a16:creationId xmlns:a16="http://schemas.microsoft.com/office/drawing/2014/main" xmlns="" id="{0967D5AD-1311-4ACD-B330-6577F8301804}"/>
            </a:ext>
          </a:extLst>
        </xdr:cNvPr>
        <xdr:cNvSpPr>
          <a:spLocks noChangeAspect="1" noChangeArrowheads="1"/>
        </xdr:cNvSpPr>
      </xdr:nvSpPr>
      <xdr:spPr bwMode="auto">
        <a:xfrm>
          <a:off x="0" y="13917083"/>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0568"/>
    <xdr:sp macro="" textlink="">
      <xdr:nvSpPr>
        <xdr:cNvPr id="67" name="AutoShape 1">
          <a:extLst>
            <a:ext uri="{FF2B5EF4-FFF2-40B4-BE49-F238E27FC236}">
              <a16:creationId xmlns:a16="http://schemas.microsoft.com/office/drawing/2014/main" xmlns="" id="{EDD9F324-6B77-4CBD-AC84-1BDA0735270C}"/>
            </a:ext>
          </a:extLst>
        </xdr:cNvPr>
        <xdr:cNvSpPr>
          <a:spLocks noChangeAspect="1" noChangeArrowheads="1"/>
        </xdr:cNvSpPr>
      </xdr:nvSpPr>
      <xdr:spPr bwMode="auto">
        <a:xfrm>
          <a:off x="0" y="13917083"/>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2080"/>
    <xdr:sp macro="" textlink="">
      <xdr:nvSpPr>
        <xdr:cNvPr id="68" name="AutoShape 1">
          <a:extLst>
            <a:ext uri="{FF2B5EF4-FFF2-40B4-BE49-F238E27FC236}">
              <a16:creationId xmlns:a16="http://schemas.microsoft.com/office/drawing/2014/main" xmlns="" id="{F9881D95-34B5-441A-9155-BA65CBEDDA8E}"/>
            </a:ext>
          </a:extLst>
        </xdr:cNvPr>
        <xdr:cNvSpPr>
          <a:spLocks noChangeAspect="1" noChangeArrowheads="1"/>
        </xdr:cNvSpPr>
      </xdr:nvSpPr>
      <xdr:spPr bwMode="auto">
        <a:xfrm>
          <a:off x="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2080"/>
    <xdr:sp macro="" textlink="">
      <xdr:nvSpPr>
        <xdr:cNvPr id="69" name="AutoShape 1">
          <a:extLst>
            <a:ext uri="{FF2B5EF4-FFF2-40B4-BE49-F238E27FC236}">
              <a16:creationId xmlns:a16="http://schemas.microsoft.com/office/drawing/2014/main" xmlns="" id="{9460E761-9C58-4FFC-93A0-A966023DD022}"/>
            </a:ext>
          </a:extLst>
        </xdr:cNvPr>
        <xdr:cNvSpPr>
          <a:spLocks noChangeAspect="1" noChangeArrowheads="1"/>
        </xdr:cNvSpPr>
      </xdr:nvSpPr>
      <xdr:spPr bwMode="auto">
        <a:xfrm>
          <a:off x="0" y="1391708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186529"/>
    <xdr:sp macro="" textlink="">
      <xdr:nvSpPr>
        <xdr:cNvPr id="70" name="AutoShape 1">
          <a:extLst>
            <a:ext uri="{FF2B5EF4-FFF2-40B4-BE49-F238E27FC236}">
              <a16:creationId xmlns:a16="http://schemas.microsoft.com/office/drawing/2014/main" xmlns="" id="{22733443-D542-479A-B0D6-6F21E4B8B8FD}"/>
            </a:ext>
          </a:extLst>
        </xdr:cNvPr>
        <xdr:cNvSpPr>
          <a:spLocks noChangeAspect="1" noChangeArrowheads="1"/>
        </xdr:cNvSpPr>
      </xdr:nvSpPr>
      <xdr:spPr bwMode="auto">
        <a:xfrm>
          <a:off x="0" y="14097000"/>
          <a:ext cx="304800" cy="1865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0568"/>
    <xdr:sp macro="" textlink="">
      <xdr:nvSpPr>
        <xdr:cNvPr id="71" name="AutoShape 1">
          <a:extLst>
            <a:ext uri="{FF2B5EF4-FFF2-40B4-BE49-F238E27FC236}">
              <a16:creationId xmlns:a16="http://schemas.microsoft.com/office/drawing/2014/main" xmlns="" id="{2A96476F-EA2B-42BF-85F9-574503A3B997}"/>
            </a:ext>
          </a:extLst>
        </xdr:cNvPr>
        <xdr:cNvSpPr>
          <a:spLocks noChangeAspect="1" noChangeArrowheads="1"/>
        </xdr:cNvSpPr>
      </xdr:nvSpPr>
      <xdr:spPr bwMode="auto">
        <a:xfrm>
          <a:off x="0" y="14097000"/>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31750</xdr:colOff>
      <xdr:row>78</xdr:row>
      <xdr:rowOff>0</xdr:rowOff>
    </xdr:from>
    <xdr:ext cx="304800" cy="302080"/>
    <xdr:sp macro="" textlink="">
      <xdr:nvSpPr>
        <xdr:cNvPr id="72" name="AutoShape 1">
          <a:extLst>
            <a:ext uri="{FF2B5EF4-FFF2-40B4-BE49-F238E27FC236}">
              <a16:creationId xmlns:a16="http://schemas.microsoft.com/office/drawing/2014/main" xmlns="" id="{8C009591-B4E6-48F2-8A8F-3B4ECCB2BA89}"/>
            </a:ext>
          </a:extLst>
        </xdr:cNvPr>
        <xdr:cNvSpPr>
          <a:spLocks noChangeAspect="1" noChangeArrowheads="1"/>
        </xdr:cNvSpPr>
      </xdr:nvSpPr>
      <xdr:spPr bwMode="auto">
        <a:xfrm>
          <a:off x="31750" y="1463675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186531"/>
    <xdr:sp macro="" textlink="">
      <xdr:nvSpPr>
        <xdr:cNvPr id="73" name="AutoShape 1">
          <a:extLst>
            <a:ext uri="{FF2B5EF4-FFF2-40B4-BE49-F238E27FC236}">
              <a16:creationId xmlns:a16="http://schemas.microsoft.com/office/drawing/2014/main" xmlns="" id="{534BD78D-B28C-455F-A615-281A19727613}"/>
            </a:ext>
          </a:extLst>
        </xdr:cNvPr>
        <xdr:cNvSpPr>
          <a:spLocks noChangeAspect="1" noChangeArrowheads="1"/>
        </xdr:cNvSpPr>
      </xdr:nvSpPr>
      <xdr:spPr bwMode="auto">
        <a:xfrm>
          <a:off x="0" y="16615833"/>
          <a:ext cx="304800" cy="18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0568"/>
    <xdr:sp macro="" textlink="">
      <xdr:nvSpPr>
        <xdr:cNvPr id="74" name="AutoShape 1">
          <a:extLst>
            <a:ext uri="{FF2B5EF4-FFF2-40B4-BE49-F238E27FC236}">
              <a16:creationId xmlns:a16="http://schemas.microsoft.com/office/drawing/2014/main" xmlns="" id="{61D53F61-B2D6-43A3-98AC-227DF4C2DFE5}"/>
            </a:ext>
          </a:extLst>
        </xdr:cNvPr>
        <xdr:cNvSpPr>
          <a:spLocks noChangeAspect="1" noChangeArrowheads="1"/>
        </xdr:cNvSpPr>
      </xdr:nvSpPr>
      <xdr:spPr bwMode="auto">
        <a:xfrm>
          <a:off x="0" y="16615833"/>
          <a:ext cx="304800" cy="3005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2080"/>
    <xdr:sp macro="" textlink="">
      <xdr:nvSpPr>
        <xdr:cNvPr id="75" name="AutoShape 1">
          <a:extLst>
            <a:ext uri="{FF2B5EF4-FFF2-40B4-BE49-F238E27FC236}">
              <a16:creationId xmlns:a16="http://schemas.microsoft.com/office/drawing/2014/main" xmlns="" id="{9BFC80B2-FDA8-4880-ABC1-941FA1051C3C}"/>
            </a:ext>
          </a:extLst>
        </xdr:cNvPr>
        <xdr:cNvSpPr>
          <a:spLocks noChangeAspect="1" noChangeArrowheads="1"/>
        </xdr:cNvSpPr>
      </xdr:nvSpPr>
      <xdr:spPr bwMode="auto">
        <a:xfrm>
          <a:off x="0" y="16615833"/>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304800</xdr:colOff>
      <xdr:row>13</xdr:row>
      <xdr:rowOff>120654</xdr:rowOff>
    </xdr:to>
    <xdr:sp macro="" textlink="">
      <xdr:nvSpPr>
        <xdr:cNvPr id="2" name="AutoShape 1">
          <a:extLst>
            <a:ext uri="{FF2B5EF4-FFF2-40B4-BE49-F238E27FC236}">
              <a16:creationId xmlns:a16="http://schemas.microsoft.com/office/drawing/2014/main" xmlns="" id="{A61B64F4-C97B-45F3-8078-065C09942FB2}"/>
            </a:ext>
          </a:extLst>
        </xdr:cNvPr>
        <xdr:cNvSpPr>
          <a:spLocks noChangeAspect="1" noChangeArrowheads="1"/>
        </xdr:cNvSpPr>
      </xdr:nvSpPr>
      <xdr:spPr bwMode="auto">
        <a:xfrm>
          <a:off x="0" y="4591050"/>
          <a:ext cx="304800" cy="3111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34</xdr:row>
      <xdr:rowOff>0</xdr:rowOff>
    </xdr:from>
    <xdr:to>
      <xdr:col>0</xdr:col>
      <xdr:colOff>304800</xdr:colOff>
      <xdr:row>35</xdr:row>
      <xdr:rowOff>108750</xdr:rowOff>
    </xdr:to>
    <xdr:sp macro="" textlink="">
      <xdr:nvSpPr>
        <xdr:cNvPr id="3" name="AutoShape 1">
          <a:extLst>
            <a:ext uri="{FF2B5EF4-FFF2-40B4-BE49-F238E27FC236}">
              <a16:creationId xmlns:a16="http://schemas.microsoft.com/office/drawing/2014/main" xmlns="" id="{F1905061-5E52-4D9D-A11A-27AE19AF0115}"/>
            </a:ext>
          </a:extLst>
        </xdr:cNvPr>
        <xdr:cNvSpPr>
          <a:spLocks noChangeAspect="1" noChangeArrowheads="1"/>
        </xdr:cNvSpPr>
      </xdr:nvSpPr>
      <xdr:spPr bwMode="auto">
        <a:xfrm>
          <a:off x="0" y="8772525"/>
          <a:ext cx="304800" cy="308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3214"/>
    <xdr:sp macro="" textlink="">
      <xdr:nvSpPr>
        <xdr:cNvPr id="4" name="AutoShape 1">
          <a:extLst>
            <a:ext uri="{FF2B5EF4-FFF2-40B4-BE49-F238E27FC236}">
              <a16:creationId xmlns:a16="http://schemas.microsoft.com/office/drawing/2014/main" xmlns="" id="{9B40D909-92ED-462C-B994-34CF80F705A8}"/>
            </a:ext>
          </a:extLst>
        </xdr:cNvPr>
        <xdr:cNvSpPr>
          <a:spLocks noChangeAspect="1" noChangeArrowheads="1"/>
        </xdr:cNvSpPr>
      </xdr:nvSpPr>
      <xdr:spPr bwMode="auto">
        <a:xfrm>
          <a:off x="0" y="13382625"/>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3214"/>
    <xdr:sp macro="" textlink="">
      <xdr:nvSpPr>
        <xdr:cNvPr id="5" name="AutoShape 1">
          <a:extLst>
            <a:ext uri="{FF2B5EF4-FFF2-40B4-BE49-F238E27FC236}">
              <a16:creationId xmlns:a16="http://schemas.microsoft.com/office/drawing/2014/main" xmlns="" id="{7827ED6B-33FC-4FCA-A239-26DCCAE2B04D}"/>
            </a:ext>
          </a:extLst>
        </xdr:cNvPr>
        <xdr:cNvSpPr>
          <a:spLocks noChangeAspect="1" noChangeArrowheads="1"/>
        </xdr:cNvSpPr>
      </xdr:nvSpPr>
      <xdr:spPr bwMode="auto">
        <a:xfrm>
          <a:off x="0" y="18240375"/>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3214"/>
    <xdr:sp macro="" textlink="">
      <xdr:nvSpPr>
        <xdr:cNvPr id="6" name="AutoShape 1">
          <a:extLst>
            <a:ext uri="{FF2B5EF4-FFF2-40B4-BE49-F238E27FC236}">
              <a16:creationId xmlns:a16="http://schemas.microsoft.com/office/drawing/2014/main" xmlns="" id="{CB27A3F3-3356-41F2-A7A7-B198A2686667}"/>
            </a:ext>
          </a:extLst>
        </xdr:cNvPr>
        <xdr:cNvSpPr>
          <a:spLocks noChangeAspect="1" noChangeArrowheads="1"/>
        </xdr:cNvSpPr>
      </xdr:nvSpPr>
      <xdr:spPr bwMode="auto">
        <a:xfrm>
          <a:off x="0" y="18621375"/>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3214"/>
    <xdr:sp macro="" textlink="">
      <xdr:nvSpPr>
        <xdr:cNvPr id="7" name="AutoShape 1">
          <a:extLst>
            <a:ext uri="{FF2B5EF4-FFF2-40B4-BE49-F238E27FC236}">
              <a16:creationId xmlns:a16="http://schemas.microsoft.com/office/drawing/2014/main" xmlns="" id="{A05247E3-D1A1-467F-9F54-8DB94E3A566B}"/>
            </a:ext>
          </a:extLst>
        </xdr:cNvPr>
        <xdr:cNvSpPr>
          <a:spLocks noChangeAspect="1" noChangeArrowheads="1"/>
        </xdr:cNvSpPr>
      </xdr:nvSpPr>
      <xdr:spPr bwMode="auto">
        <a:xfrm>
          <a:off x="0" y="19002375"/>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3214"/>
    <xdr:sp macro="" textlink="">
      <xdr:nvSpPr>
        <xdr:cNvPr id="8" name="AutoShape 1">
          <a:extLst>
            <a:ext uri="{FF2B5EF4-FFF2-40B4-BE49-F238E27FC236}">
              <a16:creationId xmlns:a16="http://schemas.microsoft.com/office/drawing/2014/main" xmlns="" id="{5C778C2A-4FDD-49DF-B92E-6BDE6E182624}"/>
            </a:ext>
          </a:extLst>
        </xdr:cNvPr>
        <xdr:cNvSpPr>
          <a:spLocks noChangeAspect="1" noChangeArrowheads="1"/>
        </xdr:cNvSpPr>
      </xdr:nvSpPr>
      <xdr:spPr bwMode="auto">
        <a:xfrm>
          <a:off x="0" y="19764375"/>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128589</xdr:rowOff>
    </xdr:to>
    <xdr:sp macro="" textlink="">
      <xdr:nvSpPr>
        <xdr:cNvPr id="2" name="AutoShape 1">
          <a:extLst>
            <a:ext uri="{FF2B5EF4-FFF2-40B4-BE49-F238E27FC236}">
              <a16:creationId xmlns:a16="http://schemas.microsoft.com/office/drawing/2014/main" xmlns="" id="{7077CED6-EF3F-47F5-9175-DF7B8D07D805}"/>
            </a:ext>
          </a:extLst>
        </xdr:cNvPr>
        <xdr:cNvSpPr>
          <a:spLocks noChangeAspect="1" noChangeArrowheads="1"/>
        </xdr:cNvSpPr>
      </xdr:nvSpPr>
      <xdr:spPr bwMode="auto">
        <a:xfrm>
          <a:off x="0" y="1143000"/>
          <a:ext cx="304800" cy="319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11151"/>
    <xdr:sp macro="" textlink="">
      <xdr:nvSpPr>
        <xdr:cNvPr id="3" name="AutoShape 1">
          <a:extLst>
            <a:ext uri="{FF2B5EF4-FFF2-40B4-BE49-F238E27FC236}">
              <a16:creationId xmlns:a16="http://schemas.microsoft.com/office/drawing/2014/main" xmlns="" id="{9069F36E-07E2-4AA0-9DE5-AB20E8D2A371}"/>
            </a:ext>
          </a:extLst>
        </xdr:cNvPr>
        <xdr:cNvSpPr>
          <a:spLocks noChangeAspect="1" noChangeArrowheads="1"/>
        </xdr:cNvSpPr>
      </xdr:nvSpPr>
      <xdr:spPr bwMode="auto">
        <a:xfrm>
          <a:off x="0" y="1333500"/>
          <a:ext cx="304800" cy="3111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304800</xdr:colOff>
      <xdr:row>13</xdr:row>
      <xdr:rowOff>120651</xdr:rowOff>
    </xdr:to>
    <xdr:sp macro="" textlink="">
      <xdr:nvSpPr>
        <xdr:cNvPr id="2" name="AutoShape 1">
          <a:extLst>
            <a:ext uri="{FF2B5EF4-FFF2-40B4-BE49-F238E27FC236}">
              <a16:creationId xmlns:a16="http://schemas.microsoft.com/office/drawing/2014/main" xmlns="" id="{AB682A9F-84E4-47B5-A15C-ECDD07D43641}"/>
            </a:ext>
          </a:extLst>
        </xdr:cNvPr>
        <xdr:cNvSpPr>
          <a:spLocks noChangeAspect="1" noChangeArrowheads="1"/>
        </xdr:cNvSpPr>
      </xdr:nvSpPr>
      <xdr:spPr bwMode="auto">
        <a:xfrm>
          <a:off x="0" y="43497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304800</xdr:colOff>
      <xdr:row>15</xdr:row>
      <xdr:rowOff>119139</xdr:rowOff>
    </xdr:to>
    <xdr:sp macro="" textlink="">
      <xdr:nvSpPr>
        <xdr:cNvPr id="2" name="AutoShape 1">
          <a:extLst>
            <a:ext uri="{FF2B5EF4-FFF2-40B4-BE49-F238E27FC236}">
              <a16:creationId xmlns:a16="http://schemas.microsoft.com/office/drawing/2014/main" xmlns="" id="{F2B85461-0BEF-4BB4-A203-41A2A364F1E6}"/>
            </a:ext>
          </a:extLst>
        </xdr:cNvPr>
        <xdr:cNvSpPr>
          <a:spLocks noChangeAspect="1" noChangeArrowheads="1"/>
        </xdr:cNvSpPr>
      </xdr:nvSpPr>
      <xdr:spPr bwMode="auto">
        <a:xfrm>
          <a:off x="0" y="369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304800</xdr:colOff>
      <xdr:row>13</xdr:row>
      <xdr:rowOff>120646</xdr:rowOff>
    </xdr:to>
    <xdr:sp macro="" textlink="">
      <xdr:nvSpPr>
        <xdr:cNvPr id="3" name="AutoShape 1">
          <a:extLst>
            <a:ext uri="{FF2B5EF4-FFF2-40B4-BE49-F238E27FC236}">
              <a16:creationId xmlns:a16="http://schemas.microsoft.com/office/drawing/2014/main" xmlns="" id="{D534BFCC-6B6D-4BC2-A5DB-EAE4F63F21BC}"/>
            </a:ext>
          </a:extLst>
        </xdr:cNvPr>
        <xdr:cNvSpPr>
          <a:spLocks noChangeAspect="1" noChangeArrowheads="1"/>
        </xdr:cNvSpPr>
      </xdr:nvSpPr>
      <xdr:spPr bwMode="auto">
        <a:xfrm>
          <a:off x="0" y="2749550"/>
          <a:ext cx="304800" cy="304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304800</xdr:colOff>
      <xdr:row>16</xdr:row>
      <xdr:rowOff>120651</xdr:rowOff>
    </xdr:to>
    <xdr:sp macro="" textlink="">
      <xdr:nvSpPr>
        <xdr:cNvPr id="2" name="AutoShape 1">
          <a:extLst>
            <a:ext uri="{FF2B5EF4-FFF2-40B4-BE49-F238E27FC236}">
              <a16:creationId xmlns:a16="http://schemas.microsoft.com/office/drawing/2014/main" xmlns="" id="{ED49A6DD-6419-463F-AE3D-A9CA460662C9}"/>
            </a:ext>
          </a:extLst>
        </xdr:cNvPr>
        <xdr:cNvSpPr>
          <a:spLocks noChangeAspect="1" noChangeArrowheads="1"/>
        </xdr:cNvSpPr>
      </xdr:nvSpPr>
      <xdr:spPr bwMode="auto">
        <a:xfrm>
          <a:off x="0" y="570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xdr:row>
      <xdr:rowOff>0</xdr:rowOff>
    </xdr:from>
    <xdr:ext cx="304800" cy="302080"/>
    <xdr:sp macro="" textlink="">
      <xdr:nvSpPr>
        <xdr:cNvPr id="3" name="AutoShape 1">
          <a:extLst>
            <a:ext uri="{FF2B5EF4-FFF2-40B4-BE49-F238E27FC236}">
              <a16:creationId xmlns:a16="http://schemas.microsoft.com/office/drawing/2014/main" xmlns="" id="{D1B83C5F-700D-4DFF-8C33-670791CD1CAF}"/>
            </a:ext>
          </a:extLst>
        </xdr:cNvPr>
        <xdr:cNvSpPr>
          <a:spLocks noChangeAspect="1" noChangeArrowheads="1"/>
        </xdr:cNvSpPr>
      </xdr:nvSpPr>
      <xdr:spPr bwMode="auto">
        <a:xfrm>
          <a:off x="0" y="5702300"/>
          <a:ext cx="304800" cy="3020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23</xdr:row>
      <xdr:rowOff>0</xdr:rowOff>
    </xdr:from>
    <xdr:to>
      <xdr:col>0</xdr:col>
      <xdr:colOff>304800</xdr:colOff>
      <xdr:row>24</xdr:row>
      <xdr:rowOff>120652</xdr:rowOff>
    </xdr:to>
    <xdr:sp macro="" textlink="">
      <xdr:nvSpPr>
        <xdr:cNvPr id="4" name="AutoShape 1">
          <a:extLst>
            <a:ext uri="{FF2B5EF4-FFF2-40B4-BE49-F238E27FC236}">
              <a16:creationId xmlns:a16="http://schemas.microsoft.com/office/drawing/2014/main" xmlns="" id="{AC022F26-2859-438F-A790-71A9FD48EB17}"/>
            </a:ext>
          </a:extLst>
        </xdr:cNvPr>
        <xdr:cNvSpPr>
          <a:spLocks noChangeAspect="1" noChangeArrowheads="1"/>
        </xdr:cNvSpPr>
      </xdr:nvSpPr>
      <xdr:spPr bwMode="auto">
        <a:xfrm>
          <a:off x="0" y="71755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nvima.gov.co/tarifas,%202021" TargetMode="External"/><Relationship Id="rId1" Type="http://schemas.openxmlformats.org/officeDocument/2006/relationships/hyperlink" Target="https://colaboracion.dnp.gov.co/cdt/contratacion/tabla%20de%20honorarios%202015-2.pdf?we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windowProtection="1" zoomScale="130" zoomScaleNormal="130" workbookViewId="0"/>
  </sheetViews>
  <sheetFormatPr baseColWidth="10" defaultColWidth="11.42578125" defaultRowHeight="15"/>
  <cols>
    <col min="1" max="1" width="6.140625" style="205" customWidth="1"/>
    <col min="2" max="2" width="27.140625" style="205" customWidth="1"/>
    <col min="3" max="3" width="108.28515625" style="205" customWidth="1"/>
    <col min="4" max="16384" width="11.42578125" style="205"/>
  </cols>
  <sheetData>
    <row r="1" spans="2:12" ht="24.75" customHeight="1">
      <c r="B1" s="552"/>
      <c r="C1" s="552"/>
      <c r="F1" s="553" t="s">
        <v>1716</v>
      </c>
      <c r="G1" s="553"/>
      <c r="H1" s="553"/>
      <c r="I1" s="553"/>
      <c r="J1" s="553"/>
      <c r="K1" s="553"/>
      <c r="L1" s="553"/>
    </row>
    <row r="2" spans="2:12" ht="24.75" customHeight="1">
      <c r="B2" s="456"/>
      <c r="C2" s="456"/>
    </row>
    <row r="3" spans="2:12" ht="18" customHeight="1">
      <c r="B3" s="554" t="s">
        <v>0</v>
      </c>
      <c r="C3" s="554"/>
      <c r="D3" s="204"/>
      <c r="E3" s="204"/>
      <c r="F3" s="204"/>
      <c r="G3" s="204"/>
      <c r="H3" s="204"/>
      <c r="I3" s="204"/>
      <c r="J3" s="204"/>
      <c r="K3" s="204"/>
    </row>
    <row r="4" spans="2:12" ht="13.35" customHeight="1">
      <c r="B4" s="555" t="s">
        <v>1</v>
      </c>
      <c r="C4" s="555"/>
      <c r="D4" s="457"/>
      <c r="E4" s="457"/>
      <c r="F4" s="457"/>
      <c r="G4" s="457"/>
      <c r="H4" s="457"/>
      <c r="I4" s="457"/>
      <c r="J4" s="457"/>
    </row>
    <row r="5" spans="2:12" s="459" customFormat="1" ht="98.1" customHeight="1">
      <c r="B5" s="555"/>
      <c r="C5" s="555"/>
      <c r="D5" s="458"/>
      <c r="E5" s="458"/>
      <c r="F5" s="458"/>
      <c r="G5" s="458"/>
      <c r="H5" s="458"/>
      <c r="I5" s="458"/>
      <c r="J5" s="458"/>
    </row>
    <row r="6" spans="2:12" s="459" customFormat="1" ht="24.75" customHeight="1">
      <c r="B6" s="455"/>
      <c r="C6" s="455"/>
      <c r="D6" s="458"/>
      <c r="E6" s="458"/>
      <c r="F6" s="458"/>
      <c r="G6" s="458"/>
      <c r="H6" s="458"/>
      <c r="I6" s="458"/>
      <c r="J6" s="458"/>
    </row>
    <row r="7" spans="2:12" s="483" customFormat="1" ht="20.100000000000001" customHeight="1">
      <c r="B7" s="547" t="s">
        <v>2</v>
      </c>
      <c r="C7" s="547"/>
      <c r="D7" s="409"/>
      <c r="E7" s="409"/>
      <c r="F7" s="409"/>
      <c r="G7" s="409"/>
      <c r="H7" s="409"/>
      <c r="I7" s="409"/>
      <c r="J7" s="409"/>
    </row>
    <row r="8" spans="2:12" s="459" customFormat="1" ht="11.45" customHeight="1">
      <c r="B8" s="548" t="s">
        <v>3</v>
      </c>
      <c r="C8" s="548"/>
      <c r="D8" s="458"/>
      <c r="E8" s="458"/>
      <c r="F8" s="458"/>
      <c r="G8" s="458"/>
      <c r="H8" s="458"/>
      <c r="I8" s="458"/>
      <c r="J8" s="458"/>
    </row>
    <row r="9" spans="2:12" s="458" customFormat="1" ht="56.1" customHeight="1">
      <c r="B9" s="548"/>
      <c r="C9" s="548"/>
    </row>
    <row r="10" spans="2:12" s="459" customFormat="1" ht="24.75" customHeight="1">
      <c r="B10" s="455"/>
      <c r="C10" s="455"/>
      <c r="D10" s="458"/>
      <c r="E10" s="458"/>
      <c r="F10" s="458"/>
      <c r="G10" s="458"/>
      <c r="H10" s="458"/>
      <c r="I10" s="458"/>
      <c r="J10" s="458"/>
    </row>
    <row r="11" spans="2:12" s="483" customFormat="1" ht="27" customHeight="1">
      <c r="B11" s="547" t="s">
        <v>4</v>
      </c>
      <c r="C11" s="547"/>
      <c r="D11" s="409"/>
      <c r="E11" s="409"/>
      <c r="F11" s="409"/>
      <c r="G11" s="409"/>
      <c r="H11" s="409"/>
      <c r="I11" s="409"/>
      <c r="J11" s="409"/>
    </row>
    <row r="12" spans="2:12" s="459" customFormat="1" ht="11.45" customHeight="1">
      <c r="B12" s="548" t="s">
        <v>5</v>
      </c>
      <c r="C12" s="548"/>
      <c r="D12" s="458"/>
      <c r="E12" s="458"/>
      <c r="F12" s="458"/>
      <c r="G12" s="458"/>
      <c r="H12" s="458"/>
      <c r="I12" s="458"/>
      <c r="J12" s="458"/>
    </row>
    <row r="13" spans="2:12" s="458" customFormat="1" ht="35.1" customHeight="1">
      <c r="B13" s="548"/>
      <c r="C13" s="548"/>
    </row>
    <row r="14" spans="2:12" s="459" customFormat="1" ht="24.75" customHeight="1">
      <c r="B14" s="455"/>
      <c r="C14" s="455"/>
      <c r="D14" s="458"/>
      <c r="E14" s="458"/>
      <c r="F14" s="458"/>
      <c r="G14" s="458"/>
      <c r="H14" s="458"/>
      <c r="I14" s="458"/>
      <c r="J14" s="458"/>
    </row>
    <row r="15" spans="2:12" s="483" customFormat="1" ht="24.75" customHeight="1">
      <c r="B15" s="547" t="s">
        <v>6</v>
      </c>
      <c r="C15" s="547"/>
      <c r="D15" s="409"/>
      <c r="E15" s="409"/>
      <c r="F15" s="409"/>
      <c r="G15" s="409"/>
      <c r="H15" s="409"/>
      <c r="I15" s="409"/>
      <c r="J15" s="409"/>
    </row>
    <row r="16" spans="2:12" s="459" customFormat="1" ht="24.75" customHeight="1">
      <c r="B16" s="556" t="s">
        <v>7</v>
      </c>
      <c r="C16" s="557"/>
      <c r="D16" s="458"/>
      <c r="E16" s="458"/>
      <c r="F16" s="458"/>
      <c r="G16" s="458"/>
      <c r="H16" s="458"/>
      <c r="I16" s="458"/>
      <c r="J16" s="458"/>
    </row>
    <row r="17" spans="2:10" s="459" customFormat="1" ht="12.75" customHeight="1">
      <c r="D17" s="458"/>
      <c r="E17" s="458"/>
      <c r="F17" s="458"/>
      <c r="G17" s="458"/>
      <c r="H17" s="458"/>
      <c r="I17" s="458"/>
      <c r="J17" s="458"/>
    </row>
    <row r="18" spans="2:10" s="483" customFormat="1" ht="21.95" customHeight="1">
      <c r="B18" s="547" t="s">
        <v>8</v>
      </c>
      <c r="C18" s="547"/>
      <c r="D18" s="409"/>
      <c r="E18" s="409"/>
      <c r="F18" s="409"/>
      <c r="G18" s="409"/>
      <c r="H18" s="409"/>
      <c r="I18" s="409"/>
      <c r="J18" s="409"/>
    </row>
    <row r="19" spans="2:10" s="459" customFormat="1" ht="99" customHeight="1">
      <c r="B19" s="548" t="s">
        <v>9</v>
      </c>
      <c r="C19" s="548"/>
      <c r="D19" s="458"/>
      <c r="E19" s="458"/>
      <c r="F19" s="458"/>
      <c r="G19" s="458"/>
      <c r="H19" s="458"/>
      <c r="I19" s="458"/>
      <c r="J19" s="458"/>
    </row>
    <row r="20" spans="2:10" s="459" customFormat="1" ht="12.75" customHeight="1">
      <c r="D20" s="458"/>
      <c r="E20" s="458"/>
      <c r="F20" s="458"/>
      <c r="G20" s="458"/>
      <c r="H20" s="458"/>
      <c r="I20" s="458"/>
      <c r="J20" s="458"/>
    </row>
    <row r="21" spans="2:10" s="459" customFormat="1" ht="21.75" customHeight="1">
      <c r="B21" s="455"/>
      <c r="C21" s="455"/>
      <c r="D21" s="458"/>
      <c r="E21" s="458"/>
      <c r="F21" s="458"/>
      <c r="G21" s="458"/>
      <c r="H21" s="458"/>
      <c r="I21" s="458"/>
      <c r="J21" s="458"/>
    </row>
    <row r="22" spans="2:10" s="459" customFormat="1" ht="27" customHeight="1">
      <c r="B22" s="547" t="s">
        <v>10</v>
      </c>
      <c r="C22" s="547"/>
      <c r="D22" s="458"/>
      <c r="E22" s="458"/>
      <c r="F22" s="458"/>
      <c r="G22" s="458"/>
      <c r="H22" s="458"/>
      <c r="I22" s="458"/>
      <c r="J22" s="458"/>
    </row>
    <row r="23" spans="2:10" s="459" customFormat="1" ht="83.1" customHeight="1">
      <c r="B23" s="548" t="s">
        <v>11</v>
      </c>
      <c r="C23" s="548"/>
      <c r="D23" s="458"/>
      <c r="E23" s="458"/>
      <c r="F23" s="458"/>
      <c r="G23" s="458"/>
      <c r="H23" s="458"/>
      <c r="I23" s="458"/>
      <c r="J23" s="458"/>
    </row>
    <row r="24" spans="2:10" s="459" customFormat="1" ht="18.75" customHeight="1">
      <c r="B24" s="460" t="s">
        <v>12</v>
      </c>
      <c r="C24" s="460" t="s">
        <v>13</v>
      </c>
      <c r="D24" s="458"/>
      <c r="E24" s="458"/>
      <c r="F24" s="458"/>
      <c r="G24" s="458"/>
      <c r="H24" s="458"/>
      <c r="I24" s="458"/>
      <c r="J24" s="458"/>
    </row>
    <row r="25" spans="2:10" s="459" customFormat="1" ht="53.1" customHeight="1">
      <c r="B25" s="461" t="s">
        <v>14</v>
      </c>
      <c r="C25" s="462" t="s">
        <v>15</v>
      </c>
      <c r="D25" s="458"/>
      <c r="E25" s="458"/>
      <c r="F25" s="458"/>
      <c r="G25" s="458"/>
      <c r="H25" s="458"/>
      <c r="I25" s="458"/>
      <c r="J25" s="458"/>
    </row>
    <row r="26" spans="2:10" s="459" customFormat="1" ht="95.45" customHeight="1">
      <c r="B26" s="463" t="s">
        <v>16</v>
      </c>
      <c r="C26" s="266" t="s">
        <v>17</v>
      </c>
      <c r="D26" s="458"/>
      <c r="E26" s="458"/>
      <c r="F26" s="458"/>
      <c r="G26" s="458"/>
      <c r="H26" s="458"/>
      <c r="I26" s="458"/>
      <c r="J26" s="458"/>
    </row>
    <row r="27" spans="2:10" s="459" customFormat="1" ht="42" customHeight="1">
      <c r="B27" s="460" t="s">
        <v>18</v>
      </c>
      <c r="C27" s="266" t="s">
        <v>19</v>
      </c>
      <c r="D27" s="458"/>
      <c r="E27" s="458"/>
      <c r="F27" s="458"/>
      <c r="G27" s="458"/>
      <c r="H27" s="458"/>
      <c r="I27" s="458"/>
      <c r="J27" s="458"/>
    </row>
    <row r="28" spans="2:10" s="459" customFormat="1" ht="48" customHeight="1">
      <c r="B28" s="460" t="s">
        <v>20</v>
      </c>
      <c r="C28" s="266" t="s">
        <v>21</v>
      </c>
      <c r="D28" s="458"/>
      <c r="E28" s="458"/>
      <c r="F28" s="458"/>
      <c r="G28" s="458"/>
      <c r="H28" s="458"/>
      <c r="I28" s="458"/>
      <c r="J28" s="458"/>
    </row>
    <row r="29" spans="2:10" s="459" customFormat="1" ht="27.75" customHeight="1">
      <c r="B29" s="455"/>
      <c r="C29" s="455"/>
      <c r="D29" s="458"/>
      <c r="E29" s="458"/>
      <c r="F29" s="458"/>
      <c r="G29" s="458"/>
      <c r="H29" s="458"/>
      <c r="I29" s="458"/>
      <c r="J29" s="458"/>
    </row>
    <row r="30" spans="2:10" s="484" customFormat="1" ht="29.1" customHeight="1">
      <c r="B30" s="549" t="s">
        <v>22</v>
      </c>
      <c r="C30" s="550"/>
    </row>
    <row r="31" spans="2:10" s="459" customFormat="1" ht="48.6" customHeight="1">
      <c r="B31" s="548" t="s">
        <v>23</v>
      </c>
      <c r="C31" s="548"/>
      <c r="D31" s="458"/>
      <c r="E31" s="458"/>
      <c r="F31" s="458"/>
      <c r="G31" s="458"/>
      <c r="H31" s="458"/>
      <c r="I31" s="458"/>
      <c r="J31" s="458"/>
    </row>
    <row r="32" spans="2:10">
      <c r="B32" s="208" t="s">
        <v>12</v>
      </c>
      <c r="C32" s="208" t="s">
        <v>13</v>
      </c>
    </row>
    <row r="33" spans="2:10" ht="48" customHeight="1">
      <c r="B33" s="464" t="s">
        <v>24</v>
      </c>
      <c r="C33" s="465" t="s">
        <v>25</v>
      </c>
      <c r="D33" s="457"/>
      <c r="E33" s="457"/>
      <c r="F33" s="457"/>
      <c r="G33" s="457"/>
      <c r="H33" s="457"/>
      <c r="I33" s="457"/>
      <c r="J33" s="457"/>
    </row>
    <row r="34" spans="2:10" ht="24" customHeight="1">
      <c r="B34" s="463" t="s">
        <v>26</v>
      </c>
      <c r="C34" s="465" t="s">
        <v>27</v>
      </c>
      <c r="D34" s="457"/>
      <c r="E34" s="457"/>
      <c r="F34" s="457"/>
      <c r="G34" s="457"/>
      <c r="H34" s="457"/>
      <c r="I34" s="457"/>
      <c r="J34" s="457"/>
    </row>
    <row r="35" spans="2:10" ht="75">
      <c r="B35" s="463" t="s">
        <v>28</v>
      </c>
      <c r="C35" s="266" t="s">
        <v>29</v>
      </c>
    </row>
    <row r="36" spans="2:10" ht="72" customHeight="1">
      <c r="B36" s="463" t="s">
        <v>30</v>
      </c>
      <c r="C36" s="266" t="s">
        <v>31</v>
      </c>
    </row>
    <row r="37" spans="2:10" ht="73.5" customHeight="1">
      <c r="B37" s="463" t="s">
        <v>32</v>
      </c>
      <c r="C37" s="266" t="s">
        <v>33</v>
      </c>
    </row>
    <row r="38" spans="2:10" ht="42" customHeight="1">
      <c r="B38" s="460" t="s">
        <v>34</v>
      </c>
      <c r="C38" s="465" t="s">
        <v>35</v>
      </c>
    </row>
    <row r="39" spans="2:10" ht="25.5" customHeight="1">
      <c r="B39" s="551"/>
      <c r="C39" s="551"/>
    </row>
    <row r="40" spans="2:10" ht="30" customHeight="1">
      <c r="B40" s="547" t="s">
        <v>36</v>
      </c>
      <c r="C40" s="547"/>
    </row>
    <row r="41" spans="2:10" ht="35.25" customHeight="1">
      <c r="B41" s="545" t="s">
        <v>37</v>
      </c>
      <c r="C41" s="546"/>
    </row>
    <row r="42" spans="2:10" ht="13.5" customHeight="1">
      <c r="B42" s="460" t="s">
        <v>12</v>
      </c>
      <c r="C42" s="460" t="s">
        <v>13</v>
      </c>
    </row>
    <row r="43" spans="2:10" ht="45" customHeight="1">
      <c r="B43" s="466" t="s">
        <v>38</v>
      </c>
      <c r="C43" s="467" t="s">
        <v>39</v>
      </c>
    </row>
    <row r="44" spans="2:10" ht="32.25" customHeight="1">
      <c r="B44" s="466" t="s">
        <v>40</v>
      </c>
      <c r="C44" s="467" t="s">
        <v>41</v>
      </c>
    </row>
    <row r="45" spans="2:10" ht="20.25" customHeight="1">
      <c r="B45" s="469" t="s">
        <v>42</v>
      </c>
      <c r="C45" s="468" t="s">
        <v>43</v>
      </c>
    </row>
    <row r="46" spans="2:10" ht="58.5" customHeight="1">
      <c r="B46" s="470" t="s">
        <v>44</v>
      </c>
      <c r="C46" s="468" t="s">
        <v>45</v>
      </c>
    </row>
    <row r="47" spans="2:10" ht="36.75" customHeight="1">
      <c r="B47" s="470" t="s">
        <v>46</v>
      </c>
      <c r="C47" s="468" t="s">
        <v>47</v>
      </c>
    </row>
    <row r="48" spans="2:10" ht="96" customHeight="1">
      <c r="B48" s="469" t="s">
        <v>48</v>
      </c>
      <c r="C48" s="374" t="s">
        <v>49</v>
      </c>
    </row>
  </sheetData>
  <mergeCells count="19">
    <mergeCell ref="B19:C19"/>
    <mergeCell ref="B1:C1"/>
    <mergeCell ref="F1:L1"/>
    <mergeCell ref="B3:C3"/>
    <mergeCell ref="B4:C5"/>
    <mergeCell ref="B7:C7"/>
    <mergeCell ref="B8:C9"/>
    <mergeCell ref="B11:C11"/>
    <mergeCell ref="B12:C13"/>
    <mergeCell ref="B15:C15"/>
    <mergeCell ref="B16:C16"/>
    <mergeCell ref="B18:C18"/>
    <mergeCell ref="B41:C41"/>
    <mergeCell ref="B22:C22"/>
    <mergeCell ref="B23:C23"/>
    <mergeCell ref="B30:C30"/>
    <mergeCell ref="B31:C31"/>
    <mergeCell ref="B39:C39"/>
    <mergeCell ref="B40: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windowProtection="1" showGridLines="0" zoomScale="120" zoomScaleNormal="120" workbookViewId="0">
      <selection activeCell="B6" sqref="B6:D6"/>
    </sheetView>
  </sheetViews>
  <sheetFormatPr baseColWidth="10" defaultColWidth="11.42578125" defaultRowHeight="15"/>
  <cols>
    <col min="1" max="1" width="0.85546875" style="471" customWidth="1"/>
    <col min="2" max="2" width="24.140625" style="471" customWidth="1"/>
    <col min="3" max="3" width="19.28515625" style="471" customWidth="1"/>
    <col min="4" max="4" width="13.140625" style="471" customWidth="1"/>
    <col min="5" max="5" width="11.85546875" style="471" customWidth="1"/>
    <col min="6" max="6" width="14.42578125" style="471" customWidth="1"/>
    <col min="7" max="7" width="13.85546875" style="471" customWidth="1"/>
    <col min="8" max="8" width="13.7109375" style="471" customWidth="1"/>
    <col min="9" max="9" width="12.85546875" style="471" customWidth="1"/>
    <col min="10" max="14" width="8.7109375" style="471" customWidth="1"/>
    <col min="15" max="15" width="12.7109375" style="471" customWidth="1"/>
    <col min="16" max="16" width="17.42578125" style="471" customWidth="1"/>
    <col min="17" max="17" width="20.140625" style="471" customWidth="1"/>
    <col min="18" max="18" width="3.140625" style="433" customWidth="1"/>
    <col min="19" max="19" width="5.85546875" style="433" bestFit="1" customWidth="1"/>
    <col min="20" max="22" width="3" style="433" customWidth="1"/>
    <col min="23" max="26" width="11.7109375" style="433" bestFit="1" customWidth="1"/>
    <col min="27" max="16384" width="11.42578125" style="433"/>
  </cols>
  <sheetData>
    <row r="1" spans="1:26" ht="15" customHeight="1">
      <c r="B1" s="584"/>
      <c r="C1" s="585"/>
      <c r="D1" s="585"/>
      <c r="E1" s="590" t="s">
        <v>50</v>
      </c>
      <c r="F1" s="591"/>
      <c r="G1" s="591"/>
      <c r="H1" s="591"/>
      <c r="I1" s="591"/>
      <c r="J1" s="591"/>
      <c r="K1" s="591"/>
      <c r="L1" s="591"/>
      <c r="M1" s="591"/>
      <c r="N1" s="591"/>
      <c r="O1" s="591"/>
      <c r="P1" s="592"/>
      <c r="Q1" s="593"/>
    </row>
    <row r="2" spans="1:26">
      <c r="B2" s="586"/>
      <c r="C2" s="587"/>
      <c r="D2" s="587"/>
      <c r="E2" s="591"/>
      <c r="F2" s="591"/>
      <c r="G2" s="591"/>
      <c r="H2" s="591"/>
      <c r="I2" s="591"/>
      <c r="J2" s="591"/>
      <c r="K2" s="591"/>
      <c r="L2" s="591"/>
      <c r="M2" s="591"/>
      <c r="N2" s="591"/>
      <c r="O2" s="591"/>
      <c r="P2" s="592"/>
      <c r="Q2" s="593"/>
    </row>
    <row r="3" spans="1:26" ht="28.5" customHeight="1">
      <c r="B3" s="588"/>
      <c r="C3" s="589"/>
      <c r="D3" s="589"/>
      <c r="E3" s="591"/>
      <c r="F3" s="591"/>
      <c r="G3" s="591"/>
      <c r="H3" s="591"/>
      <c r="I3" s="591"/>
      <c r="J3" s="591"/>
      <c r="K3" s="591"/>
      <c r="L3" s="591"/>
      <c r="M3" s="591"/>
      <c r="N3" s="591"/>
      <c r="O3" s="591"/>
      <c r="P3" s="592"/>
      <c r="Q3" s="593"/>
    </row>
    <row r="4" spans="1:26" ht="28.5" customHeight="1">
      <c r="B4" s="472"/>
      <c r="C4" s="472"/>
      <c r="D4" s="472"/>
      <c r="E4" s="473"/>
      <c r="F4" s="473"/>
      <c r="G4" s="473"/>
      <c r="H4" s="473"/>
      <c r="I4" s="473"/>
      <c r="J4" s="473"/>
      <c r="K4" s="473"/>
      <c r="L4" s="473"/>
      <c r="M4" s="473"/>
      <c r="N4" s="473"/>
      <c r="O4" s="473"/>
      <c r="P4" s="472"/>
      <c r="Q4" s="472"/>
    </row>
    <row r="5" spans="1:26" ht="50.1" customHeight="1">
      <c r="B5" s="568" t="s">
        <v>2</v>
      </c>
      <c r="C5" s="569"/>
      <c r="D5" s="569"/>
      <c r="E5" s="582" t="s">
        <v>51</v>
      </c>
      <c r="F5" s="583"/>
      <c r="G5" s="583"/>
      <c r="H5" s="583"/>
      <c r="I5" s="583"/>
      <c r="J5" s="583"/>
      <c r="K5" s="583"/>
      <c r="L5" s="583"/>
      <c r="M5" s="583"/>
      <c r="N5" s="583"/>
      <c r="O5" s="583"/>
      <c r="P5" s="472"/>
      <c r="Q5" s="472"/>
    </row>
    <row r="6" spans="1:26" ht="69" customHeight="1">
      <c r="B6" s="568" t="s">
        <v>52</v>
      </c>
      <c r="C6" s="569"/>
      <c r="D6" s="569"/>
      <c r="E6" s="582" t="s">
        <v>53</v>
      </c>
      <c r="F6" s="583"/>
      <c r="G6" s="583"/>
      <c r="H6" s="583"/>
      <c r="I6" s="583"/>
      <c r="J6" s="583"/>
      <c r="K6" s="583"/>
      <c r="L6" s="583"/>
      <c r="M6" s="583"/>
      <c r="N6" s="583"/>
      <c r="O6" s="583"/>
      <c r="P6" s="472"/>
      <c r="Q6" s="472"/>
    </row>
    <row r="7" spans="1:26" ht="100.5" customHeight="1">
      <c r="B7" s="568" t="s">
        <v>54</v>
      </c>
      <c r="C7" s="569"/>
      <c r="D7" s="569"/>
      <c r="E7" s="582" t="s">
        <v>55</v>
      </c>
      <c r="F7" s="583"/>
      <c r="G7" s="583"/>
      <c r="H7" s="583"/>
      <c r="I7" s="583"/>
      <c r="J7" s="583"/>
      <c r="K7" s="583"/>
      <c r="L7" s="583"/>
      <c r="M7" s="583"/>
      <c r="N7" s="583"/>
      <c r="O7" s="583"/>
      <c r="P7" s="472"/>
      <c r="Q7" s="472"/>
    </row>
    <row r="8" spans="1:26" ht="111.95" customHeight="1">
      <c r="B8" s="568" t="s">
        <v>56</v>
      </c>
      <c r="C8" s="569"/>
      <c r="D8" s="569"/>
      <c r="E8" s="582" t="s">
        <v>57</v>
      </c>
      <c r="F8" s="583"/>
      <c r="G8" s="583"/>
      <c r="H8" s="583"/>
      <c r="I8" s="583"/>
      <c r="J8" s="583"/>
      <c r="K8" s="583"/>
      <c r="L8" s="583"/>
      <c r="M8" s="583"/>
      <c r="N8" s="583"/>
      <c r="O8" s="583"/>
      <c r="P8" s="472"/>
      <c r="Q8" s="472"/>
    </row>
    <row r="9" spans="1:26" ht="325.5" customHeight="1">
      <c r="B9" s="568" t="s">
        <v>58</v>
      </c>
      <c r="C9" s="569"/>
      <c r="D9" s="569"/>
      <c r="E9" s="582" t="s">
        <v>59</v>
      </c>
      <c r="F9" s="583"/>
      <c r="G9" s="583"/>
      <c r="H9" s="583"/>
      <c r="I9" s="583"/>
      <c r="J9" s="583"/>
      <c r="K9" s="583"/>
      <c r="L9" s="583"/>
      <c r="M9" s="583"/>
      <c r="N9" s="583"/>
      <c r="O9" s="583"/>
      <c r="P9" s="472"/>
      <c r="Q9" s="472"/>
    </row>
    <row r="10" spans="1:26" s="476" customFormat="1" ht="126.75" customHeight="1">
      <c r="A10" s="474"/>
      <c r="B10" s="568" t="s">
        <v>60</v>
      </c>
      <c r="C10" s="569"/>
      <c r="D10" s="569"/>
      <c r="E10" s="570" t="s">
        <v>61</v>
      </c>
      <c r="F10" s="571"/>
      <c r="G10" s="571"/>
      <c r="H10" s="571"/>
      <c r="I10" s="571"/>
      <c r="J10" s="571"/>
      <c r="K10" s="571"/>
      <c r="L10" s="571"/>
      <c r="M10" s="571"/>
      <c r="N10" s="571"/>
      <c r="O10" s="571"/>
      <c r="P10" s="475"/>
      <c r="Q10" s="475"/>
    </row>
    <row r="11" spans="1:26" ht="39.6" customHeight="1">
      <c r="B11" s="472"/>
      <c r="C11" s="472"/>
      <c r="D11" s="472"/>
      <c r="E11" s="477"/>
      <c r="F11" s="477"/>
      <c r="G11" s="477"/>
      <c r="H11" s="477"/>
      <c r="I11" s="477"/>
      <c r="J11" s="477"/>
      <c r="K11" s="477"/>
      <c r="L11" s="477"/>
      <c r="M11" s="477"/>
      <c r="N11" s="477"/>
      <c r="O11" s="477"/>
      <c r="P11" s="472"/>
      <c r="Q11" s="472"/>
    </row>
    <row r="12" spans="1:26" ht="20.100000000000001" customHeight="1">
      <c r="B12" s="572" t="s">
        <v>62</v>
      </c>
      <c r="C12" s="573"/>
      <c r="D12" s="573"/>
      <c r="E12" s="573"/>
      <c r="F12" s="573"/>
      <c r="G12" s="573"/>
      <c r="H12" s="573"/>
      <c r="I12" s="573"/>
      <c r="J12" s="573"/>
      <c r="K12" s="573"/>
      <c r="L12" s="573"/>
      <c r="M12" s="573"/>
      <c r="N12" s="573"/>
      <c r="O12" s="573"/>
      <c r="P12" s="472"/>
      <c r="Q12" s="472"/>
    </row>
    <row r="14" spans="1:26" ht="59.45" customHeight="1">
      <c r="B14" s="574" t="s">
        <v>63</v>
      </c>
      <c r="C14" s="575"/>
      <c r="D14" s="575"/>
      <c r="E14" s="576" t="s">
        <v>64</v>
      </c>
      <c r="F14" s="577"/>
      <c r="G14" s="577"/>
      <c r="H14" s="577"/>
      <c r="I14" s="577"/>
      <c r="J14" s="577"/>
      <c r="K14" s="577"/>
      <c r="L14" s="577"/>
      <c r="M14" s="577"/>
      <c r="N14" s="577"/>
      <c r="O14" s="578"/>
      <c r="P14" s="433"/>
      <c r="Q14" s="433"/>
    </row>
    <row r="15" spans="1:26" ht="26.1" customHeight="1">
      <c r="B15" s="558" t="s">
        <v>65</v>
      </c>
      <c r="C15" s="559"/>
      <c r="D15" s="559"/>
      <c r="E15" s="579" t="s">
        <v>66</v>
      </c>
      <c r="F15" s="580"/>
      <c r="G15" s="580"/>
      <c r="H15" s="580"/>
      <c r="I15" s="580"/>
      <c r="J15" s="580"/>
      <c r="K15" s="580"/>
      <c r="L15" s="580"/>
      <c r="M15" s="580"/>
      <c r="N15" s="580"/>
      <c r="O15" s="581"/>
      <c r="P15" s="433"/>
      <c r="Q15" s="433"/>
    </row>
    <row r="16" spans="1:26" ht="171" customHeight="1">
      <c r="A16" s="474"/>
      <c r="B16" s="558" t="s">
        <v>67</v>
      </c>
      <c r="C16" s="559"/>
      <c r="D16" s="559"/>
      <c r="E16" s="560" t="s">
        <v>68</v>
      </c>
      <c r="F16" s="561"/>
      <c r="G16" s="561"/>
      <c r="H16" s="561"/>
      <c r="I16" s="561"/>
      <c r="J16" s="561"/>
      <c r="K16" s="561"/>
      <c r="L16" s="561"/>
      <c r="M16" s="561"/>
      <c r="N16" s="561"/>
      <c r="O16" s="562"/>
      <c r="P16" s="433"/>
      <c r="Q16" s="433"/>
      <c r="Y16" s="478"/>
      <c r="Z16" s="478"/>
    </row>
    <row r="17" spans="1:17">
      <c r="A17" s="474"/>
      <c r="B17" s="563" t="s">
        <v>69</v>
      </c>
      <c r="C17" s="564"/>
      <c r="D17" s="564"/>
      <c r="E17" s="564"/>
      <c r="F17" s="564"/>
      <c r="G17" s="564"/>
      <c r="H17" s="564"/>
      <c r="I17" s="564"/>
      <c r="J17" s="564"/>
      <c r="K17" s="564"/>
      <c r="L17" s="564"/>
      <c r="M17" s="564"/>
      <c r="N17" s="564"/>
      <c r="O17" s="565"/>
      <c r="P17" s="433"/>
      <c r="Q17" s="433"/>
    </row>
    <row r="18" spans="1:17">
      <c r="A18" s="474"/>
      <c r="B18" s="479"/>
      <c r="G18" s="480"/>
      <c r="H18" s="480"/>
      <c r="I18" s="480"/>
      <c r="J18" s="480"/>
      <c r="K18" s="480"/>
      <c r="L18" s="480"/>
      <c r="M18" s="480"/>
      <c r="N18" s="480"/>
      <c r="O18" s="478"/>
      <c r="P18" s="433"/>
      <c r="Q18" s="433"/>
    </row>
    <row r="19" spans="1:17">
      <c r="A19" s="474"/>
      <c r="B19" s="566"/>
      <c r="C19" s="567"/>
      <c r="D19" s="567"/>
      <c r="E19" s="567"/>
      <c r="F19" s="567"/>
      <c r="G19" s="567"/>
      <c r="H19" s="567"/>
      <c r="I19" s="567"/>
      <c r="J19" s="567"/>
      <c r="K19" s="567"/>
      <c r="L19" s="567"/>
      <c r="M19" s="567"/>
      <c r="N19" s="567"/>
      <c r="O19" s="567"/>
      <c r="P19" s="433"/>
      <c r="Q19" s="433"/>
    </row>
    <row r="20" spans="1:17">
      <c r="A20" s="474"/>
      <c r="B20" s="567"/>
      <c r="C20" s="567"/>
      <c r="D20" s="567"/>
      <c r="E20" s="567"/>
      <c r="F20" s="567"/>
      <c r="G20" s="567"/>
      <c r="H20" s="567"/>
      <c r="I20" s="567"/>
      <c r="J20" s="567"/>
      <c r="K20" s="567"/>
      <c r="L20" s="567"/>
      <c r="M20" s="567"/>
      <c r="N20" s="567"/>
      <c r="O20" s="567"/>
      <c r="P20" s="433"/>
      <c r="Q20" s="433"/>
    </row>
    <row r="21" spans="1:17">
      <c r="A21" s="474"/>
      <c r="B21" s="567"/>
      <c r="C21" s="567"/>
      <c r="D21" s="567"/>
      <c r="E21" s="567"/>
      <c r="F21" s="567"/>
      <c r="G21" s="567"/>
      <c r="H21" s="567"/>
      <c r="I21" s="567"/>
      <c r="J21" s="567"/>
      <c r="K21" s="567"/>
      <c r="L21" s="567"/>
      <c r="M21" s="567"/>
      <c r="N21" s="567"/>
      <c r="O21" s="567"/>
      <c r="P21" s="433"/>
      <c r="Q21" s="433"/>
    </row>
    <row r="22" spans="1:17">
      <c r="A22" s="474"/>
      <c r="B22" s="443"/>
      <c r="C22" s="443"/>
      <c r="D22" s="443"/>
      <c r="E22" s="443"/>
      <c r="F22" s="443"/>
      <c r="G22" s="443"/>
      <c r="H22" s="443"/>
      <c r="I22" s="443"/>
      <c r="J22" s="443"/>
      <c r="K22" s="443"/>
      <c r="L22" s="443"/>
      <c r="M22" s="443"/>
      <c r="N22" s="443"/>
      <c r="O22" s="443"/>
      <c r="P22" s="433"/>
      <c r="Q22" s="433"/>
    </row>
    <row r="23" spans="1:17">
      <c r="A23" s="474"/>
      <c r="B23" s="481"/>
      <c r="G23" s="480"/>
      <c r="H23" s="480"/>
      <c r="I23" s="480"/>
      <c r="J23" s="480"/>
      <c r="K23" s="480"/>
      <c r="L23" s="480"/>
      <c r="M23" s="480"/>
      <c r="N23" s="480"/>
      <c r="O23" s="480"/>
      <c r="P23" s="433"/>
      <c r="Q23" s="433"/>
    </row>
  </sheetData>
  <mergeCells count="24">
    <mergeCell ref="B6:D6"/>
    <mergeCell ref="E6:O6"/>
    <mergeCell ref="B1:D3"/>
    <mergeCell ref="E1:O3"/>
    <mergeCell ref="P1:Q3"/>
    <mergeCell ref="B5:D5"/>
    <mergeCell ref="E5:O5"/>
    <mergeCell ref="B7:D7"/>
    <mergeCell ref="E7:O7"/>
    <mergeCell ref="B8:D8"/>
    <mergeCell ref="E8:O8"/>
    <mergeCell ref="B9:D9"/>
    <mergeCell ref="E9:O9"/>
    <mergeCell ref="B16:D16"/>
    <mergeCell ref="E16:O16"/>
    <mergeCell ref="B17:O17"/>
    <mergeCell ref="B19:O21"/>
    <mergeCell ref="B10:D10"/>
    <mergeCell ref="E10:O10"/>
    <mergeCell ref="B12:O12"/>
    <mergeCell ref="B14:D14"/>
    <mergeCell ref="E14:O14"/>
    <mergeCell ref="B15:D15"/>
    <mergeCell ref="E15:O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111"/>
  <sheetViews>
    <sheetView windowProtection="1" showGridLines="0" zoomScale="90" zoomScaleNormal="90" workbookViewId="0"/>
  </sheetViews>
  <sheetFormatPr baseColWidth="10" defaultColWidth="10.85546875" defaultRowHeight="15"/>
  <cols>
    <col min="1" max="1" width="53.7109375" style="433" customWidth="1"/>
    <col min="2" max="2" width="52.7109375" style="442" customWidth="1"/>
    <col min="3" max="3" width="34.42578125" style="442" customWidth="1"/>
    <col min="4" max="4" width="19.140625" style="443" customWidth="1"/>
    <col min="5" max="16384" width="10.85546875" style="433"/>
  </cols>
  <sheetData>
    <row r="2" spans="1:7" ht="18.75">
      <c r="B2" s="603" t="s">
        <v>70</v>
      </c>
      <c r="C2" s="603"/>
      <c r="D2" s="603"/>
      <c r="E2" s="604"/>
      <c r="F2" s="604"/>
      <c r="G2" s="604"/>
    </row>
    <row r="3" spans="1:7" ht="18.75">
      <c r="B3" s="434"/>
      <c r="C3" s="434"/>
      <c r="D3" s="421"/>
      <c r="E3" s="434"/>
      <c r="F3" s="434"/>
      <c r="G3" s="434"/>
    </row>
    <row r="4" spans="1:7">
      <c r="A4" s="435"/>
      <c r="B4" s="436"/>
      <c r="C4" s="436"/>
      <c r="D4" s="437"/>
    </row>
    <row r="5" spans="1:7" ht="32.1" customHeight="1">
      <c r="A5" s="438" t="s">
        <v>71</v>
      </c>
      <c r="B5" s="601" t="s">
        <v>72</v>
      </c>
      <c r="C5" s="602"/>
      <c r="D5" s="602"/>
      <c r="E5" s="602"/>
      <c r="F5" s="602"/>
      <c r="G5" s="602"/>
    </row>
    <row r="6" spans="1:7" s="435" customFormat="1" ht="57" customHeight="1">
      <c r="A6" s="439" t="s">
        <v>73</v>
      </c>
      <c r="B6" s="601" t="s">
        <v>74</v>
      </c>
      <c r="C6" s="602" t="s">
        <v>75</v>
      </c>
      <c r="D6" s="602" t="s">
        <v>76</v>
      </c>
      <c r="E6" s="602"/>
      <c r="F6" s="602"/>
      <c r="G6" s="602"/>
    </row>
    <row r="7" spans="1:7" s="435" customFormat="1" ht="73.5" customHeight="1">
      <c r="A7" s="438" t="s">
        <v>77</v>
      </c>
      <c r="B7" s="601" t="s">
        <v>78</v>
      </c>
      <c r="C7" s="602" t="s">
        <v>79</v>
      </c>
      <c r="D7" s="602" t="s">
        <v>80</v>
      </c>
      <c r="E7" s="602"/>
      <c r="F7" s="602"/>
      <c r="G7" s="602"/>
    </row>
    <row r="8" spans="1:7" s="435" customFormat="1" ht="79.5" customHeight="1">
      <c r="A8" s="439" t="s">
        <v>81</v>
      </c>
      <c r="B8" s="601" t="s">
        <v>82</v>
      </c>
      <c r="C8" s="602"/>
      <c r="D8" s="602"/>
      <c r="E8" s="602"/>
      <c r="F8" s="602"/>
      <c r="G8" s="602"/>
    </row>
    <row r="9" spans="1:7" s="435" customFormat="1" ht="33" customHeight="1">
      <c r="A9" s="439" t="s">
        <v>83</v>
      </c>
      <c r="B9" s="601" t="s">
        <v>84</v>
      </c>
      <c r="C9" s="602"/>
      <c r="D9" s="602"/>
      <c r="E9" s="602"/>
      <c r="F9" s="602"/>
      <c r="G9" s="602"/>
    </row>
    <row r="10" spans="1:7" ht="33.75" customHeight="1">
      <c r="A10" s="439" t="s">
        <v>85</v>
      </c>
      <c r="B10" s="599" t="s">
        <v>86</v>
      </c>
      <c r="C10" s="600"/>
      <c r="D10" s="600"/>
      <c r="E10" s="600"/>
      <c r="F10" s="600"/>
      <c r="G10" s="600"/>
    </row>
    <row r="11" spans="1:7" ht="47.25" customHeight="1">
      <c r="A11" s="439" t="s">
        <v>87</v>
      </c>
      <c r="B11" s="599" t="s">
        <v>88</v>
      </c>
      <c r="C11" s="600"/>
      <c r="D11" s="600"/>
      <c r="E11" s="600"/>
      <c r="F11" s="600"/>
      <c r="G11" s="600"/>
    </row>
    <row r="12" spans="1:7" ht="45" customHeight="1">
      <c r="A12" s="439" t="s">
        <v>89</v>
      </c>
      <c r="B12" s="601" t="s">
        <v>90</v>
      </c>
      <c r="C12" s="602"/>
      <c r="D12" s="602"/>
      <c r="E12" s="602"/>
      <c r="F12" s="602"/>
      <c r="G12" s="602"/>
    </row>
    <row r="13" spans="1:7" ht="32.450000000000003" customHeight="1">
      <c r="A13" s="439" t="s">
        <v>91</v>
      </c>
      <c r="B13" s="601" t="s">
        <v>92</v>
      </c>
      <c r="C13" s="602"/>
      <c r="D13" s="602"/>
      <c r="E13" s="602"/>
      <c r="F13" s="602"/>
      <c r="G13" s="602"/>
    </row>
    <row r="14" spans="1:7" ht="16.5" customHeight="1">
      <c r="A14" s="439" t="s">
        <v>93</v>
      </c>
      <c r="B14" s="601" t="s">
        <v>94</v>
      </c>
      <c r="C14" s="602"/>
      <c r="D14" s="602"/>
      <c r="E14" s="602"/>
      <c r="F14" s="602"/>
      <c r="G14" s="602"/>
    </row>
    <row r="15" spans="1:7" ht="29.25" customHeight="1">
      <c r="A15" s="439" t="s">
        <v>95</v>
      </c>
      <c r="B15" s="601" t="s">
        <v>96</v>
      </c>
      <c r="C15" s="602"/>
      <c r="D15" s="602"/>
      <c r="E15" s="602"/>
      <c r="F15" s="602"/>
      <c r="G15" s="602"/>
    </row>
    <row r="16" spans="1:7" ht="30" customHeight="1">
      <c r="A16" s="439" t="s">
        <v>97</v>
      </c>
      <c r="B16" s="601" t="s">
        <v>98</v>
      </c>
      <c r="C16" s="602"/>
      <c r="D16" s="602"/>
      <c r="E16" s="602"/>
      <c r="F16" s="602"/>
      <c r="G16" s="602"/>
    </row>
    <row r="17" spans="1:24" s="435" customFormat="1" ht="46.5" customHeight="1">
      <c r="A17" s="438" t="s">
        <v>99</v>
      </c>
      <c r="B17" s="601" t="s">
        <v>100</v>
      </c>
      <c r="C17" s="602"/>
      <c r="D17" s="602"/>
      <c r="E17" s="602"/>
      <c r="F17" s="602"/>
      <c r="G17" s="602"/>
    </row>
    <row r="18" spans="1:24" s="435" customFormat="1" ht="51.6" customHeight="1">
      <c r="A18" s="440" t="s">
        <v>101</v>
      </c>
      <c r="B18" s="601" t="s">
        <v>102</v>
      </c>
      <c r="C18" s="602"/>
      <c r="D18" s="602"/>
      <c r="E18" s="602"/>
      <c r="F18" s="602"/>
      <c r="G18" s="602"/>
    </row>
    <row r="19" spans="1:24" s="435" customFormat="1" ht="62.45" customHeight="1">
      <c r="A19" s="440" t="s">
        <v>103</v>
      </c>
      <c r="B19" s="601" t="s">
        <v>104</v>
      </c>
      <c r="C19" s="602"/>
      <c r="D19" s="602"/>
      <c r="E19" s="602"/>
      <c r="F19" s="602"/>
      <c r="G19" s="602"/>
    </row>
    <row r="20" spans="1:24" ht="43.5" customHeight="1">
      <c r="A20" s="440" t="s">
        <v>105</v>
      </c>
      <c r="B20" s="601" t="s">
        <v>106</v>
      </c>
      <c r="C20" s="602"/>
      <c r="D20" s="602"/>
      <c r="E20" s="602"/>
      <c r="F20" s="602"/>
      <c r="G20" s="602"/>
      <c r="I20" s="435"/>
      <c r="J20" s="435"/>
      <c r="K20" s="435"/>
      <c r="L20" s="435"/>
      <c r="M20" s="435"/>
      <c r="N20" s="435"/>
      <c r="O20" s="435"/>
      <c r="P20" s="435"/>
      <c r="Q20" s="435"/>
      <c r="R20" s="435"/>
      <c r="S20" s="435"/>
      <c r="T20" s="435"/>
      <c r="U20" s="435"/>
      <c r="V20" s="435"/>
      <c r="W20" s="435"/>
      <c r="X20" s="435"/>
    </row>
    <row r="21" spans="1:24" ht="66" customHeight="1">
      <c r="A21" s="440" t="s">
        <v>107</v>
      </c>
      <c r="B21" s="601" t="s">
        <v>108</v>
      </c>
      <c r="C21" s="602"/>
      <c r="D21" s="602"/>
      <c r="E21" s="602"/>
      <c r="F21" s="602"/>
      <c r="G21" s="602"/>
      <c r="I21" s="435"/>
      <c r="J21" s="435"/>
      <c r="K21" s="435"/>
      <c r="L21" s="435"/>
      <c r="M21" s="435"/>
      <c r="N21" s="435"/>
      <c r="O21" s="435"/>
      <c r="P21" s="435"/>
      <c r="Q21" s="435"/>
      <c r="R21" s="435"/>
      <c r="S21" s="435"/>
      <c r="T21" s="435"/>
      <c r="U21" s="435"/>
      <c r="V21" s="435"/>
      <c r="W21" s="435"/>
      <c r="X21" s="435"/>
    </row>
    <row r="22" spans="1:24" ht="48.75" customHeight="1">
      <c r="A22" s="440" t="s">
        <v>109</v>
      </c>
      <c r="B22" s="599" t="s">
        <v>110</v>
      </c>
      <c r="C22" s="600"/>
      <c r="D22" s="600"/>
      <c r="E22" s="600"/>
      <c r="F22" s="600"/>
      <c r="G22" s="600"/>
      <c r="I22" s="435"/>
      <c r="J22" s="435"/>
      <c r="K22" s="435"/>
      <c r="L22" s="435"/>
      <c r="M22" s="435"/>
      <c r="N22" s="435"/>
      <c r="O22" s="435"/>
      <c r="P22" s="435"/>
      <c r="Q22" s="435"/>
      <c r="R22" s="435"/>
      <c r="S22" s="435"/>
      <c r="T22" s="435"/>
      <c r="U22" s="435"/>
      <c r="V22" s="435"/>
      <c r="W22" s="435"/>
      <c r="X22" s="435"/>
    </row>
    <row r="23" spans="1:24" ht="36.950000000000003" customHeight="1">
      <c r="A23" s="440" t="s">
        <v>111</v>
      </c>
      <c r="B23" s="599" t="s">
        <v>112</v>
      </c>
      <c r="C23" s="600"/>
      <c r="D23" s="600"/>
      <c r="E23" s="600"/>
      <c r="F23" s="600"/>
      <c r="G23" s="600"/>
      <c r="I23" s="435"/>
      <c r="J23" s="435"/>
      <c r="K23" s="435"/>
      <c r="L23" s="435"/>
      <c r="M23" s="435"/>
      <c r="N23" s="435"/>
      <c r="O23" s="435"/>
      <c r="P23" s="435"/>
      <c r="Q23" s="435"/>
      <c r="R23" s="435"/>
      <c r="S23" s="435"/>
      <c r="T23" s="435"/>
      <c r="U23" s="435"/>
      <c r="V23" s="435"/>
      <c r="W23" s="435"/>
      <c r="X23" s="435"/>
    </row>
    <row r="24" spans="1:24" ht="60.6" customHeight="1">
      <c r="A24" s="440" t="s">
        <v>113</v>
      </c>
      <c r="B24" s="601" t="s">
        <v>114</v>
      </c>
      <c r="C24" s="602"/>
      <c r="D24" s="602"/>
      <c r="E24" s="602"/>
      <c r="F24" s="602"/>
      <c r="G24" s="602"/>
      <c r="I24" s="435"/>
      <c r="J24" s="435"/>
      <c r="K24" s="435"/>
      <c r="L24" s="435"/>
      <c r="M24" s="435"/>
      <c r="N24" s="435"/>
      <c r="O24" s="435"/>
      <c r="P24" s="435"/>
      <c r="Q24" s="435"/>
      <c r="R24" s="435"/>
      <c r="S24" s="435"/>
      <c r="T24" s="435"/>
      <c r="U24" s="435"/>
      <c r="V24" s="435"/>
      <c r="W24" s="435"/>
      <c r="X24" s="435"/>
    </row>
    <row r="25" spans="1:24" ht="44.45" customHeight="1">
      <c r="A25" s="440" t="s">
        <v>115</v>
      </c>
      <c r="B25" s="601" t="s">
        <v>116</v>
      </c>
      <c r="C25" s="602"/>
      <c r="D25" s="602"/>
      <c r="E25" s="602"/>
      <c r="F25" s="602"/>
      <c r="G25" s="602"/>
      <c r="I25" s="435"/>
      <c r="J25" s="435"/>
      <c r="K25" s="435"/>
      <c r="L25" s="435"/>
      <c r="M25" s="435"/>
      <c r="N25" s="435"/>
      <c r="O25" s="435"/>
      <c r="P25" s="435"/>
      <c r="Q25" s="435"/>
      <c r="R25" s="435"/>
      <c r="S25" s="435"/>
      <c r="T25" s="435"/>
      <c r="U25" s="435"/>
      <c r="V25" s="435"/>
      <c r="W25" s="435"/>
      <c r="X25" s="435"/>
    </row>
    <row r="26" spans="1:24" ht="48" customHeight="1">
      <c r="A26" s="440" t="s">
        <v>117</v>
      </c>
      <c r="B26" s="601" t="s">
        <v>118</v>
      </c>
      <c r="C26" s="602"/>
      <c r="D26" s="602"/>
      <c r="E26" s="602"/>
      <c r="F26" s="602"/>
      <c r="G26" s="602"/>
      <c r="I26" s="435"/>
      <c r="J26" s="435"/>
      <c r="K26" s="435"/>
      <c r="L26" s="435"/>
      <c r="M26" s="435"/>
      <c r="N26" s="435"/>
      <c r="O26" s="435"/>
      <c r="P26" s="435"/>
      <c r="Q26" s="435"/>
      <c r="R26" s="435"/>
      <c r="S26" s="435"/>
      <c r="T26" s="435"/>
      <c r="U26" s="435"/>
      <c r="V26" s="435"/>
      <c r="W26" s="435"/>
      <c r="X26" s="435"/>
    </row>
    <row r="27" spans="1:24" ht="45.95" customHeight="1">
      <c r="A27" s="440" t="s">
        <v>119</v>
      </c>
      <c r="B27" s="601" t="s">
        <v>120</v>
      </c>
      <c r="C27" s="602"/>
      <c r="D27" s="602"/>
      <c r="E27" s="602"/>
      <c r="F27" s="602"/>
      <c r="G27" s="602"/>
      <c r="I27" s="435"/>
      <c r="J27" s="435"/>
      <c r="K27" s="435"/>
      <c r="L27" s="435"/>
      <c r="M27" s="435"/>
      <c r="N27" s="435"/>
      <c r="O27" s="435"/>
      <c r="P27" s="435"/>
      <c r="Q27" s="435"/>
      <c r="R27" s="435"/>
      <c r="S27" s="435"/>
      <c r="T27" s="435"/>
      <c r="U27" s="435"/>
      <c r="V27" s="435"/>
      <c r="W27" s="435"/>
      <c r="X27" s="435"/>
    </row>
    <row r="28" spans="1:24" ht="48.6" customHeight="1">
      <c r="A28" s="440" t="s">
        <v>121</v>
      </c>
      <c r="B28" s="601" t="s">
        <v>122</v>
      </c>
      <c r="C28" s="602"/>
      <c r="D28" s="602"/>
      <c r="E28" s="602"/>
      <c r="F28" s="602"/>
      <c r="G28" s="602"/>
      <c r="I28" s="435"/>
      <c r="J28" s="435"/>
      <c r="K28" s="435"/>
      <c r="L28" s="435"/>
      <c r="M28" s="435"/>
      <c r="N28" s="435"/>
      <c r="O28" s="435"/>
      <c r="P28" s="435"/>
      <c r="Q28" s="435"/>
      <c r="R28" s="435"/>
      <c r="S28" s="435"/>
      <c r="T28" s="435"/>
      <c r="U28" s="435"/>
      <c r="V28" s="435"/>
      <c r="W28" s="435"/>
      <c r="X28" s="435"/>
    </row>
    <row r="29" spans="1:24" ht="51.6" customHeight="1">
      <c r="A29" s="440" t="s">
        <v>123</v>
      </c>
      <c r="B29" s="601" t="s">
        <v>124</v>
      </c>
      <c r="C29" s="602"/>
      <c r="D29" s="602"/>
      <c r="E29" s="602"/>
      <c r="F29" s="602"/>
      <c r="G29" s="602"/>
      <c r="I29" s="435"/>
      <c r="J29" s="435"/>
      <c r="K29" s="435"/>
      <c r="L29" s="435"/>
      <c r="M29" s="435"/>
      <c r="N29" s="435"/>
      <c r="O29" s="435"/>
      <c r="P29" s="435"/>
      <c r="Q29" s="435"/>
      <c r="R29" s="435"/>
      <c r="S29" s="435"/>
      <c r="T29" s="435"/>
      <c r="U29" s="435"/>
      <c r="V29" s="435"/>
      <c r="W29" s="435"/>
      <c r="X29" s="435"/>
    </row>
    <row r="30" spans="1:24">
      <c r="A30" s="441"/>
    </row>
    <row r="31" spans="1:24">
      <c r="A31" s="444" t="s">
        <v>125</v>
      </c>
      <c r="B31" s="433"/>
      <c r="C31" s="433"/>
      <c r="D31" s="445"/>
    </row>
    <row r="32" spans="1:24" ht="30.75" customHeight="1">
      <c r="A32" s="441" t="s">
        <v>126</v>
      </c>
      <c r="B32" s="599" t="s">
        <v>127</v>
      </c>
      <c r="C32" s="600"/>
      <c r="D32" s="600"/>
      <c r="E32" s="600"/>
      <c r="F32" s="600"/>
      <c r="G32" s="600"/>
    </row>
    <row r="33" spans="1:7" ht="32.25" customHeight="1">
      <c r="A33" s="440" t="s">
        <v>128</v>
      </c>
      <c r="B33" s="599" t="s">
        <v>129</v>
      </c>
      <c r="C33" s="600"/>
      <c r="D33" s="600"/>
      <c r="E33" s="600"/>
      <c r="F33" s="600"/>
      <c r="G33" s="600"/>
    </row>
    <row r="34" spans="1:7" ht="33" customHeight="1">
      <c r="A34" s="440" t="s">
        <v>130</v>
      </c>
      <c r="B34" s="599" t="s">
        <v>131</v>
      </c>
      <c r="C34" s="600"/>
      <c r="D34" s="600"/>
      <c r="E34" s="600"/>
      <c r="F34" s="600"/>
      <c r="G34" s="600"/>
    </row>
    <row r="35" spans="1:7">
      <c r="B35" s="433"/>
      <c r="C35" s="433"/>
    </row>
    <row r="36" spans="1:7">
      <c r="A36" s="446" t="s">
        <v>132</v>
      </c>
      <c r="B36" s="433"/>
      <c r="C36" s="433"/>
      <c r="D36" s="445"/>
    </row>
    <row r="37" spans="1:7" ht="91.5" customHeight="1">
      <c r="A37" s="440" t="s">
        <v>133</v>
      </c>
      <c r="B37" s="599" t="s">
        <v>134</v>
      </c>
      <c r="C37" s="600"/>
      <c r="D37" s="600"/>
      <c r="E37" s="600"/>
      <c r="F37" s="600"/>
      <c r="G37" s="600"/>
    </row>
    <row r="38" spans="1:7" ht="48" customHeight="1">
      <c r="A38" s="440" t="s">
        <v>135</v>
      </c>
      <c r="B38" s="599" t="s">
        <v>136</v>
      </c>
      <c r="C38" s="600"/>
      <c r="D38" s="600"/>
      <c r="E38" s="600"/>
      <c r="F38" s="600"/>
      <c r="G38" s="600"/>
    </row>
    <row r="39" spans="1:7" ht="50.25" customHeight="1">
      <c r="A39" s="440" t="s">
        <v>137</v>
      </c>
      <c r="B39" s="599" t="s">
        <v>138</v>
      </c>
      <c r="C39" s="600"/>
      <c r="D39" s="600"/>
      <c r="E39" s="600"/>
      <c r="F39" s="600"/>
      <c r="G39" s="600"/>
    </row>
    <row r="40" spans="1:7" ht="45.75" customHeight="1">
      <c r="A40" s="440" t="s">
        <v>139</v>
      </c>
      <c r="B40" s="599" t="s">
        <v>140</v>
      </c>
      <c r="C40" s="600"/>
      <c r="D40" s="600"/>
      <c r="E40" s="600"/>
      <c r="F40" s="600"/>
      <c r="G40" s="600"/>
    </row>
    <row r="41" spans="1:7" ht="60" customHeight="1">
      <c r="A41" s="440" t="s">
        <v>141</v>
      </c>
      <c r="B41" s="599" t="s">
        <v>142</v>
      </c>
      <c r="C41" s="600"/>
      <c r="D41" s="600"/>
      <c r="E41" s="600"/>
      <c r="F41" s="600"/>
      <c r="G41" s="600"/>
    </row>
    <row r="42" spans="1:7" ht="65.45" customHeight="1">
      <c r="A42" s="440" t="s">
        <v>143</v>
      </c>
      <c r="B42" s="599" t="s">
        <v>144</v>
      </c>
      <c r="C42" s="600"/>
      <c r="D42" s="600"/>
      <c r="E42" s="600"/>
      <c r="F42" s="600"/>
      <c r="G42" s="600"/>
    </row>
    <row r="43" spans="1:7" ht="42.75" customHeight="1">
      <c r="A43" s="440" t="s">
        <v>145</v>
      </c>
      <c r="B43" s="599" t="s">
        <v>146</v>
      </c>
      <c r="C43" s="600"/>
      <c r="D43" s="600"/>
      <c r="E43" s="600"/>
      <c r="F43" s="600"/>
      <c r="G43" s="600"/>
    </row>
    <row r="44" spans="1:7" ht="46.5" customHeight="1">
      <c r="A44" s="440" t="s">
        <v>147</v>
      </c>
      <c r="B44" s="599" t="s">
        <v>148</v>
      </c>
      <c r="C44" s="600"/>
      <c r="D44" s="600"/>
      <c r="E44" s="600"/>
      <c r="F44" s="600"/>
      <c r="G44" s="600"/>
    </row>
    <row r="45" spans="1:7" ht="45.95" customHeight="1">
      <c r="A45" s="440" t="s">
        <v>149</v>
      </c>
      <c r="B45" s="599" t="s">
        <v>150</v>
      </c>
      <c r="C45" s="600"/>
      <c r="D45" s="600"/>
      <c r="E45" s="600"/>
      <c r="F45" s="600"/>
      <c r="G45" s="600"/>
    </row>
    <row r="46" spans="1:7" ht="45" customHeight="1">
      <c r="A46" s="440" t="s">
        <v>151</v>
      </c>
      <c r="B46" s="599" t="s">
        <v>152</v>
      </c>
      <c r="C46" s="600"/>
      <c r="D46" s="600"/>
      <c r="E46" s="600"/>
      <c r="F46" s="600"/>
      <c r="G46" s="600"/>
    </row>
    <row r="47" spans="1:7" ht="33.75" customHeight="1">
      <c r="A47" s="440" t="s">
        <v>153</v>
      </c>
      <c r="B47" s="599" t="s">
        <v>154</v>
      </c>
      <c r="C47" s="600"/>
      <c r="D47" s="600"/>
      <c r="E47" s="600"/>
      <c r="F47" s="600"/>
      <c r="G47" s="600"/>
    </row>
    <row r="48" spans="1:7" s="442" customFormat="1" ht="34.5" customHeight="1">
      <c r="A48" s="440" t="s">
        <v>155</v>
      </c>
      <c r="B48" s="599" t="s">
        <v>156</v>
      </c>
      <c r="C48" s="600"/>
      <c r="D48" s="600"/>
      <c r="E48" s="600"/>
      <c r="F48" s="600"/>
      <c r="G48" s="600"/>
    </row>
    <row r="49" spans="1:7" s="442" customFormat="1" ht="30.6" customHeight="1">
      <c r="A49" s="440" t="s">
        <v>157</v>
      </c>
      <c r="B49" s="599" t="s">
        <v>158</v>
      </c>
      <c r="C49" s="600"/>
      <c r="D49" s="600"/>
      <c r="E49" s="600"/>
      <c r="F49" s="600"/>
      <c r="G49" s="600"/>
    </row>
    <row r="50" spans="1:7" s="442" customFormat="1" ht="32.25" customHeight="1">
      <c r="A50" s="440" t="s">
        <v>159</v>
      </c>
      <c r="B50" s="599" t="s">
        <v>160</v>
      </c>
      <c r="C50" s="600"/>
      <c r="D50" s="600"/>
      <c r="E50" s="600"/>
      <c r="F50" s="600"/>
      <c r="G50" s="600"/>
    </row>
    <row r="51" spans="1:7" s="442" customFormat="1" ht="32.25" customHeight="1">
      <c r="A51" s="440" t="s">
        <v>161</v>
      </c>
      <c r="B51" s="599" t="s">
        <v>162</v>
      </c>
      <c r="C51" s="600"/>
      <c r="D51" s="600"/>
      <c r="E51" s="600"/>
      <c r="F51" s="600"/>
      <c r="G51" s="600"/>
    </row>
    <row r="52" spans="1:7" s="442" customFormat="1">
      <c r="A52" s="440"/>
      <c r="B52" s="447"/>
      <c r="C52" s="447"/>
      <c r="D52" s="448"/>
      <c r="E52" s="449"/>
      <c r="F52" s="449"/>
      <c r="G52" s="449"/>
    </row>
    <row r="53" spans="1:7" s="442" customFormat="1">
      <c r="A53" s="450" t="s">
        <v>163</v>
      </c>
      <c r="B53" s="447"/>
      <c r="C53" s="447"/>
      <c r="D53" s="448"/>
      <c r="E53" s="449"/>
      <c r="F53" s="449"/>
      <c r="G53" s="449"/>
    </row>
    <row r="54" spans="1:7" s="442" customFormat="1" ht="48" customHeight="1">
      <c r="A54" s="440" t="s">
        <v>164</v>
      </c>
      <c r="B54" s="594" t="s">
        <v>165</v>
      </c>
      <c r="C54" s="595"/>
      <c r="D54" s="595"/>
      <c r="E54" s="595"/>
      <c r="F54" s="595"/>
      <c r="G54" s="595"/>
    </row>
    <row r="55" spans="1:7" s="442" customFormat="1" ht="45" customHeight="1">
      <c r="A55" s="440" t="s">
        <v>166</v>
      </c>
      <c r="B55" s="594" t="s">
        <v>167</v>
      </c>
      <c r="C55" s="595"/>
      <c r="D55" s="595"/>
      <c r="E55" s="595"/>
      <c r="F55" s="595"/>
      <c r="G55" s="595"/>
    </row>
    <row r="56" spans="1:7" s="442" customFormat="1" ht="51" customHeight="1">
      <c r="A56" s="440" t="s">
        <v>168</v>
      </c>
      <c r="B56" s="594" t="s">
        <v>169</v>
      </c>
      <c r="C56" s="595"/>
      <c r="D56" s="595"/>
      <c r="E56" s="595"/>
      <c r="F56" s="595"/>
      <c r="G56" s="595"/>
    </row>
    <row r="57" spans="1:7">
      <c r="B57" s="447"/>
      <c r="C57" s="447"/>
      <c r="D57" s="448"/>
      <c r="E57" s="449"/>
      <c r="F57" s="449"/>
      <c r="G57" s="449"/>
    </row>
    <row r="58" spans="1:7" s="442" customFormat="1">
      <c r="A58" s="450" t="s">
        <v>170</v>
      </c>
      <c r="B58" s="447"/>
      <c r="C58" s="447"/>
      <c r="D58" s="448"/>
      <c r="E58" s="449"/>
      <c r="F58" s="449"/>
      <c r="G58" s="449"/>
    </row>
    <row r="59" spans="1:7" s="442" customFormat="1" ht="33.6" customHeight="1">
      <c r="A59" s="440" t="s">
        <v>171</v>
      </c>
      <c r="B59" s="594" t="s">
        <v>172</v>
      </c>
      <c r="C59" s="595"/>
      <c r="D59" s="595"/>
      <c r="E59" s="595"/>
      <c r="F59" s="595"/>
      <c r="G59" s="595"/>
    </row>
    <row r="60" spans="1:7" s="442" customFormat="1" ht="26.45" customHeight="1">
      <c r="B60" s="447"/>
      <c r="C60" s="447"/>
      <c r="D60" s="447"/>
      <c r="E60" s="447"/>
      <c r="F60" s="447"/>
      <c r="G60" s="447"/>
    </row>
    <row r="61" spans="1:7" s="442" customFormat="1">
      <c r="A61" s="450" t="s">
        <v>173</v>
      </c>
      <c r="B61" s="447"/>
      <c r="C61" s="447"/>
      <c r="D61" s="447"/>
      <c r="E61" s="447"/>
      <c r="F61" s="447"/>
      <c r="G61" s="447"/>
    </row>
    <row r="62" spans="1:7" s="442" customFormat="1" ht="33.75" customHeight="1">
      <c r="A62" s="440" t="s">
        <v>174</v>
      </c>
      <c r="B62" s="594" t="s">
        <v>175</v>
      </c>
      <c r="C62" s="595"/>
      <c r="D62" s="595"/>
      <c r="E62" s="595"/>
      <c r="F62" s="595"/>
      <c r="G62" s="595"/>
    </row>
    <row r="63" spans="1:7" s="442" customFormat="1" ht="36" customHeight="1">
      <c r="A63" s="440" t="s">
        <v>176</v>
      </c>
      <c r="B63" s="594" t="s">
        <v>177</v>
      </c>
      <c r="C63" s="595"/>
      <c r="D63" s="595"/>
      <c r="E63" s="595"/>
      <c r="F63" s="595"/>
      <c r="G63" s="595"/>
    </row>
    <row r="64" spans="1:7" s="442" customFormat="1">
      <c r="A64" s="440" t="s">
        <v>178</v>
      </c>
      <c r="B64" s="594" t="s">
        <v>179</v>
      </c>
      <c r="C64" s="595"/>
      <c r="D64" s="595"/>
      <c r="E64" s="595"/>
      <c r="F64" s="595"/>
      <c r="G64" s="595"/>
    </row>
    <row r="65" spans="1:16384" s="442" customFormat="1">
      <c r="A65" s="440" t="s">
        <v>180</v>
      </c>
      <c r="B65" s="594" t="s">
        <v>181</v>
      </c>
      <c r="C65" s="595"/>
      <c r="D65" s="595"/>
      <c r="E65" s="595"/>
      <c r="F65" s="595"/>
      <c r="G65" s="595"/>
    </row>
    <row r="66" spans="1:16384" s="442" customFormat="1" ht="37.5" customHeight="1">
      <c r="A66" s="440" t="s">
        <v>182</v>
      </c>
      <c r="B66" s="594" t="s">
        <v>183</v>
      </c>
      <c r="C66" s="595"/>
      <c r="D66" s="595"/>
      <c r="E66" s="595"/>
      <c r="F66" s="595"/>
      <c r="G66" s="595"/>
    </row>
    <row r="67" spans="1:16384" s="442" customFormat="1">
      <c r="B67" s="447"/>
      <c r="C67" s="447"/>
      <c r="D67" s="447"/>
      <c r="E67" s="447"/>
      <c r="F67" s="447"/>
      <c r="G67" s="447"/>
    </row>
    <row r="68" spans="1:16384" s="442" customFormat="1" ht="21.95" customHeight="1">
      <c r="A68" s="450" t="s">
        <v>184</v>
      </c>
      <c r="B68" s="447"/>
      <c r="C68" s="447"/>
      <c r="D68" s="447"/>
      <c r="E68" s="447"/>
      <c r="F68" s="447"/>
      <c r="G68" s="447"/>
    </row>
    <row r="69" spans="1:16384" s="442" customFormat="1">
      <c r="A69" s="440" t="s">
        <v>185</v>
      </c>
      <c r="B69" s="594" t="s">
        <v>186</v>
      </c>
      <c r="C69" s="595"/>
      <c r="D69" s="595"/>
      <c r="E69" s="595"/>
      <c r="F69" s="595"/>
      <c r="G69" s="595"/>
    </row>
    <row r="70" spans="1:16384" s="442" customFormat="1" ht="50.45" customHeight="1">
      <c r="A70" s="440" t="s">
        <v>187</v>
      </c>
      <c r="B70" s="594" t="s">
        <v>188</v>
      </c>
      <c r="C70" s="595"/>
      <c r="D70" s="595"/>
      <c r="E70" s="595"/>
      <c r="F70" s="595"/>
      <c r="G70" s="595"/>
    </row>
    <row r="71" spans="1:16384" s="442" customFormat="1">
      <c r="A71" s="440" t="s">
        <v>189</v>
      </c>
      <c r="B71" s="594" t="s">
        <v>190</v>
      </c>
      <c r="C71" s="595"/>
      <c r="D71" s="595"/>
      <c r="E71" s="595"/>
      <c r="F71" s="595"/>
      <c r="G71" s="595"/>
    </row>
    <row r="72" spans="1:16384">
      <c r="B72" s="447"/>
      <c r="C72" s="447"/>
      <c r="D72" s="448"/>
      <c r="E72" s="449"/>
      <c r="F72" s="449"/>
      <c r="G72" s="449"/>
    </row>
    <row r="73" spans="1:16384" s="442" customFormat="1">
      <c r="A73" s="451" t="s">
        <v>191</v>
      </c>
      <c r="B73" s="447"/>
      <c r="C73" s="447"/>
      <c r="D73" s="448"/>
      <c r="E73" s="449"/>
      <c r="F73" s="449"/>
      <c r="G73" s="449"/>
    </row>
    <row r="74" spans="1:16384" s="442" customFormat="1" ht="38.450000000000003" customHeight="1">
      <c r="A74" s="440" t="s">
        <v>192</v>
      </c>
      <c r="B74" s="594" t="s">
        <v>193</v>
      </c>
      <c r="C74" s="595"/>
      <c r="D74" s="595"/>
      <c r="E74" s="595"/>
      <c r="F74" s="595"/>
      <c r="G74" s="595"/>
    </row>
    <row r="75" spans="1:16384" s="442" customFormat="1" ht="31.5" customHeight="1">
      <c r="A75" s="452" t="s">
        <v>194</v>
      </c>
      <c r="B75" s="594" t="s">
        <v>195</v>
      </c>
      <c r="C75" s="595"/>
      <c r="D75" s="595"/>
      <c r="E75" s="595"/>
      <c r="F75" s="595"/>
      <c r="G75" s="595"/>
    </row>
    <row r="76" spans="1:16384" s="442" customFormat="1" ht="29.25" customHeight="1">
      <c r="A76" s="452" t="s">
        <v>196</v>
      </c>
      <c r="B76" s="594" t="s">
        <v>197</v>
      </c>
      <c r="C76" s="595"/>
      <c r="D76" s="595"/>
      <c r="E76" s="595"/>
      <c r="F76" s="595"/>
      <c r="G76" s="595"/>
    </row>
    <row r="77" spans="1:16384" s="442" customFormat="1" ht="32.25" customHeight="1">
      <c r="A77" s="452" t="s">
        <v>198</v>
      </c>
      <c r="B77" s="594" t="s">
        <v>199</v>
      </c>
      <c r="C77" s="594"/>
      <c r="D77" s="594"/>
      <c r="E77" s="594"/>
      <c r="F77" s="594"/>
      <c r="G77" s="594"/>
      <c r="H77" s="453"/>
      <c r="I77" s="597"/>
      <c r="J77" s="598"/>
      <c r="K77" s="598"/>
      <c r="L77" s="598"/>
      <c r="M77" s="598"/>
      <c r="N77" s="598"/>
      <c r="O77" s="453"/>
      <c r="P77" s="597"/>
      <c r="Q77" s="598"/>
      <c r="R77" s="598"/>
      <c r="S77" s="598"/>
      <c r="T77" s="598"/>
      <c r="U77" s="598"/>
      <c r="V77" s="453"/>
      <c r="W77" s="597"/>
      <c r="X77" s="598"/>
      <c r="Y77" s="598"/>
      <c r="Z77" s="598"/>
      <c r="AA77" s="598"/>
      <c r="AB77" s="598"/>
      <c r="AC77" s="453"/>
      <c r="AD77" s="597"/>
      <c r="AE77" s="598"/>
      <c r="AF77" s="598"/>
      <c r="AG77" s="598"/>
      <c r="AH77" s="598"/>
      <c r="AI77" s="598"/>
      <c r="AJ77" s="453"/>
      <c r="AK77" s="597"/>
      <c r="AL77" s="598"/>
      <c r="AM77" s="598"/>
      <c r="AN77" s="598"/>
      <c r="AO77" s="598"/>
      <c r="AP77" s="598"/>
      <c r="AQ77" s="453"/>
      <c r="AR77" s="597"/>
      <c r="AS77" s="598"/>
      <c r="AT77" s="598"/>
      <c r="AU77" s="598"/>
      <c r="AV77" s="598"/>
      <c r="AW77" s="598"/>
      <c r="AX77" s="453"/>
      <c r="AY77" s="597"/>
      <c r="AZ77" s="598"/>
      <c r="BA77" s="598"/>
      <c r="BB77" s="598"/>
      <c r="BC77" s="598"/>
      <c r="BD77" s="598"/>
      <c r="BE77" s="454"/>
      <c r="BF77" s="596"/>
      <c r="BG77" s="548"/>
      <c r="BH77" s="548"/>
      <c r="BI77" s="548"/>
      <c r="BJ77" s="548"/>
      <c r="BK77" s="548"/>
      <c r="BL77" s="452"/>
      <c r="BM77" s="596"/>
      <c r="BN77" s="548"/>
      <c r="BO77" s="548"/>
      <c r="BP77" s="548"/>
      <c r="BQ77" s="548"/>
      <c r="BR77" s="548"/>
      <c r="BS77" s="452"/>
      <c r="BT77" s="596"/>
      <c r="BU77" s="548"/>
      <c r="BV77" s="548"/>
      <c r="BW77" s="548"/>
      <c r="BX77" s="548"/>
      <c r="BY77" s="548"/>
      <c r="BZ77" s="452"/>
      <c r="CA77" s="596"/>
      <c r="CB77" s="548"/>
      <c r="CC77" s="548"/>
      <c r="CD77" s="548"/>
      <c r="CE77" s="548"/>
      <c r="CF77" s="548"/>
      <c r="CG77" s="452"/>
      <c r="CH77" s="596"/>
      <c r="CI77" s="548"/>
      <c r="CJ77" s="548"/>
      <c r="CK77" s="548"/>
      <c r="CL77" s="548"/>
      <c r="CM77" s="548"/>
      <c r="CN77" s="452"/>
      <c r="CO77" s="596"/>
      <c r="CP77" s="548"/>
      <c r="CQ77" s="548"/>
      <c r="CR77" s="548"/>
      <c r="CS77" s="548"/>
      <c r="CT77" s="548"/>
      <c r="CU77" s="452"/>
      <c r="CV77" s="596"/>
      <c r="CW77" s="548"/>
      <c r="CX77" s="548"/>
      <c r="CY77" s="548"/>
      <c r="CZ77" s="548"/>
      <c r="DA77" s="548"/>
      <c r="DB77" s="452"/>
      <c r="DC77" s="596"/>
      <c r="DD77" s="548"/>
      <c r="DE77" s="548"/>
      <c r="DF77" s="548"/>
      <c r="DG77" s="548"/>
      <c r="DH77" s="548"/>
      <c r="DI77" s="452"/>
      <c r="DJ77" s="596"/>
      <c r="DK77" s="548"/>
      <c r="DL77" s="548"/>
      <c r="DM77" s="548"/>
      <c r="DN77" s="548"/>
      <c r="DO77" s="548"/>
      <c r="DP77" s="452"/>
      <c r="DQ77" s="596"/>
      <c r="DR77" s="548"/>
      <c r="DS77" s="548"/>
      <c r="DT77" s="548"/>
      <c r="DU77" s="548"/>
      <c r="DV77" s="548"/>
      <c r="DW77" s="452"/>
      <c r="DX77" s="596"/>
      <c r="DY77" s="548"/>
      <c r="DZ77" s="548"/>
      <c r="EA77" s="548"/>
      <c r="EB77" s="548"/>
      <c r="EC77" s="548"/>
      <c r="ED77" s="452"/>
      <c r="EE77" s="596"/>
      <c r="EF77" s="548"/>
      <c r="EG77" s="548"/>
      <c r="EH77" s="548"/>
      <c r="EI77" s="548"/>
      <c r="EJ77" s="548"/>
      <c r="EK77" s="452"/>
      <c r="EL77" s="596"/>
      <c r="EM77" s="548"/>
      <c r="EN77" s="548"/>
      <c r="EO77" s="548"/>
      <c r="EP77" s="548"/>
      <c r="EQ77" s="548"/>
      <c r="ER77" s="452"/>
      <c r="ES77" s="596"/>
      <c r="ET77" s="548"/>
      <c r="EU77" s="548"/>
      <c r="EV77" s="548"/>
      <c r="EW77" s="548"/>
      <c r="EX77" s="548"/>
      <c r="EY77" s="452"/>
      <c r="EZ77" s="596"/>
      <c r="FA77" s="548"/>
      <c r="FB77" s="548"/>
      <c r="FC77" s="548"/>
      <c r="FD77" s="548"/>
      <c r="FE77" s="548"/>
      <c r="FF77" s="452"/>
      <c r="FG77" s="596"/>
      <c r="FH77" s="548"/>
      <c r="FI77" s="548"/>
      <c r="FJ77" s="548"/>
      <c r="FK77" s="548"/>
      <c r="FL77" s="548"/>
      <c r="FM77" s="452"/>
      <c r="FN77" s="596"/>
      <c r="FO77" s="548"/>
      <c r="FP77" s="548"/>
      <c r="FQ77" s="548"/>
      <c r="FR77" s="548"/>
      <c r="FS77" s="548"/>
      <c r="FT77" s="452"/>
      <c r="FU77" s="596"/>
      <c r="FV77" s="548"/>
      <c r="FW77" s="548"/>
      <c r="FX77" s="548"/>
      <c r="FY77" s="548"/>
      <c r="FZ77" s="548"/>
      <c r="GA77" s="452"/>
      <c r="GB77" s="596"/>
      <c r="GC77" s="548"/>
      <c r="GD77" s="548"/>
      <c r="GE77" s="548"/>
      <c r="GF77" s="548"/>
      <c r="GG77" s="548"/>
      <c r="GH77" s="452"/>
      <c r="GI77" s="596"/>
      <c r="GJ77" s="548"/>
      <c r="GK77" s="548"/>
      <c r="GL77" s="548"/>
      <c r="GM77" s="548"/>
      <c r="GN77" s="548"/>
      <c r="GO77" s="452"/>
      <c r="GP77" s="596"/>
      <c r="GQ77" s="548"/>
      <c r="GR77" s="548"/>
      <c r="GS77" s="548"/>
      <c r="GT77" s="548"/>
      <c r="GU77" s="548"/>
      <c r="GV77" s="452"/>
      <c r="GW77" s="596"/>
      <c r="GX77" s="548"/>
      <c r="GY77" s="548"/>
      <c r="GZ77" s="548"/>
      <c r="HA77" s="548"/>
      <c r="HB77" s="548"/>
      <c r="HC77" s="452"/>
      <c r="HD77" s="596"/>
      <c r="HE77" s="548"/>
      <c r="HF77" s="548"/>
      <c r="HG77" s="548"/>
      <c r="HH77" s="548"/>
      <c r="HI77" s="548"/>
      <c r="HJ77" s="452"/>
      <c r="HK77" s="596"/>
      <c r="HL77" s="548"/>
      <c r="HM77" s="548"/>
      <c r="HN77" s="548"/>
      <c r="HO77" s="548"/>
      <c r="HP77" s="548"/>
      <c r="HQ77" s="452"/>
      <c r="HR77" s="596"/>
      <c r="HS77" s="548"/>
      <c r="HT77" s="548"/>
      <c r="HU77" s="548"/>
      <c r="HV77" s="548"/>
      <c r="HW77" s="548"/>
      <c r="HX77" s="452"/>
      <c r="HY77" s="596"/>
      <c r="HZ77" s="548"/>
      <c r="IA77" s="548"/>
      <c r="IB77" s="548"/>
      <c r="IC77" s="548"/>
      <c r="ID77" s="548"/>
      <c r="IE77" s="452"/>
      <c r="IF77" s="596"/>
      <c r="IG77" s="548"/>
      <c r="IH77" s="548"/>
      <c r="II77" s="548"/>
      <c r="IJ77" s="548"/>
      <c r="IK77" s="548"/>
      <c r="IL77" s="452"/>
      <c r="IM77" s="596"/>
      <c r="IN77" s="548"/>
      <c r="IO77" s="548"/>
      <c r="IP77" s="548"/>
      <c r="IQ77" s="548"/>
      <c r="IR77" s="548"/>
      <c r="IS77" s="452"/>
      <c r="IT77" s="596"/>
      <c r="IU77" s="548"/>
      <c r="IV77" s="548"/>
      <c r="IW77" s="548"/>
      <c r="IX77" s="548"/>
      <c r="IY77" s="548"/>
      <c r="IZ77" s="452"/>
      <c r="JA77" s="596"/>
      <c r="JB77" s="548"/>
      <c r="JC77" s="548"/>
      <c r="JD77" s="548"/>
      <c r="JE77" s="548"/>
      <c r="JF77" s="548"/>
      <c r="JG77" s="452"/>
      <c r="JH77" s="596"/>
      <c r="JI77" s="548"/>
      <c r="JJ77" s="548"/>
      <c r="JK77" s="548"/>
      <c r="JL77" s="548"/>
      <c r="JM77" s="548"/>
      <c r="JN77" s="452"/>
      <c r="JO77" s="596"/>
      <c r="JP77" s="548"/>
      <c r="JQ77" s="548"/>
      <c r="JR77" s="548"/>
      <c r="JS77" s="548"/>
      <c r="JT77" s="548"/>
      <c r="JU77" s="452"/>
      <c r="JV77" s="596"/>
      <c r="JW77" s="548"/>
      <c r="JX77" s="548"/>
      <c r="JY77" s="548"/>
      <c r="JZ77" s="548"/>
      <c r="KA77" s="548"/>
      <c r="KB77" s="452"/>
      <c r="KC77" s="596"/>
      <c r="KD77" s="548"/>
      <c r="KE77" s="548"/>
      <c r="KF77" s="548"/>
      <c r="KG77" s="548"/>
      <c r="KH77" s="548"/>
      <c r="KI77" s="452"/>
      <c r="KJ77" s="596"/>
      <c r="KK77" s="548"/>
      <c r="KL77" s="548"/>
      <c r="KM77" s="548"/>
      <c r="KN77" s="548"/>
      <c r="KO77" s="548"/>
      <c r="KP77" s="452"/>
      <c r="KQ77" s="596"/>
      <c r="KR77" s="548"/>
      <c r="KS77" s="548"/>
      <c r="KT77" s="548"/>
      <c r="KU77" s="548"/>
      <c r="KV77" s="548"/>
      <c r="KW77" s="452"/>
      <c r="KX77" s="596"/>
      <c r="KY77" s="548"/>
      <c r="KZ77" s="548"/>
      <c r="LA77" s="548"/>
      <c r="LB77" s="548"/>
      <c r="LC77" s="548"/>
      <c r="LD77" s="452"/>
      <c r="LE77" s="596"/>
      <c r="LF77" s="548"/>
      <c r="LG77" s="548"/>
      <c r="LH77" s="548"/>
      <c r="LI77" s="548"/>
      <c r="LJ77" s="548"/>
      <c r="LK77" s="452"/>
      <c r="LL77" s="596"/>
      <c r="LM77" s="548"/>
      <c r="LN77" s="548"/>
      <c r="LO77" s="548"/>
      <c r="LP77" s="548"/>
      <c r="LQ77" s="548"/>
      <c r="LR77" s="452"/>
      <c r="LS77" s="596"/>
      <c r="LT77" s="548"/>
      <c r="LU77" s="548"/>
      <c r="LV77" s="548"/>
      <c r="LW77" s="548"/>
      <c r="LX77" s="548"/>
      <c r="LY77" s="452"/>
      <c r="LZ77" s="596"/>
      <c r="MA77" s="548"/>
      <c r="MB77" s="548"/>
      <c r="MC77" s="548"/>
      <c r="MD77" s="548"/>
      <c r="ME77" s="548"/>
      <c r="MF77" s="452"/>
      <c r="MG77" s="596"/>
      <c r="MH77" s="548"/>
      <c r="MI77" s="548"/>
      <c r="MJ77" s="548"/>
      <c r="MK77" s="548"/>
      <c r="ML77" s="548"/>
      <c r="MM77" s="452"/>
      <c r="MN77" s="596"/>
      <c r="MO77" s="548"/>
      <c r="MP77" s="548"/>
      <c r="MQ77" s="548"/>
      <c r="MR77" s="548"/>
      <c r="MS77" s="548"/>
      <c r="MT77" s="452"/>
      <c r="MU77" s="596"/>
      <c r="MV77" s="548"/>
      <c r="MW77" s="548"/>
      <c r="MX77" s="548"/>
      <c r="MY77" s="548"/>
      <c r="MZ77" s="548"/>
      <c r="NA77" s="452"/>
      <c r="NB77" s="596"/>
      <c r="NC77" s="548"/>
      <c r="ND77" s="548"/>
      <c r="NE77" s="548"/>
      <c r="NF77" s="548"/>
      <c r="NG77" s="548"/>
      <c r="NH77" s="452"/>
      <c r="NI77" s="596"/>
      <c r="NJ77" s="548"/>
      <c r="NK77" s="548"/>
      <c r="NL77" s="548"/>
      <c r="NM77" s="548"/>
      <c r="NN77" s="548"/>
      <c r="NO77" s="452"/>
      <c r="NP77" s="596"/>
      <c r="NQ77" s="548"/>
      <c r="NR77" s="548"/>
      <c r="NS77" s="548"/>
      <c r="NT77" s="548"/>
      <c r="NU77" s="548"/>
      <c r="NV77" s="452"/>
      <c r="NW77" s="596"/>
      <c r="NX77" s="548"/>
      <c r="NY77" s="548"/>
      <c r="NZ77" s="548"/>
      <c r="OA77" s="548"/>
      <c r="OB77" s="548"/>
      <c r="OC77" s="452"/>
      <c r="OD77" s="596"/>
      <c r="OE77" s="548"/>
      <c r="OF77" s="548"/>
      <c r="OG77" s="548"/>
      <c r="OH77" s="548"/>
      <c r="OI77" s="548"/>
      <c r="OJ77" s="452"/>
      <c r="OK77" s="596"/>
      <c r="OL77" s="548"/>
      <c r="OM77" s="548"/>
      <c r="ON77" s="548"/>
      <c r="OO77" s="548"/>
      <c r="OP77" s="548"/>
      <c r="OQ77" s="452"/>
      <c r="OR77" s="596"/>
      <c r="OS77" s="548"/>
      <c r="OT77" s="548"/>
      <c r="OU77" s="548"/>
      <c r="OV77" s="548"/>
      <c r="OW77" s="548"/>
      <c r="OX77" s="452"/>
      <c r="OY77" s="596"/>
      <c r="OZ77" s="548"/>
      <c r="PA77" s="548"/>
      <c r="PB77" s="548"/>
      <c r="PC77" s="548"/>
      <c r="PD77" s="548"/>
      <c r="PE77" s="452"/>
      <c r="PF77" s="596"/>
      <c r="PG77" s="548"/>
      <c r="PH77" s="548"/>
      <c r="PI77" s="548"/>
      <c r="PJ77" s="548"/>
      <c r="PK77" s="548"/>
      <c r="PL77" s="452"/>
      <c r="PM77" s="596"/>
      <c r="PN77" s="548"/>
      <c r="PO77" s="548"/>
      <c r="PP77" s="548"/>
      <c r="PQ77" s="548"/>
      <c r="PR77" s="548"/>
      <c r="PS77" s="452"/>
      <c r="PT77" s="596"/>
      <c r="PU77" s="548"/>
      <c r="PV77" s="548"/>
      <c r="PW77" s="548"/>
      <c r="PX77" s="548"/>
      <c r="PY77" s="548"/>
      <c r="PZ77" s="452"/>
      <c r="QA77" s="596"/>
      <c r="QB77" s="548"/>
      <c r="QC77" s="548"/>
      <c r="QD77" s="548"/>
      <c r="QE77" s="548"/>
      <c r="QF77" s="548"/>
      <c r="QG77" s="452"/>
      <c r="QH77" s="596"/>
      <c r="QI77" s="548"/>
      <c r="QJ77" s="548"/>
      <c r="QK77" s="548"/>
      <c r="QL77" s="548"/>
      <c r="QM77" s="548"/>
      <c r="QN77" s="452"/>
      <c r="QO77" s="596"/>
      <c r="QP77" s="548"/>
      <c r="QQ77" s="548"/>
      <c r="QR77" s="548"/>
      <c r="QS77" s="548"/>
      <c r="QT77" s="548"/>
      <c r="QU77" s="452"/>
      <c r="QV77" s="596"/>
      <c r="QW77" s="548"/>
      <c r="QX77" s="548"/>
      <c r="QY77" s="548"/>
      <c r="QZ77" s="548"/>
      <c r="RA77" s="548"/>
      <c r="RB77" s="452"/>
      <c r="RC77" s="596"/>
      <c r="RD77" s="548"/>
      <c r="RE77" s="548"/>
      <c r="RF77" s="548"/>
      <c r="RG77" s="548"/>
      <c r="RH77" s="548"/>
      <c r="RI77" s="452"/>
      <c r="RJ77" s="596"/>
      <c r="RK77" s="548"/>
      <c r="RL77" s="548"/>
      <c r="RM77" s="548"/>
      <c r="RN77" s="548"/>
      <c r="RO77" s="548"/>
      <c r="RP77" s="452"/>
      <c r="RQ77" s="596"/>
      <c r="RR77" s="548"/>
      <c r="RS77" s="548"/>
      <c r="RT77" s="548"/>
      <c r="RU77" s="548"/>
      <c r="RV77" s="548"/>
      <c r="RW77" s="452"/>
      <c r="RX77" s="596"/>
      <c r="RY77" s="548"/>
      <c r="RZ77" s="548"/>
      <c r="SA77" s="548"/>
      <c r="SB77" s="548"/>
      <c r="SC77" s="548"/>
      <c r="SD77" s="452"/>
      <c r="SE77" s="596"/>
      <c r="SF77" s="548"/>
      <c r="SG77" s="548"/>
      <c r="SH77" s="548"/>
      <c r="SI77" s="548"/>
      <c r="SJ77" s="548"/>
      <c r="SK77" s="452"/>
      <c r="SL77" s="596"/>
      <c r="SM77" s="548"/>
      <c r="SN77" s="548"/>
      <c r="SO77" s="548"/>
      <c r="SP77" s="548"/>
      <c r="SQ77" s="548"/>
      <c r="SR77" s="452"/>
      <c r="SS77" s="596"/>
      <c r="ST77" s="548"/>
      <c r="SU77" s="548"/>
      <c r="SV77" s="548"/>
      <c r="SW77" s="548"/>
      <c r="SX77" s="548"/>
      <c r="SY77" s="452"/>
      <c r="SZ77" s="596"/>
      <c r="TA77" s="548"/>
      <c r="TB77" s="548"/>
      <c r="TC77" s="548"/>
      <c r="TD77" s="548"/>
      <c r="TE77" s="548"/>
      <c r="TF77" s="452"/>
      <c r="TG77" s="596"/>
      <c r="TH77" s="548"/>
      <c r="TI77" s="548"/>
      <c r="TJ77" s="548"/>
      <c r="TK77" s="548"/>
      <c r="TL77" s="548"/>
      <c r="TM77" s="452"/>
      <c r="TN77" s="596"/>
      <c r="TO77" s="548"/>
      <c r="TP77" s="548"/>
      <c r="TQ77" s="548"/>
      <c r="TR77" s="548"/>
      <c r="TS77" s="548"/>
      <c r="TT77" s="452"/>
      <c r="TU77" s="596"/>
      <c r="TV77" s="548"/>
      <c r="TW77" s="548"/>
      <c r="TX77" s="548"/>
      <c r="TY77" s="548"/>
      <c r="TZ77" s="548"/>
      <c r="UA77" s="452"/>
      <c r="UB77" s="596"/>
      <c r="UC77" s="548"/>
      <c r="UD77" s="548"/>
      <c r="UE77" s="548"/>
      <c r="UF77" s="548"/>
      <c r="UG77" s="548"/>
      <c r="UH77" s="452"/>
      <c r="UI77" s="596"/>
      <c r="UJ77" s="548"/>
      <c r="UK77" s="548"/>
      <c r="UL77" s="548"/>
      <c r="UM77" s="548"/>
      <c r="UN77" s="548"/>
      <c r="UO77" s="452"/>
      <c r="UP77" s="596"/>
      <c r="UQ77" s="548"/>
      <c r="UR77" s="548"/>
      <c r="US77" s="548"/>
      <c r="UT77" s="548"/>
      <c r="UU77" s="548"/>
      <c r="UV77" s="452"/>
      <c r="UW77" s="596"/>
      <c r="UX77" s="548"/>
      <c r="UY77" s="548"/>
      <c r="UZ77" s="548"/>
      <c r="VA77" s="548"/>
      <c r="VB77" s="548"/>
      <c r="VC77" s="452"/>
      <c r="VD77" s="596"/>
      <c r="VE77" s="548"/>
      <c r="VF77" s="548"/>
      <c r="VG77" s="548"/>
      <c r="VH77" s="548"/>
      <c r="VI77" s="548"/>
      <c r="VJ77" s="452"/>
      <c r="VK77" s="596"/>
      <c r="VL77" s="548"/>
      <c r="VM77" s="548"/>
      <c r="VN77" s="548"/>
      <c r="VO77" s="548"/>
      <c r="VP77" s="548"/>
      <c r="VQ77" s="452"/>
      <c r="VR77" s="596"/>
      <c r="VS77" s="548"/>
      <c r="VT77" s="548"/>
      <c r="VU77" s="548"/>
      <c r="VV77" s="548"/>
      <c r="VW77" s="548"/>
      <c r="VX77" s="452"/>
      <c r="VY77" s="596"/>
      <c r="VZ77" s="548"/>
      <c r="WA77" s="548"/>
      <c r="WB77" s="548"/>
      <c r="WC77" s="548"/>
      <c r="WD77" s="548"/>
      <c r="WE77" s="452"/>
      <c r="WF77" s="596"/>
      <c r="WG77" s="548"/>
      <c r="WH77" s="548"/>
      <c r="WI77" s="548"/>
      <c r="WJ77" s="548"/>
      <c r="WK77" s="548"/>
      <c r="WL77" s="452"/>
      <c r="WM77" s="596"/>
      <c r="WN77" s="548"/>
      <c r="WO77" s="548"/>
      <c r="WP77" s="548"/>
      <c r="WQ77" s="548"/>
      <c r="WR77" s="548"/>
      <c r="WS77" s="452"/>
      <c r="WT77" s="596"/>
      <c r="WU77" s="548"/>
      <c r="WV77" s="548"/>
      <c r="WW77" s="548"/>
      <c r="WX77" s="548"/>
      <c r="WY77" s="548"/>
      <c r="WZ77" s="452"/>
      <c r="XA77" s="596"/>
      <c r="XB77" s="548"/>
      <c r="XC77" s="548"/>
      <c r="XD77" s="548"/>
      <c r="XE77" s="548"/>
      <c r="XF77" s="548"/>
      <c r="XG77" s="452"/>
      <c r="XH77" s="596"/>
      <c r="XI77" s="548"/>
      <c r="XJ77" s="548"/>
      <c r="XK77" s="548"/>
      <c r="XL77" s="548"/>
      <c r="XM77" s="548"/>
      <c r="XN77" s="452"/>
      <c r="XO77" s="596"/>
      <c r="XP77" s="548"/>
      <c r="XQ77" s="548"/>
      <c r="XR77" s="548"/>
      <c r="XS77" s="548"/>
      <c r="XT77" s="548"/>
      <c r="XU77" s="452"/>
      <c r="XV77" s="596"/>
      <c r="XW77" s="548"/>
      <c r="XX77" s="548"/>
      <c r="XY77" s="548"/>
      <c r="XZ77" s="548"/>
      <c r="YA77" s="548"/>
      <c r="YB77" s="452"/>
      <c r="YC77" s="596"/>
      <c r="YD77" s="548"/>
      <c r="YE77" s="548"/>
      <c r="YF77" s="548"/>
      <c r="YG77" s="548"/>
      <c r="YH77" s="548"/>
      <c r="YI77" s="452"/>
      <c r="YJ77" s="596"/>
      <c r="YK77" s="548"/>
      <c r="YL77" s="548"/>
      <c r="YM77" s="548"/>
      <c r="YN77" s="548"/>
      <c r="YO77" s="548"/>
      <c r="YP77" s="452"/>
      <c r="YQ77" s="596"/>
      <c r="YR77" s="548"/>
      <c r="YS77" s="548"/>
      <c r="YT77" s="548"/>
      <c r="YU77" s="548"/>
      <c r="YV77" s="548"/>
      <c r="YW77" s="452"/>
      <c r="YX77" s="596"/>
      <c r="YY77" s="548"/>
      <c r="YZ77" s="548"/>
      <c r="ZA77" s="548"/>
      <c r="ZB77" s="548"/>
      <c r="ZC77" s="548"/>
      <c r="ZD77" s="452"/>
      <c r="ZE77" s="596"/>
      <c r="ZF77" s="548"/>
      <c r="ZG77" s="548"/>
      <c r="ZH77" s="548"/>
      <c r="ZI77" s="548"/>
      <c r="ZJ77" s="548"/>
      <c r="ZK77" s="452"/>
      <c r="ZL77" s="596"/>
      <c r="ZM77" s="548"/>
      <c r="ZN77" s="548"/>
      <c r="ZO77" s="548"/>
      <c r="ZP77" s="548"/>
      <c r="ZQ77" s="548"/>
      <c r="ZR77" s="452"/>
      <c r="ZS77" s="596"/>
      <c r="ZT77" s="548"/>
      <c r="ZU77" s="548"/>
      <c r="ZV77" s="548"/>
      <c r="ZW77" s="548"/>
      <c r="ZX77" s="548"/>
      <c r="ZY77" s="452"/>
      <c r="ZZ77" s="596"/>
      <c r="AAA77" s="548"/>
      <c r="AAB77" s="548"/>
      <c r="AAC77" s="548"/>
      <c r="AAD77" s="548"/>
      <c r="AAE77" s="548"/>
      <c r="AAF77" s="452"/>
      <c r="AAG77" s="596"/>
      <c r="AAH77" s="548"/>
      <c r="AAI77" s="548"/>
      <c r="AAJ77" s="548"/>
      <c r="AAK77" s="548"/>
      <c r="AAL77" s="548"/>
      <c r="AAM77" s="452"/>
      <c r="AAN77" s="596"/>
      <c r="AAO77" s="548"/>
      <c r="AAP77" s="548"/>
      <c r="AAQ77" s="548"/>
      <c r="AAR77" s="548"/>
      <c r="AAS77" s="548"/>
      <c r="AAT77" s="452"/>
      <c r="AAU77" s="596"/>
      <c r="AAV77" s="548"/>
      <c r="AAW77" s="548"/>
      <c r="AAX77" s="548"/>
      <c r="AAY77" s="548"/>
      <c r="AAZ77" s="548"/>
      <c r="ABA77" s="452"/>
      <c r="ABB77" s="596"/>
      <c r="ABC77" s="548"/>
      <c r="ABD77" s="548"/>
      <c r="ABE77" s="548"/>
      <c r="ABF77" s="548"/>
      <c r="ABG77" s="548"/>
      <c r="ABH77" s="452"/>
      <c r="ABI77" s="596"/>
      <c r="ABJ77" s="548"/>
      <c r="ABK77" s="548"/>
      <c r="ABL77" s="548"/>
      <c r="ABM77" s="548"/>
      <c r="ABN77" s="548"/>
      <c r="ABO77" s="452"/>
      <c r="ABP77" s="596"/>
      <c r="ABQ77" s="548"/>
      <c r="ABR77" s="548"/>
      <c r="ABS77" s="548"/>
      <c r="ABT77" s="548"/>
      <c r="ABU77" s="548"/>
      <c r="ABV77" s="452"/>
      <c r="ABW77" s="596"/>
      <c r="ABX77" s="548"/>
      <c r="ABY77" s="548"/>
      <c r="ABZ77" s="548"/>
      <c r="ACA77" s="548"/>
      <c r="ACB77" s="548"/>
      <c r="ACC77" s="452"/>
      <c r="ACD77" s="596"/>
      <c r="ACE77" s="548"/>
      <c r="ACF77" s="548"/>
      <c r="ACG77" s="548"/>
      <c r="ACH77" s="548"/>
      <c r="ACI77" s="548"/>
      <c r="ACJ77" s="452"/>
      <c r="ACK77" s="596"/>
      <c r="ACL77" s="548"/>
      <c r="ACM77" s="548"/>
      <c r="ACN77" s="548"/>
      <c r="ACO77" s="548"/>
      <c r="ACP77" s="548"/>
      <c r="ACQ77" s="452"/>
      <c r="ACR77" s="596"/>
      <c r="ACS77" s="548"/>
      <c r="ACT77" s="548"/>
      <c r="ACU77" s="548"/>
      <c r="ACV77" s="548"/>
      <c r="ACW77" s="548"/>
      <c r="ACX77" s="452"/>
      <c r="ACY77" s="596"/>
      <c r="ACZ77" s="548"/>
      <c r="ADA77" s="548"/>
      <c r="ADB77" s="548"/>
      <c r="ADC77" s="548"/>
      <c r="ADD77" s="548"/>
      <c r="ADE77" s="452"/>
      <c r="ADF77" s="596"/>
      <c r="ADG77" s="548"/>
      <c r="ADH77" s="548"/>
      <c r="ADI77" s="548"/>
      <c r="ADJ77" s="548"/>
      <c r="ADK77" s="548"/>
      <c r="ADL77" s="452"/>
      <c r="ADM77" s="596"/>
      <c r="ADN77" s="548"/>
      <c r="ADO77" s="548"/>
      <c r="ADP77" s="548"/>
      <c r="ADQ77" s="548"/>
      <c r="ADR77" s="548"/>
      <c r="ADS77" s="452"/>
      <c r="ADT77" s="596"/>
      <c r="ADU77" s="548"/>
      <c r="ADV77" s="548"/>
      <c r="ADW77" s="548"/>
      <c r="ADX77" s="548"/>
      <c r="ADY77" s="548"/>
      <c r="ADZ77" s="452"/>
      <c r="AEA77" s="596"/>
      <c r="AEB77" s="548"/>
      <c r="AEC77" s="548"/>
      <c r="AED77" s="548"/>
      <c r="AEE77" s="548"/>
      <c r="AEF77" s="548"/>
      <c r="AEG77" s="452"/>
      <c r="AEH77" s="596"/>
      <c r="AEI77" s="548"/>
      <c r="AEJ77" s="548"/>
      <c r="AEK77" s="548"/>
      <c r="AEL77" s="548"/>
      <c r="AEM77" s="548"/>
      <c r="AEN77" s="452"/>
      <c r="AEO77" s="596"/>
      <c r="AEP77" s="548"/>
      <c r="AEQ77" s="548"/>
      <c r="AER77" s="548"/>
      <c r="AES77" s="548"/>
      <c r="AET77" s="548"/>
      <c r="AEU77" s="452"/>
      <c r="AEV77" s="596"/>
      <c r="AEW77" s="548"/>
      <c r="AEX77" s="548"/>
      <c r="AEY77" s="548"/>
      <c r="AEZ77" s="548"/>
      <c r="AFA77" s="548"/>
      <c r="AFB77" s="452"/>
      <c r="AFC77" s="596"/>
      <c r="AFD77" s="548"/>
      <c r="AFE77" s="548"/>
      <c r="AFF77" s="548"/>
      <c r="AFG77" s="548"/>
      <c r="AFH77" s="548"/>
      <c r="AFI77" s="452"/>
      <c r="AFJ77" s="596"/>
      <c r="AFK77" s="548"/>
      <c r="AFL77" s="548"/>
      <c r="AFM77" s="548"/>
      <c r="AFN77" s="548"/>
      <c r="AFO77" s="548"/>
      <c r="AFP77" s="452"/>
      <c r="AFQ77" s="596"/>
      <c r="AFR77" s="548"/>
      <c r="AFS77" s="548"/>
      <c r="AFT77" s="548"/>
      <c r="AFU77" s="548"/>
      <c r="AFV77" s="548"/>
      <c r="AFW77" s="452"/>
      <c r="AFX77" s="596"/>
      <c r="AFY77" s="548"/>
      <c r="AFZ77" s="548"/>
      <c r="AGA77" s="548"/>
      <c r="AGB77" s="548"/>
      <c r="AGC77" s="548"/>
      <c r="AGD77" s="452"/>
      <c r="AGE77" s="596"/>
      <c r="AGF77" s="548"/>
      <c r="AGG77" s="548"/>
      <c r="AGH77" s="548"/>
      <c r="AGI77" s="548"/>
      <c r="AGJ77" s="548"/>
      <c r="AGK77" s="452"/>
      <c r="AGL77" s="596"/>
      <c r="AGM77" s="548"/>
      <c r="AGN77" s="548"/>
      <c r="AGO77" s="548"/>
      <c r="AGP77" s="548"/>
      <c r="AGQ77" s="548"/>
      <c r="AGR77" s="452"/>
      <c r="AGS77" s="596"/>
      <c r="AGT77" s="548"/>
      <c r="AGU77" s="548"/>
      <c r="AGV77" s="548"/>
      <c r="AGW77" s="548"/>
      <c r="AGX77" s="548"/>
      <c r="AGY77" s="452"/>
      <c r="AGZ77" s="596"/>
      <c r="AHA77" s="548"/>
      <c r="AHB77" s="548"/>
      <c r="AHC77" s="548"/>
      <c r="AHD77" s="548"/>
      <c r="AHE77" s="548"/>
      <c r="AHF77" s="452"/>
      <c r="AHG77" s="596"/>
      <c r="AHH77" s="548"/>
      <c r="AHI77" s="548"/>
      <c r="AHJ77" s="548"/>
      <c r="AHK77" s="548"/>
      <c r="AHL77" s="548"/>
      <c r="AHM77" s="452"/>
      <c r="AHN77" s="596"/>
      <c r="AHO77" s="548"/>
      <c r="AHP77" s="548"/>
      <c r="AHQ77" s="548"/>
      <c r="AHR77" s="548"/>
      <c r="AHS77" s="548"/>
      <c r="AHT77" s="452"/>
      <c r="AHU77" s="596"/>
      <c r="AHV77" s="548"/>
      <c r="AHW77" s="548"/>
      <c r="AHX77" s="548"/>
      <c r="AHY77" s="548"/>
      <c r="AHZ77" s="548"/>
      <c r="AIA77" s="452"/>
      <c r="AIB77" s="596"/>
      <c r="AIC77" s="548"/>
      <c r="AID77" s="548"/>
      <c r="AIE77" s="548"/>
      <c r="AIF77" s="548"/>
      <c r="AIG77" s="548"/>
      <c r="AIH77" s="452"/>
      <c r="AII77" s="596"/>
      <c r="AIJ77" s="548"/>
      <c r="AIK77" s="548"/>
      <c r="AIL77" s="548"/>
      <c r="AIM77" s="548"/>
      <c r="AIN77" s="548"/>
      <c r="AIO77" s="452"/>
      <c r="AIP77" s="596"/>
      <c r="AIQ77" s="548"/>
      <c r="AIR77" s="548"/>
      <c r="AIS77" s="548"/>
      <c r="AIT77" s="548"/>
      <c r="AIU77" s="548"/>
      <c r="AIV77" s="452"/>
      <c r="AIW77" s="596"/>
      <c r="AIX77" s="548"/>
      <c r="AIY77" s="548"/>
      <c r="AIZ77" s="548"/>
      <c r="AJA77" s="548"/>
      <c r="AJB77" s="548"/>
      <c r="AJC77" s="452"/>
      <c r="AJD77" s="596"/>
      <c r="AJE77" s="548"/>
      <c r="AJF77" s="548"/>
      <c r="AJG77" s="548"/>
      <c r="AJH77" s="548"/>
      <c r="AJI77" s="548"/>
      <c r="AJJ77" s="452"/>
      <c r="AJK77" s="596"/>
      <c r="AJL77" s="548"/>
      <c r="AJM77" s="548"/>
      <c r="AJN77" s="548"/>
      <c r="AJO77" s="548"/>
      <c r="AJP77" s="548"/>
      <c r="AJQ77" s="452"/>
      <c r="AJR77" s="596"/>
      <c r="AJS77" s="548"/>
      <c r="AJT77" s="548"/>
      <c r="AJU77" s="548"/>
      <c r="AJV77" s="548"/>
      <c r="AJW77" s="548"/>
      <c r="AJX77" s="452"/>
      <c r="AJY77" s="596"/>
      <c r="AJZ77" s="548"/>
      <c r="AKA77" s="548"/>
      <c r="AKB77" s="548"/>
      <c r="AKC77" s="548"/>
      <c r="AKD77" s="548"/>
      <c r="AKE77" s="452"/>
      <c r="AKF77" s="596"/>
      <c r="AKG77" s="548"/>
      <c r="AKH77" s="548"/>
      <c r="AKI77" s="548"/>
      <c r="AKJ77" s="548"/>
      <c r="AKK77" s="548"/>
      <c r="AKL77" s="452"/>
      <c r="AKM77" s="596"/>
      <c r="AKN77" s="548"/>
      <c r="AKO77" s="548"/>
      <c r="AKP77" s="548"/>
      <c r="AKQ77" s="548"/>
      <c r="AKR77" s="548"/>
      <c r="AKS77" s="452"/>
      <c r="AKT77" s="596"/>
      <c r="AKU77" s="548"/>
      <c r="AKV77" s="548"/>
      <c r="AKW77" s="548"/>
      <c r="AKX77" s="548"/>
      <c r="AKY77" s="548"/>
      <c r="AKZ77" s="452"/>
      <c r="ALA77" s="596"/>
      <c r="ALB77" s="548"/>
      <c r="ALC77" s="548"/>
      <c r="ALD77" s="548"/>
      <c r="ALE77" s="548"/>
      <c r="ALF77" s="548"/>
      <c r="ALG77" s="452"/>
      <c r="ALH77" s="596"/>
      <c r="ALI77" s="548"/>
      <c r="ALJ77" s="548"/>
      <c r="ALK77" s="548"/>
      <c r="ALL77" s="548"/>
      <c r="ALM77" s="548"/>
      <c r="ALN77" s="452"/>
      <c r="ALO77" s="596"/>
      <c r="ALP77" s="548"/>
      <c r="ALQ77" s="548"/>
      <c r="ALR77" s="548"/>
      <c r="ALS77" s="548"/>
      <c r="ALT77" s="548"/>
      <c r="ALU77" s="452"/>
      <c r="ALV77" s="596"/>
      <c r="ALW77" s="548"/>
      <c r="ALX77" s="548"/>
      <c r="ALY77" s="548"/>
      <c r="ALZ77" s="548"/>
      <c r="AMA77" s="548"/>
      <c r="AMB77" s="452"/>
      <c r="AMC77" s="596"/>
      <c r="AMD77" s="548"/>
      <c r="AME77" s="548"/>
      <c r="AMF77" s="548"/>
      <c r="AMG77" s="548"/>
      <c r="AMH77" s="548"/>
      <c r="AMI77" s="452"/>
      <c r="AMJ77" s="596"/>
      <c r="AMK77" s="548"/>
      <c r="AML77" s="548"/>
      <c r="AMM77" s="548"/>
      <c r="AMN77" s="548"/>
      <c r="AMO77" s="548"/>
      <c r="AMP77" s="452"/>
      <c r="AMQ77" s="596"/>
      <c r="AMR77" s="548"/>
      <c r="AMS77" s="548"/>
      <c r="AMT77" s="548"/>
      <c r="AMU77" s="548"/>
      <c r="AMV77" s="548"/>
      <c r="AMW77" s="452"/>
      <c r="AMX77" s="596"/>
      <c r="AMY77" s="548"/>
      <c r="AMZ77" s="548"/>
      <c r="ANA77" s="548"/>
      <c r="ANB77" s="548"/>
      <c r="ANC77" s="548"/>
      <c r="AND77" s="452"/>
      <c r="ANE77" s="596"/>
      <c r="ANF77" s="548"/>
      <c r="ANG77" s="548"/>
      <c r="ANH77" s="548"/>
      <c r="ANI77" s="548"/>
      <c r="ANJ77" s="548"/>
      <c r="ANK77" s="452"/>
      <c r="ANL77" s="596"/>
      <c r="ANM77" s="548"/>
      <c r="ANN77" s="548"/>
      <c r="ANO77" s="548"/>
      <c r="ANP77" s="548"/>
      <c r="ANQ77" s="548"/>
      <c r="ANR77" s="452"/>
      <c r="ANS77" s="596"/>
      <c r="ANT77" s="548"/>
      <c r="ANU77" s="548"/>
      <c r="ANV77" s="548"/>
      <c r="ANW77" s="548"/>
      <c r="ANX77" s="548"/>
      <c r="ANY77" s="452"/>
      <c r="ANZ77" s="596"/>
      <c r="AOA77" s="548"/>
      <c r="AOB77" s="548"/>
      <c r="AOC77" s="548"/>
      <c r="AOD77" s="548"/>
      <c r="AOE77" s="548"/>
      <c r="AOF77" s="452"/>
      <c r="AOG77" s="596"/>
      <c r="AOH77" s="548"/>
      <c r="AOI77" s="548"/>
      <c r="AOJ77" s="548"/>
      <c r="AOK77" s="548"/>
      <c r="AOL77" s="548"/>
      <c r="AOM77" s="452"/>
      <c r="AON77" s="596"/>
      <c r="AOO77" s="548"/>
      <c r="AOP77" s="548"/>
      <c r="AOQ77" s="548"/>
      <c r="AOR77" s="548"/>
      <c r="AOS77" s="548"/>
      <c r="AOT77" s="452"/>
      <c r="AOU77" s="596"/>
      <c r="AOV77" s="548"/>
      <c r="AOW77" s="548"/>
      <c r="AOX77" s="548"/>
      <c r="AOY77" s="548"/>
      <c r="AOZ77" s="548"/>
      <c r="APA77" s="452"/>
      <c r="APB77" s="596"/>
      <c r="APC77" s="548"/>
      <c r="APD77" s="548"/>
      <c r="APE77" s="548"/>
      <c r="APF77" s="548"/>
      <c r="APG77" s="548"/>
      <c r="APH77" s="452"/>
      <c r="API77" s="596"/>
      <c r="APJ77" s="548"/>
      <c r="APK77" s="548"/>
      <c r="APL77" s="548"/>
      <c r="APM77" s="548"/>
      <c r="APN77" s="548"/>
      <c r="APO77" s="452"/>
      <c r="APP77" s="596"/>
      <c r="APQ77" s="548"/>
      <c r="APR77" s="548"/>
      <c r="APS77" s="548"/>
      <c r="APT77" s="548"/>
      <c r="APU77" s="548"/>
      <c r="APV77" s="452"/>
      <c r="APW77" s="596"/>
      <c r="APX77" s="548"/>
      <c r="APY77" s="548"/>
      <c r="APZ77" s="548"/>
      <c r="AQA77" s="548"/>
      <c r="AQB77" s="548"/>
      <c r="AQC77" s="452"/>
      <c r="AQD77" s="596"/>
      <c r="AQE77" s="548"/>
      <c r="AQF77" s="548"/>
      <c r="AQG77" s="548"/>
      <c r="AQH77" s="548"/>
      <c r="AQI77" s="548"/>
      <c r="AQJ77" s="452"/>
      <c r="AQK77" s="596"/>
      <c r="AQL77" s="548"/>
      <c r="AQM77" s="548"/>
      <c r="AQN77" s="548"/>
      <c r="AQO77" s="548"/>
      <c r="AQP77" s="548"/>
      <c r="AQQ77" s="452"/>
      <c r="AQR77" s="596"/>
      <c r="AQS77" s="548"/>
      <c r="AQT77" s="548"/>
      <c r="AQU77" s="548"/>
      <c r="AQV77" s="548"/>
      <c r="AQW77" s="548"/>
      <c r="AQX77" s="452"/>
      <c r="AQY77" s="596"/>
      <c r="AQZ77" s="548"/>
      <c r="ARA77" s="548"/>
      <c r="ARB77" s="548"/>
      <c r="ARC77" s="548"/>
      <c r="ARD77" s="548"/>
      <c r="ARE77" s="452"/>
      <c r="ARF77" s="596"/>
      <c r="ARG77" s="548"/>
      <c r="ARH77" s="548"/>
      <c r="ARI77" s="548"/>
      <c r="ARJ77" s="548"/>
      <c r="ARK77" s="548"/>
      <c r="ARL77" s="452"/>
      <c r="ARM77" s="596"/>
      <c r="ARN77" s="548"/>
      <c r="ARO77" s="548"/>
      <c r="ARP77" s="548"/>
      <c r="ARQ77" s="548"/>
      <c r="ARR77" s="548"/>
      <c r="ARS77" s="452"/>
      <c r="ART77" s="596"/>
      <c r="ARU77" s="548"/>
      <c r="ARV77" s="548"/>
      <c r="ARW77" s="548"/>
      <c r="ARX77" s="548"/>
      <c r="ARY77" s="548"/>
      <c r="ARZ77" s="452"/>
      <c r="ASA77" s="596"/>
      <c r="ASB77" s="548"/>
      <c r="ASC77" s="548"/>
      <c r="ASD77" s="548"/>
      <c r="ASE77" s="548"/>
      <c r="ASF77" s="548"/>
      <c r="ASG77" s="452"/>
      <c r="ASH77" s="596"/>
      <c r="ASI77" s="548"/>
      <c r="ASJ77" s="548"/>
      <c r="ASK77" s="548"/>
      <c r="ASL77" s="548"/>
      <c r="ASM77" s="548"/>
      <c r="ASN77" s="452"/>
      <c r="ASO77" s="596"/>
      <c r="ASP77" s="548"/>
      <c r="ASQ77" s="548"/>
      <c r="ASR77" s="548"/>
      <c r="ASS77" s="548"/>
      <c r="AST77" s="548"/>
      <c r="ASU77" s="452"/>
      <c r="ASV77" s="596"/>
      <c r="ASW77" s="548"/>
      <c r="ASX77" s="548"/>
      <c r="ASY77" s="548"/>
      <c r="ASZ77" s="548"/>
      <c r="ATA77" s="548"/>
      <c r="ATB77" s="452"/>
      <c r="ATC77" s="596"/>
      <c r="ATD77" s="548"/>
      <c r="ATE77" s="548"/>
      <c r="ATF77" s="548"/>
      <c r="ATG77" s="548"/>
      <c r="ATH77" s="548"/>
      <c r="ATI77" s="452"/>
      <c r="ATJ77" s="596"/>
      <c r="ATK77" s="548"/>
      <c r="ATL77" s="548"/>
      <c r="ATM77" s="548"/>
      <c r="ATN77" s="548"/>
      <c r="ATO77" s="548"/>
      <c r="ATP77" s="452"/>
      <c r="ATQ77" s="596"/>
      <c r="ATR77" s="548"/>
      <c r="ATS77" s="548"/>
      <c r="ATT77" s="548"/>
      <c r="ATU77" s="548"/>
      <c r="ATV77" s="548"/>
      <c r="ATW77" s="452"/>
      <c r="ATX77" s="596"/>
      <c r="ATY77" s="548"/>
      <c r="ATZ77" s="548"/>
      <c r="AUA77" s="548"/>
      <c r="AUB77" s="548"/>
      <c r="AUC77" s="548"/>
      <c r="AUD77" s="452"/>
      <c r="AUE77" s="596"/>
      <c r="AUF77" s="548"/>
      <c r="AUG77" s="548"/>
      <c r="AUH77" s="548"/>
      <c r="AUI77" s="548"/>
      <c r="AUJ77" s="548"/>
      <c r="AUK77" s="452"/>
      <c r="AUL77" s="596"/>
      <c r="AUM77" s="548"/>
      <c r="AUN77" s="548"/>
      <c r="AUO77" s="548"/>
      <c r="AUP77" s="548"/>
      <c r="AUQ77" s="548"/>
      <c r="AUR77" s="452"/>
      <c r="AUS77" s="596"/>
      <c r="AUT77" s="548"/>
      <c r="AUU77" s="548"/>
      <c r="AUV77" s="548"/>
      <c r="AUW77" s="548"/>
      <c r="AUX77" s="548"/>
      <c r="AUY77" s="452"/>
      <c r="AUZ77" s="596"/>
      <c r="AVA77" s="548"/>
      <c r="AVB77" s="548"/>
      <c r="AVC77" s="548"/>
      <c r="AVD77" s="548"/>
      <c r="AVE77" s="548"/>
      <c r="AVF77" s="452"/>
      <c r="AVG77" s="596"/>
      <c r="AVH77" s="548"/>
      <c r="AVI77" s="548"/>
      <c r="AVJ77" s="548"/>
      <c r="AVK77" s="548"/>
      <c r="AVL77" s="548"/>
      <c r="AVM77" s="452"/>
      <c r="AVN77" s="596"/>
      <c r="AVO77" s="548"/>
      <c r="AVP77" s="548"/>
      <c r="AVQ77" s="548"/>
      <c r="AVR77" s="548"/>
      <c r="AVS77" s="548"/>
      <c r="AVT77" s="452"/>
      <c r="AVU77" s="596"/>
      <c r="AVV77" s="548"/>
      <c r="AVW77" s="548"/>
      <c r="AVX77" s="548"/>
      <c r="AVY77" s="548"/>
      <c r="AVZ77" s="548"/>
      <c r="AWA77" s="452"/>
      <c r="AWB77" s="596"/>
      <c r="AWC77" s="548"/>
      <c r="AWD77" s="548"/>
      <c r="AWE77" s="548"/>
      <c r="AWF77" s="548"/>
      <c r="AWG77" s="548"/>
      <c r="AWH77" s="452"/>
      <c r="AWI77" s="596"/>
      <c r="AWJ77" s="548"/>
      <c r="AWK77" s="548"/>
      <c r="AWL77" s="548"/>
      <c r="AWM77" s="548"/>
      <c r="AWN77" s="548"/>
      <c r="AWO77" s="452"/>
      <c r="AWP77" s="596"/>
      <c r="AWQ77" s="548"/>
      <c r="AWR77" s="548"/>
      <c r="AWS77" s="548"/>
      <c r="AWT77" s="548"/>
      <c r="AWU77" s="548"/>
      <c r="AWV77" s="452"/>
      <c r="AWW77" s="596"/>
      <c r="AWX77" s="548"/>
      <c r="AWY77" s="548"/>
      <c r="AWZ77" s="548"/>
      <c r="AXA77" s="548"/>
      <c r="AXB77" s="548"/>
      <c r="AXC77" s="452"/>
      <c r="AXD77" s="596"/>
      <c r="AXE77" s="548"/>
      <c r="AXF77" s="548"/>
      <c r="AXG77" s="548"/>
      <c r="AXH77" s="548"/>
      <c r="AXI77" s="548"/>
      <c r="AXJ77" s="452"/>
      <c r="AXK77" s="596"/>
      <c r="AXL77" s="548"/>
      <c r="AXM77" s="548"/>
      <c r="AXN77" s="548"/>
      <c r="AXO77" s="548"/>
      <c r="AXP77" s="548"/>
      <c r="AXQ77" s="452"/>
      <c r="AXR77" s="596"/>
      <c r="AXS77" s="548"/>
      <c r="AXT77" s="548"/>
      <c r="AXU77" s="548"/>
      <c r="AXV77" s="548"/>
      <c r="AXW77" s="548"/>
      <c r="AXX77" s="452"/>
      <c r="AXY77" s="596"/>
      <c r="AXZ77" s="548"/>
      <c r="AYA77" s="548"/>
      <c r="AYB77" s="548"/>
      <c r="AYC77" s="548"/>
      <c r="AYD77" s="548"/>
      <c r="AYE77" s="452"/>
      <c r="AYF77" s="596"/>
      <c r="AYG77" s="548"/>
      <c r="AYH77" s="548"/>
      <c r="AYI77" s="548"/>
      <c r="AYJ77" s="548"/>
      <c r="AYK77" s="548"/>
      <c r="AYL77" s="452"/>
      <c r="AYM77" s="596"/>
      <c r="AYN77" s="548"/>
      <c r="AYO77" s="548"/>
      <c r="AYP77" s="548"/>
      <c r="AYQ77" s="548"/>
      <c r="AYR77" s="548"/>
      <c r="AYS77" s="452"/>
      <c r="AYT77" s="596"/>
      <c r="AYU77" s="548"/>
      <c r="AYV77" s="548"/>
      <c r="AYW77" s="548"/>
      <c r="AYX77" s="548"/>
      <c r="AYY77" s="548"/>
      <c r="AYZ77" s="452"/>
      <c r="AZA77" s="596"/>
      <c r="AZB77" s="548"/>
      <c r="AZC77" s="548"/>
      <c r="AZD77" s="548"/>
      <c r="AZE77" s="548"/>
      <c r="AZF77" s="548"/>
      <c r="AZG77" s="452"/>
      <c r="AZH77" s="596"/>
      <c r="AZI77" s="548"/>
      <c r="AZJ77" s="548"/>
      <c r="AZK77" s="548"/>
      <c r="AZL77" s="548"/>
      <c r="AZM77" s="548"/>
      <c r="AZN77" s="452"/>
      <c r="AZO77" s="596"/>
      <c r="AZP77" s="548"/>
      <c r="AZQ77" s="548"/>
      <c r="AZR77" s="548"/>
      <c r="AZS77" s="548"/>
      <c r="AZT77" s="548"/>
      <c r="AZU77" s="452"/>
      <c r="AZV77" s="596"/>
      <c r="AZW77" s="548"/>
      <c r="AZX77" s="548"/>
      <c r="AZY77" s="548"/>
      <c r="AZZ77" s="548"/>
      <c r="BAA77" s="548"/>
      <c r="BAB77" s="452"/>
      <c r="BAC77" s="596"/>
      <c r="BAD77" s="548"/>
      <c r="BAE77" s="548"/>
      <c r="BAF77" s="548"/>
      <c r="BAG77" s="548"/>
      <c r="BAH77" s="548"/>
      <c r="BAI77" s="452"/>
      <c r="BAJ77" s="596"/>
      <c r="BAK77" s="548"/>
      <c r="BAL77" s="548"/>
      <c r="BAM77" s="548"/>
      <c r="BAN77" s="548"/>
      <c r="BAO77" s="548"/>
      <c r="BAP77" s="452"/>
      <c r="BAQ77" s="596"/>
      <c r="BAR77" s="548"/>
      <c r="BAS77" s="548"/>
      <c r="BAT77" s="548"/>
      <c r="BAU77" s="548"/>
      <c r="BAV77" s="548"/>
      <c r="BAW77" s="452"/>
      <c r="BAX77" s="596"/>
      <c r="BAY77" s="548"/>
      <c r="BAZ77" s="548"/>
      <c r="BBA77" s="548"/>
      <c r="BBB77" s="548"/>
      <c r="BBC77" s="548"/>
      <c r="BBD77" s="452"/>
      <c r="BBE77" s="596"/>
      <c r="BBF77" s="548"/>
      <c r="BBG77" s="548"/>
      <c r="BBH77" s="548"/>
      <c r="BBI77" s="548"/>
      <c r="BBJ77" s="548"/>
      <c r="BBK77" s="452"/>
      <c r="BBL77" s="596"/>
      <c r="BBM77" s="548"/>
      <c r="BBN77" s="548"/>
      <c r="BBO77" s="548"/>
      <c r="BBP77" s="548"/>
      <c r="BBQ77" s="548"/>
      <c r="BBR77" s="452"/>
      <c r="BBS77" s="596"/>
      <c r="BBT77" s="548"/>
      <c r="BBU77" s="548"/>
      <c r="BBV77" s="548"/>
      <c r="BBW77" s="548"/>
      <c r="BBX77" s="548"/>
      <c r="BBY77" s="452"/>
      <c r="BBZ77" s="596"/>
      <c r="BCA77" s="548"/>
      <c r="BCB77" s="548"/>
      <c r="BCC77" s="548"/>
      <c r="BCD77" s="548"/>
      <c r="BCE77" s="548"/>
      <c r="BCF77" s="452"/>
      <c r="BCG77" s="596"/>
      <c r="BCH77" s="548"/>
      <c r="BCI77" s="548"/>
      <c r="BCJ77" s="548"/>
      <c r="BCK77" s="548"/>
      <c r="BCL77" s="548"/>
      <c r="BCM77" s="452"/>
      <c r="BCN77" s="596"/>
      <c r="BCO77" s="548"/>
      <c r="BCP77" s="548"/>
      <c r="BCQ77" s="548"/>
      <c r="BCR77" s="548"/>
      <c r="BCS77" s="548"/>
      <c r="BCT77" s="452"/>
      <c r="BCU77" s="596"/>
      <c r="BCV77" s="548"/>
      <c r="BCW77" s="548"/>
      <c r="BCX77" s="548"/>
      <c r="BCY77" s="548"/>
      <c r="BCZ77" s="548"/>
      <c r="BDA77" s="452"/>
      <c r="BDB77" s="596"/>
      <c r="BDC77" s="548"/>
      <c r="BDD77" s="548"/>
      <c r="BDE77" s="548"/>
      <c r="BDF77" s="548"/>
      <c r="BDG77" s="548"/>
      <c r="BDH77" s="452"/>
      <c r="BDI77" s="596"/>
      <c r="BDJ77" s="548"/>
      <c r="BDK77" s="548"/>
      <c r="BDL77" s="548"/>
      <c r="BDM77" s="548"/>
      <c r="BDN77" s="548"/>
      <c r="BDO77" s="452"/>
      <c r="BDP77" s="596"/>
      <c r="BDQ77" s="548"/>
      <c r="BDR77" s="548"/>
      <c r="BDS77" s="548"/>
      <c r="BDT77" s="548"/>
      <c r="BDU77" s="548"/>
      <c r="BDV77" s="452"/>
      <c r="BDW77" s="596"/>
      <c r="BDX77" s="548"/>
      <c r="BDY77" s="548"/>
      <c r="BDZ77" s="548"/>
      <c r="BEA77" s="548"/>
      <c r="BEB77" s="548"/>
      <c r="BEC77" s="452"/>
      <c r="BED77" s="596"/>
      <c r="BEE77" s="548"/>
      <c r="BEF77" s="548"/>
      <c r="BEG77" s="548"/>
      <c r="BEH77" s="548"/>
      <c r="BEI77" s="548"/>
      <c r="BEJ77" s="452"/>
      <c r="BEK77" s="596"/>
      <c r="BEL77" s="548"/>
      <c r="BEM77" s="548"/>
      <c r="BEN77" s="548"/>
      <c r="BEO77" s="548"/>
      <c r="BEP77" s="548"/>
      <c r="BEQ77" s="452"/>
      <c r="BER77" s="596"/>
      <c r="BES77" s="548"/>
      <c r="BET77" s="548"/>
      <c r="BEU77" s="548"/>
      <c r="BEV77" s="548"/>
      <c r="BEW77" s="548"/>
      <c r="BEX77" s="452"/>
      <c r="BEY77" s="596"/>
      <c r="BEZ77" s="548"/>
      <c r="BFA77" s="548"/>
      <c r="BFB77" s="548"/>
      <c r="BFC77" s="548"/>
      <c r="BFD77" s="548"/>
      <c r="BFE77" s="452"/>
      <c r="BFF77" s="596"/>
      <c r="BFG77" s="548"/>
      <c r="BFH77" s="548"/>
      <c r="BFI77" s="548"/>
      <c r="BFJ77" s="548"/>
      <c r="BFK77" s="548"/>
      <c r="BFL77" s="452"/>
      <c r="BFM77" s="596"/>
      <c r="BFN77" s="548"/>
      <c r="BFO77" s="548"/>
      <c r="BFP77" s="548"/>
      <c r="BFQ77" s="548"/>
      <c r="BFR77" s="548"/>
      <c r="BFS77" s="452"/>
      <c r="BFT77" s="596"/>
      <c r="BFU77" s="548"/>
      <c r="BFV77" s="548"/>
      <c r="BFW77" s="548"/>
      <c r="BFX77" s="548"/>
      <c r="BFY77" s="548"/>
      <c r="BFZ77" s="452"/>
      <c r="BGA77" s="596"/>
      <c r="BGB77" s="548"/>
      <c r="BGC77" s="548"/>
      <c r="BGD77" s="548"/>
      <c r="BGE77" s="548"/>
      <c r="BGF77" s="548"/>
      <c r="BGG77" s="452"/>
      <c r="BGH77" s="596"/>
      <c r="BGI77" s="548"/>
      <c r="BGJ77" s="548"/>
      <c r="BGK77" s="548"/>
      <c r="BGL77" s="548"/>
      <c r="BGM77" s="548"/>
      <c r="BGN77" s="452"/>
      <c r="BGO77" s="596"/>
      <c r="BGP77" s="548"/>
      <c r="BGQ77" s="548"/>
      <c r="BGR77" s="548"/>
      <c r="BGS77" s="548"/>
      <c r="BGT77" s="548"/>
      <c r="BGU77" s="452"/>
      <c r="BGV77" s="596"/>
      <c r="BGW77" s="548"/>
      <c r="BGX77" s="548"/>
      <c r="BGY77" s="548"/>
      <c r="BGZ77" s="548"/>
      <c r="BHA77" s="548"/>
      <c r="BHB77" s="452"/>
      <c r="BHC77" s="596"/>
      <c r="BHD77" s="548"/>
      <c r="BHE77" s="548"/>
      <c r="BHF77" s="548"/>
      <c r="BHG77" s="548"/>
      <c r="BHH77" s="548"/>
      <c r="BHI77" s="452"/>
      <c r="BHJ77" s="596"/>
      <c r="BHK77" s="548"/>
      <c r="BHL77" s="548"/>
      <c r="BHM77" s="548"/>
      <c r="BHN77" s="548"/>
      <c r="BHO77" s="548"/>
      <c r="BHP77" s="452"/>
      <c r="BHQ77" s="596"/>
      <c r="BHR77" s="548"/>
      <c r="BHS77" s="548"/>
      <c r="BHT77" s="548"/>
      <c r="BHU77" s="548"/>
      <c r="BHV77" s="548"/>
      <c r="BHW77" s="452"/>
      <c r="BHX77" s="596"/>
      <c r="BHY77" s="548"/>
      <c r="BHZ77" s="548"/>
      <c r="BIA77" s="548"/>
      <c r="BIB77" s="548"/>
      <c r="BIC77" s="548"/>
      <c r="BID77" s="452"/>
      <c r="BIE77" s="596"/>
      <c r="BIF77" s="548"/>
      <c r="BIG77" s="548"/>
      <c r="BIH77" s="548"/>
      <c r="BII77" s="548"/>
      <c r="BIJ77" s="548"/>
      <c r="BIK77" s="452"/>
      <c r="BIL77" s="596"/>
      <c r="BIM77" s="548"/>
      <c r="BIN77" s="548"/>
      <c r="BIO77" s="548"/>
      <c r="BIP77" s="548"/>
      <c r="BIQ77" s="548"/>
      <c r="BIR77" s="452"/>
      <c r="BIS77" s="596"/>
      <c r="BIT77" s="548"/>
      <c r="BIU77" s="548"/>
      <c r="BIV77" s="548"/>
      <c r="BIW77" s="548"/>
      <c r="BIX77" s="548"/>
      <c r="BIY77" s="452"/>
      <c r="BIZ77" s="596"/>
      <c r="BJA77" s="548"/>
      <c r="BJB77" s="548"/>
      <c r="BJC77" s="548"/>
      <c r="BJD77" s="548"/>
      <c r="BJE77" s="548"/>
      <c r="BJF77" s="452"/>
      <c r="BJG77" s="596"/>
      <c r="BJH77" s="548"/>
      <c r="BJI77" s="548"/>
      <c r="BJJ77" s="548"/>
      <c r="BJK77" s="548"/>
      <c r="BJL77" s="548"/>
      <c r="BJM77" s="452"/>
      <c r="BJN77" s="596"/>
      <c r="BJO77" s="548"/>
      <c r="BJP77" s="548"/>
      <c r="BJQ77" s="548"/>
      <c r="BJR77" s="548"/>
      <c r="BJS77" s="548"/>
      <c r="BJT77" s="452"/>
      <c r="BJU77" s="596"/>
      <c r="BJV77" s="548"/>
      <c r="BJW77" s="548"/>
      <c r="BJX77" s="548"/>
      <c r="BJY77" s="548"/>
      <c r="BJZ77" s="548"/>
      <c r="BKA77" s="452"/>
      <c r="BKB77" s="596"/>
      <c r="BKC77" s="548"/>
      <c r="BKD77" s="548"/>
      <c r="BKE77" s="548"/>
      <c r="BKF77" s="548"/>
      <c r="BKG77" s="548"/>
      <c r="BKH77" s="452"/>
      <c r="BKI77" s="596"/>
      <c r="BKJ77" s="548"/>
      <c r="BKK77" s="548"/>
      <c r="BKL77" s="548"/>
      <c r="BKM77" s="548"/>
      <c r="BKN77" s="548"/>
      <c r="BKO77" s="452"/>
      <c r="BKP77" s="596"/>
      <c r="BKQ77" s="548"/>
      <c r="BKR77" s="548"/>
      <c r="BKS77" s="548"/>
      <c r="BKT77" s="548"/>
      <c r="BKU77" s="548"/>
      <c r="BKV77" s="452"/>
      <c r="BKW77" s="596"/>
      <c r="BKX77" s="548"/>
      <c r="BKY77" s="548"/>
      <c r="BKZ77" s="548"/>
      <c r="BLA77" s="548"/>
      <c r="BLB77" s="548"/>
      <c r="BLC77" s="452"/>
      <c r="BLD77" s="596"/>
      <c r="BLE77" s="548"/>
      <c r="BLF77" s="548"/>
      <c r="BLG77" s="548"/>
      <c r="BLH77" s="548"/>
      <c r="BLI77" s="548"/>
      <c r="BLJ77" s="452"/>
      <c r="BLK77" s="596"/>
      <c r="BLL77" s="548"/>
      <c r="BLM77" s="548"/>
      <c r="BLN77" s="548"/>
      <c r="BLO77" s="548"/>
      <c r="BLP77" s="548"/>
      <c r="BLQ77" s="452"/>
      <c r="BLR77" s="596"/>
      <c r="BLS77" s="548"/>
      <c r="BLT77" s="548"/>
      <c r="BLU77" s="548"/>
      <c r="BLV77" s="548"/>
      <c r="BLW77" s="548"/>
      <c r="BLX77" s="452"/>
      <c r="BLY77" s="596"/>
      <c r="BLZ77" s="548"/>
      <c r="BMA77" s="548"/>
      <c r="BMB77" s="548"/>
      <c r="BMC77" s="548"/>
      <c r="BMD77" s="548"/>
      <c r="BME77" s="452"/>
      <c r="BMF77" s="596"/>
      <c r="BMG77" s="548"/>
      <c r="BMH77" s="548"/>
      <c r="BMI77" s="548"/>
      <c r="BMJ77" s="548"/>
      <c r="BMK77" s="548"/>
      <c r="BML77" s="452"/>
      <c r="BMM77" s="596"/>
      <c r="BMN77" s="548"/>
      <c r="BMO77" s="548"/>
      <c r="BMP77" s="548"/>
      <c r="BMQ77" s="548"/>
      <c r="BMR77" s="548"/>
      <c r="BMS77" s="452"/>
      <c r="BMT77" s="596"/>
      <c r="BMU77" s="548"/>
      <c r="BMV77" s="548"/>
      <c r="BMW77" s="548"/>
      <c r="BMX77" s="548"/>
      <c r="BMY77" s="548"/>
      <c r="BMZ77" s="452"/>
      <c r="BNA77" s="596"/>
      <c r="BNB77" s="548"/>
      <c r="BNC77" s="548"/>
      <c r="BND77" s="548"/>
      <c r="BNE77" s="548"/>
      <c r="BNF77" s="548"/>
      <c r="BNG77" s="452"/>
      <c r="BNH77" s="596"/>
      <c r="BNI77" s="548"/>
      <c r="BNJ77" s="548"/>
      <c r="BNK77" s="548"/>
      <c r="BNL77" s="548"/>
      <c r="BNM77" s="548"/>
      <c r="BNN77" s="452"/>
      <c r="BNO77" s="596"/>
      <c r="BNP77" s="548"/>
      <c r="BNQ77" s="548"/>
      <c r="BNR77" s="548"/>
      <c r="BNS77" s="548"/>
      <c r="BNT77" s="548"/>
      <c r="BNU77" s="452"/>
      <c r="BNV77" s="596"/>
      <c r="BNW77" s="548"/>
      <c r="BNX77" s="548"/>
      <c r="BNY77" s="548"/>
      <c r="BNZ77" s="548"/>
      <c r="BOA77" s="548"/>
      <c r="BOB77" s="452"/>
      <c r="BOC77" s="596"/>
      <c r="BOD77" s="548"/>
      <c r="BOE77" s="548"/>
      <c r="BOF77" s="548"/>
      <c r="BOG77" s="548"/>
      <c r="BOH77" s="548"/>
      <c r="BOI77" s="452"/>
      <c r="BOJ77" s="596"/>
      <c r="BOK77" s="548"/>
      <c r="BOL77" s="548"/>
      <c r="BOM77" s="548"/>
      <c r="BON77" s="548"/>
      <c r="BOO77" s="548"/>
      <c r="BOP77" s="452"/>
      <c r="BOQ77" s="596"/>
      <c r="BOR77" s="548"/>
      <c r="BOS77" s="548"/>
      <c r="BOT77" s="548"/>
      <c r="BOU77" s="548"/>
      <c r="BOV77" s="548"/>
      <c r="BOW77" s="452"/>
      <c r="BOX77" s="596"/>
      <c r="BOY77" s="548"/>
      <c r="BOZ77" s="548"/>
      <c r="BPA77" s="548"/>
      <c r="BPB77" s="548"/>
      <c r="BPC77" s="548"/>
      <c r="BPD77" s="452"/>
      <c r="BPE77" s="596"/>
      <c r="BPF77" s="548"/>
      <c r="BPG77" s="548"/>
      <c r="BPH77" s="548"/>
      <c r="BPI77" s="548"/>
      <c r="BPJ77" s="548"/>
      <c r="BPK77" s="452"/>
      <c r="BPL77" s="596"/>
      <c r="BPM77" s="548"/>
      <c r="BPN77" s="548"/>
      <c r="BPO77" s="548"/>
      <c r="BPP77" s="548"/>
      <c r="BPQ77" s="548"/>
      <c r="BPR77" s="452"/>
      <c r="BPS77" s="596"/>
      <c r="BPT77" s="548"/>
      <c r="BPU77" s="548"/>
      <c r="BPV77" s="548"/>
      <c r="BPW77" s="548"/>
      <c r="BPX77" s="548"/>
      <c r="BPY77" s="452"/>
      <c r="BPZ77" s="596"/>
      <c r="BQA77" s="548"/>
      <c r="BQB77" s="548"/>
      <c r="BQC77" s="548"/>
      <c r="BQD77" s="548"/>
      <c r="BQE77" s="548"/>
      <c r="BQF77" s="452"/>
      <c r="BQG77" s="596"/>
      <c r="BQH77" s="548"/>
      <c r="BQI77" s="548"/>
      <c r="BQJ77" s="548"/>
      <c r="BQK77" s="548"/>
      <c r="BQL77" s="548"/>
      <c r="BQM77" s="452"/>
      <c r="BQN77" s="596"/>
      <c r="BQO77" s="548"/>
      <c r="BQP77" s="548"/>
      <c r="BQQ77" s="548"/>
      <c r="BQR77" s="548"/>
      <c r="BQS77" s="548"/>
      <c r="BQT77" s="452"/>
      <c r="BQU77" s="596"/>
      <c r="BQV77" s="548"/>
      <c r="BQW77" s="548"/>
      <c r="BQX77" s="548"/>
      <c r="BQY77" s="548"/>
      <c r="BQZ77" s="548"/>
      <c r="BRA77" s="452"/>
      <c r="BRB77" s="596"/>
      <c r="BRC77" s="548"/>
      <c r="BRD77" s="548"/>
      <c r="BRE77" s="548"/>
      <c r="BRF77" s="548"/>
      <c r="BRG77" s="548"/>
      <c r="BRH77" s="452"/>
      <c r="BRI77" s="596"/>
      <c r="BRJ77" s="548"/>
      <c r="BRK77" s="548"/>
      <c r="BRL77" s="548"/>
      <c r="BRM77" s="548"/>
      <c r="BRN77" s="548"/>
      <c r="BRO77" s="452"/>
      <c r="BRP77" s="596"/>
      <c r="BRQ77" s="548"/>
      <c r="BRR77" s="548"/>
      <c r="BRS77" s="548"/>
      <c r="BRT77" s="548"/>
      <c r="BRU77" s="548"/>
      <c r="BRV77" s="452"/>
      <c r="BRW77" s="596"/>
      <c r="BRX77" s="548"/>
      <c r="BRY77" s="548"/>
      <c r="BRZ77" s="548"/>
      <c r="BSA77" s="548"/>
      <c r="BSB77" s="548"/>
      <c r="BSC77" s="452"/>
      <c r="BSD77" s="596"/>
      <c r="BSE77" s="548"/>
      <c r="BSF77" s="548"/>
      <c r="BSG77" s="548"/>
      <c r="BSH77" s="548"/>
      <c r="BSI77" s="548"/>
      <c r="BSJ77" s="452"/>
      <c r="BSK77" s="596"/>
      <c r="BSL77" s="548"/>
      <c r="BSM77" s="548"/>
      <c r="BSN77" s="548"/>
      <c r="BSO77" s="548"/>
      <c r="BSP77" s="548"/>
      <c r="BSQ77" s="452"/>
      <c r="BSR77" s="596"/>
      <c r="BSS77" s="548"/>
      <c r="BST77" s="548"/>
      <c r="BSU77" s="548"/>
      <c r="BSV77" s="548"/>
      <c r="BSW77" s="548"/>
      <c r="BSX77" s="452"/>
      <c r="BSY77" s="596"/>
      <c r="BSZ77" s="548"/>
      <c r="BTA77" s="548"/>
      <c r="BTB77" s="548"/>
      <c r="BTC77" s="548"/>
      <c r="BTD77" s="548"/>
      <c r="BTE77" s="452"/>
      <c r="BTF77" s="596"/>
      <c r="BTG77" s="548"/>
      <c r="BTH77" s="548"/>
      <c r="BTI77" s="548"/>
      <c r="BTJ77" s="548"/>
      <c r="BTK77" s="548"/>
      <c r="BTL77" s="452"/>
      <c r="BTM77" s="596"/>
      <c r="BTN77" s="548"/>
      <c r="BTO77" s="548"/>
      <c r="BTP77" s="548"/>
      <c r="BTQ77" s="548"/>
      <c r="BTR77" s="548"/>
      <c r="BTS77" s="452"/>
      <c r="BTT77" s="596"/>
      <c r="BTU77" s="548"/>
      <c r="BTV77" s="548"/>
      <c r="BTW77" s="548"/>
      <c r="BTX77" s="548"/>
      <c r="BTY77" s="548"/>
      <c r="BTZ77" s="452"/>
      <c r="BUA77" s="596"/>
      <c r="BUB77" s="548"/>
      <c r="BUC77" s="548"/>
      <c r="BUD77" s="548"/>
      <c r="BUE77" s="548"/>
      <c r="BUF77" s="548"/>
      <c r="BUG77" s="452"/>
      <c r="BUH77" s="596"/>
      <c r="BUI77" s="548"/>
      <c r="BUJ77" s="548"/>
      <c r="BUK77" s="548"/>
      <c r="BUL77" s="548"/>
      <c r="BUM77" s="548"/>
      <c r="BUN77" s="452"/>
      <c r="BUO77" s="596"/>
      <c r="BUP77" s="548"/>
      <c r="BUQ77" s="548"/>
      <c r="BUR77" s="548"/>
      <c r="BUS77" s="548"/>
      <c r="BUT77" s="548"/>
      <c r="BUU77" s="452"/>
      <c r="BUV77" s="596"/>
      <c r="BUW77" s="548"/>
      <c r="BUX77" s="548"/>
      <c r="BUY77" s="548"/>
      <c r="BUZ77" s="548"/>
      <c r="BVA77" s="548"/>
      <c r="BVB77" s="452"/>
      <c r="BVC77" s="596"/>
      <c r="BVD77" s="548"/>
      <c r="BVE77" s="548"/>
      <c r="BVF77" s="548"/>
      <c r="BVG77" s="548"/>
      <c r="BVH77" s="548"/>
      <c r="BVI77" s="452"/>
      <c r="BVJ77" s="596"/>
      <c r="BVK77" s="548"/>
      <c r="BVL77" s="548"/>
      <c r="BVM77" s="548"/>
      <c r="BVN77" s="548"/>
      <c r="BVO77" s="548"/>
      <c r="BVP77" s="452"/>
      <c r="BVQ77" s="596"/>
      <c r="BVR77" s="548"/>
      <c r="BVS77" s="548"/>
      <c r="BVT77" s="548"/>
      <c r="BVU77" s="548"/>
      <c r="BVV77" s="548"/>
      <c r="BVW77" s="452"/>
      <c r="BVX77" s="596"/>
      <c r="BVY77" s="548"/>
      <c r="BVZ77" s="548"/>
      <c r="BWA77" s="548"/>
      <c r="BWB77" s="548"/>
      <c r="BWC77" s="548"/>
      <c r="BWD77" s="452"/>
      <c r="BWE77" s="596"/>
      <c r="BWF77" s="548"/>
      <c r="BWG77" s="548"/>
      <c r="BWH77" s="548"/>
      <c r="BWI77" s="548"/>
      <c r="BWJ77" s="548"/>
      <c r="BWK77" s="452"/>
      <c r="BWL77" s="596"/>
      <c r="BWM77" s="548"/>
      <c r="BWN77" s="548"/>
      <c r="BWO77" s="548"/>
      <c r="BWP77" s="548"/>
      <c r="BWQ77" s="548"/>
      <c r="BWR77" s="452"/>
      <c r="BWS77" s="596"/>
      <c r="BWT77" s="548"/>
      <c r="BWU77" s="548"/>
      <c r="BWV77" s="548"/>
      <c r="BWW77" s="548"/>
      <c r="BWX77" s="548"/>
      <c r="BWY77" s="452"/>
      <c r="BWZ77" s="596"/>
      <c r="BXA77" s="548"/>
      <c r="BXB77" s="548"/>
      <c r="BXC77" s="548"/>
      <c r="BXD77" s="548"/>
      <c r="BXE77" s="548"/>
      <c r="BXF77" s="452"/>
      <c r="BXG77" s="596"/>
      <c r="BXH77" s="548"/>
      <c r="BXI77" s="548"/>
      <c r="BXJ77" s="548"/>
      <c r="BXK77" s="548"/>
      <c r="BXL77" s="548"/>
      <c r="BXM77" s="452"/>
      <c r="BXN77" s="596"/>
      <c r="BXO77" s="548"/>
      <c r="BXP77" s="548"/>
      <c r="BXQ77" s="548"/>
      <c r="BXR77" s="548"/>
      <c r="BXS77" s="548"/>
      <c r="BXT77" s="452"/>
      <c r="BXU77" s="596"/>
      <c r="BXV77" s="548"/>
      <c r="BXW77" s="548"/>
      <c r="BXX77" s="548"/>
      <c r="BXY77" s="548"/>
      <c r="BXZ77" s="548"/>
      <c r="BYA77" s="452"/>
      <c r="BYB77" s="596"/>
      <c r="BYC77" s="548"/>
      <c r="BYD77" s="548"/>
      <c r="BYE77" s="548"/>
      <c r="BYF77" s="548"/>
      <c r="BYG77" s="548"/>
      <c r="BYH77" s="452"/>
      <c r="BYI77" s="596"/>
      <c r="BYJ77" s="548"/>
      <c r="BYK77" s="548"/>
      <c r="BYL77" s="548"/>
      <c r="BYM77" s="548"/>
      <c r="BYN77" s="548"/>
      <c r="BYO77" s="452"/>
      <c r="BYP77" s="596"/>
      <c r="BYQ77" s="548"/>
      <c r="BYR77" s="548"/>
      <c r="BYS77" s="548"/>
      <c r="BYT77" s="548"/>
      <c r="BYU77" s="548"/>
      <c r="BYV77" s="452"/>
      <c r="BYW77" s="596"/>
      <c r="BYX77" s="548"/>
      <c r="BYY77" s="548"/>
      <c r="BYZ77" s="548"/>
      <c r="BZA77" s="548"/>
      <c r="BZB77" s="548"/>
      <c r="BZC77" s="452"/>
      <c r="BZD77" s="596"/>
      <c r="BZE77" s="548"/>
      <c r="BZF77" s="548"/>
      <c r="BZG77" s="548"/>
      <c r="BZH77" s="548"/>
      <c r="BZI77" s="548"/>
      <c r="BZJ77" s="452"/>
      <c r="BZK77" s="596"/>
      <c r="BZL77" s="548"/>
      <c r="BZM77" s="548"/>
      <c r="BZN77" s="548"/>
      <c r="BZO77" s="548"/>
      <c r="BZP77" s="548"/>
      <c r="BZQ77" s="452"/>
      <c r="BZR77" s="596"/>
      <c r="BZS77" s="548"/>
      <c r="BZT77" s="548"/>
      <c r="BZU77" s="548"/>
      <c r="BZV77" s="548"/>
      <c r="BZW77" s="548"/>
      <c r="BZX77" s="452"/>
      <c r="BZY77" s="596"/>
      <c r="BZZ77" s="548"/>
      <c r="CAA77" s="548"/>
      <c r="CAB77" s="548"/>
      <c r="CAC77" s="548"/>
      <c r="CAD77" s="548"/>
      <c r="CAE77" s="452"/>
      <c r="CAF77" s="596"/>
      <c r="CAG77" s="548"/>
      <c r="CAH77" s="548"/>
      <c r="CAI77" s="548"/>
      <c r="CAJ77" s="548"/>
      <c r="CAK77" s="548"/>
      <c r="CAL77" s="452"/>
      <c r="CAM77" s="596"/>
      <c r="CAN77" s="548"/>
      <c r="CAO77" s="548"/>
      <c r="CAP77" s="548"/>
      <c r="CAQ77" s="548"/>
      <c r="CAR77" s="548"/>
      <c r="CAS77" s="452"/>
      <c r="CAT77" s="596"/>
      <c r="CAU77" s="548"/>
      <c r="CAV77" s="548"/>
      <c r="CAW77" s="548"/>
      <c r="CAX77" s="548"/>
      <c r="CAY77" s="548"/>
      <c r="CAZ77" s="452"/>
      <c r="CBA77" s="596"/>
      <c r="CBB77" s="548"/>
      <c r="CBC77" s="548"/>
      <c r="CBD77" s="548"/>
      <c r="CBE77" s="548"/>
      <c r="CBF77" s="548"/>
      <c r="CBG77" s="452"/>
      <c r="CBH77" s="596"/>
      <c r="CBI77" s="548"/>
      <c r="CBJ77" s="548"/>
      <c r="CBK77" s="548"/>
      <c r="CBL77" s="548"/>
      <c r="CBM77" s="548"/>
      <c r="CBN77" s="452"/>
      <c r="CBO77" s="596"/>
      <c r="CBP77" s="548"/>
      <c r="CBQ77" s="548"/>
      <c r="CBR77" s="548"/>
      <c r="CBS77" s="548"/>
      <c r="CBT77" s="548"/>
      <c r="CBU77" s="452"/>
      <c r="CBV77" s="596"/>
      <c r="CBW77" s="548"/>
      <c r="CBX77" s="548"/>
      <c r="CBY77" s="548"/>
      <c r="CBZ77" s="548"/>
      <c r="CCA77" s="548"/>
      <c r="CCB77" s="452"/>
      <c r="CCC77" s="596"/>
      <c r="CCD77" s="548"/>
      <c r="CCE77" s="548"/>
      <c r="CCF77" s="548"/>
      <c r="CCG77" s="548"/>
      <c r="CCH77" s="548"/>
      <c r="CCI77" s="452"/>
      <c r="CCJ77" s="596"/>
      <c r="CCK77" s="548"/>
      <c r="CCL77" s="548"/>
      <c r="CCM77" s="548"/>
      <c r="CCN77" s="548"/>
      <c r="CCO77" s="548"/>
      <c r="CCP77" s="452"/>
      <c r="CCQ77" s="596"/>
      <c r="CCR77" s="548"/>
      <c r="CCS77" s="548"/>
      <c r="CCT77" s="548"/>
      <c r="CCU77" s="548"/>
      <c r="CCV77" s="548"/>
      <c r="CCW77" s="452"/>
      <c r="CCX77" s="596"/>
      <c r="CCY77" s="548"/>
      <c r="CCZ77" s="548"/>
      <c r="CDA77" s="548"/>
      <c r="CDB77" s="548"/>
      <c r="CDC77" s="548"/>
      <c r="CDD77" s="452"/>
      <c r="CDE77" s="596"/>
      <c r="CDF77" s="548"/>
      <c r="CDG77" s="548"/>
      <c r="CDH77" s="548"/>
      <c r="CDI77" s="548"/>
      <c r="CDJ77" s="548"/>
      <c r="CDK77" s="452"/>
      <c r="CDL77" s="596"/>
      <c r="CDM77" s="548"/>
      <c r="CDN77" s="548"/>
      <c r="CDO77" s="548"/>
      <c r="CDP77" s="548"/>
      <c r="CDQ77" s="548"/>
      <c r="CDR77" s="452"/>
      <c r="CDS77" s="596"/>
      <c r="CDT77" s="548"/>
      <c r="CDU77" s="548"/>
      <c r="CDV77" s="548"/>
      <c r="CDW77" s="548"/>
      <c r="CDX77" s="548"/>
      <c r="CDY77" s="452"/>
      <c r="CDZ77" s="596"/>
      <c r="CEA77" s="548"/>
      <c r="CEB77" s="548"/>
      <c r="CEC77" s="548"/>
      <c r="CED77" s="548"/>
      <c r="CEE77" s="548"/>
      <c r="CEF77" s="452"/>
      <c r="CEG77" s="596"/>
      <c r="CEH77" s="548"/>
      <c r="CEI77" s="548"/>
      <c r="CEJ77" s="548"/>
      <c r="CEK77" s="548"/>
      <c r="CEL77" s="548"/>
      <c r="CEM77" s="452"/>
      <c r="CEN77" s="596"/>
      <c r="CEO77" s="548"/>
      <c r="CEP77" s="548"/>
      <c r="CEQ77" s="548"/>
      <c r="CER77" s="548"/>
      <c r="CES77" s="548"/>
      <c r="CET77" s="452"/>
      <c r="CEU77" s="596"/>
      <c r="CEV77" s="548"/>
      <c r="CEW77" s="548"/>
      <c r="CEX77" s="548"/>
      <c r="CEY77" s="548"/>
      <c r="CEZ77" s="548"/>
      <c r="CFA77" s="452"/>
      <c r="CFB77" s="596"/>
      <c r="CFC77" s="548"/>
      <c r="CFD77" s="548"/>
      <c r="CFE77" s="548"/>
      <c r="CFF77" s="548"/>
      <c r="CFG77" s="548"/>
      <c r="CFH77" s="452"/>
      <c r="CFI77" s="596"/>
      <c r="CFJ77" s="548"/>
      <c r="CFK77" s="548"/>
      <c r="CFL77" s="548"/>
      <c r="CFM77" s="548"/>
      <c r="CFN77" s="548"/>
      <c r="CFO77" s="452"/>
      <c r="CFP77" s="596"/>
      <c r="CFQ77" s="548"/>
      <c r="CFR77" s="548"/>
      <c r="CFS77" s="548"/>
      <c r="CFT77" s="548"/>
      <c r="CFU77" s="548"/>
      <c r="CFV77" s="452"/>
      <c r="CFW77" s="596"/>
      <c r="CFX77" s="548"/>
      <c r="CFY77" s="548"/>
      <c r="CFZ77" s="548"/>
      <c r="CGA77" s="548"/>
      <c r="CGB77" s="548"/>
      <c r="CGC77" s="452"/>
      <c r="CGD77" s="596"/>
      <c r="CGE77" s="548"/>
      <c r="CGF77" s="548"/>
      <c r="CGG77" s="548"/>
      <c r="CGH77" s="548"/>
      <c r="CGI77" s="548"/>
      <c r="CGJ77" s="452"/>
      <c r="CGK77" s="596"/>
      <c r="CGL77" s="548"/>
      <c r="CGM77" s="548"/>
      <c r="CGN77" s="548"/>
      <c r="CGO77" s="548"/>
      <c r="CGP77" s="548"/>
      <c r="CGQ77" s="452"/>
      <c r="CGR77" s="596"/>
      <c r="CGS77" s="548"/>
      <c r="CGT77" s="548"/>
      <c r="CGU77" s="548"/>
      <c r="CGV77" s="548"/>
      <c r="CGW77" s="548"/>
      <c r="CGX77" s="452"/>
      <c r="CGY77" s="596"/>
      <c r="CGZ77" s="548"/>
      <c r="CHA77" s="548"/>
      <c r="CHB77" s="548"/>
      <c r="CHC77" s="548"/>
      <c r="CHD77" s="548"/>
      <c r="CHE77" s="452"/>
      <c r="CHF77" s="596"/>
      <c r="CHG77" s="548"/>
      <c r="CHH77" s="548"/>
      <c r="CHI77" s="548"/>
      <c r="CHJ77" s="548"/>
      <c r="CHK77" s="548"/>
      <c r="CHL77" s="452"/>
      <c r="CHM77" s="596"/>
      <c r="CHN77" s="548"/>
      <c r="CHO77" s="548"/>
      <c r="CHP77" s="548"/>
      <c r="CHQ77" s="548"/>
      <c r="CHR77" s="548"/>
      <c r="CHS77" s="452"/>
      <c r="CHT77" s="596"/>
      <c r="CHU77" s="548"/>
      <c r="CHV77" s="548"/>
      <c r="CHW77" s="548"/>
      <c r="CHX77" s="548"/>
      <c r="CHY77" s="548"/>
      <c r="CHZ77" s="452"/>
      <c r="CIA77" s="596"/>
      <c r="CIB77" s="548"/>
      <c r="CIC77" s="548"/>
      <c r="CID77" s="548"/>
      <c r="CIE77" s="548"/>
      <c r="CIF77" s="548"/>
      <c r="CIG77" s="452"/>
      <c r="CIH77" s="596"/>
      <c r="CII77" s="548"/>
      <c r="CIJ77" s="548"/>
      <c r="CIK77" s="548"/>
      <c r="CIL77" s="548"/>
      <c r="CIM77" s="548"/>
      <c r="CIN77" s="452"/>
      <c r="CIO77" s="596"/>
      <c r="CIP77" s="548"/>
      <c r="CIQ77" s="548"/>
      <c r="CIR77" s="548"/>
      <c r="CIS77" s="548"/>
      <c r="CIT77" s="548"/>
      <c r="CIU77" s="452"/>
      <c r="CIV77" s="596"/>
      <c r="CIW77" s="548"/>
      <c r="CIX77" s="548"/>
      <c r="CIY77" s="548"/>
      <c r="CIZ77" s="548"/>
      <c r="CJA77" s="548"/>
      <c r="CJB77" s="452"/>
      <c r="CJC77" s="596"/>
      <c r="CJD77" s="548"/>
      <c r="CJE77" s="548"/>
      <c r="CJF77" s="548"/>
      <c r="CJG77" s="548"/>
      <c r="CJH77" s="548"/>
      <c r="CJI77" s="452"/>
      <c r="CJJ77" s="596"/>
      <c r="CJK77" s="548"/>
      <c r="CJL77" s="548"/>
      <c r="CJM77" s="548"/>
      <c r="CJN77" s="548"/>
      <c r="CJO77" s="548"/>
      <c r="CJP77" s="452"/>
      <c r="CJQ77" s="596"/>
      <c r="CJR77" s="548"/>
      <c r="CJS77" s="548"/>
      <c r="CJT77" s="548"/>
      <c r="CJU77" s="548"/>
      <c r="CJV77" s="548"/>
      <c r="CJW77" s="452"/>
      <c r="CJX77" s="596"/>
      <c r="CJY77" s="548"/>
      <c r="CJZ77" s="548"/>
      <c r="CKA77" s="548"/>
      <c r="CKB77" s="548"/>
      <c r="CKC77" s="548"/>
      <c r="CKD77" s="452"/>
      <c r="CKE77" s="596"/>
      <c r="CKF77" s="548"/>
      <c r="CKG77" s="548"/>
      <c r="CKH77" s="548"/>
      <c r="CKI77" s="548"/>
      <c r="CKJ77" s="548"/>
      <c r="CKK77" s="452"/>
      <c r="CKL77" s="596"/>
      <c r="CKM77" s="548"/>
      <c r="CKN77" s="548"/>
      <c r="CKO77" s="548"/>
      <c r="CKP77" s="548"/>
      <c r="CKQ77" s="548"/>
      <c r="CKR77" s="452"/>
      <c r="CKS77" s="596"/>
      <c r="CKT77" s="548"/>
      <c r="CKU77" s="548"/>
      <c r="CKV77" s="548"/>
      <c r="CKW77" s="548"/>
      <c r="CKX77" s="548"/>
      <c r="CKY77" s="452"/>
      <c r="CKZ77" s="596"/>
      <c r="CLA77" s="548"/>
      <c r="CLB77" s="548"/>
      <c r="CLC77" s="548"/>
      <c r="CLD77" s="548"/>
      <c r="CLE77" s="548"/>
      <c r="CLF77" s="452"/>
      <c r="CLG77" s="596"/>
      <c r="CLH77" s="548"/>
      <c r="CLI77" s="548"/>
      <c r="CLJ77" s="548"/>
      <c r="CLK77" s="548"/>
      <c r="CLL77" s="548"/>
      <c r="CLM77" s="452"/>
      <c r="CLN77" s="596"/>
      <c r="CLO77" s="548"/>
      <c r="CLP77" s="548"/>
      <c r="CLQ77" s="548"/>
      <c r="CLR77" s="548"/>
      <c r="CLS77" s="548"/>
      <c r="CLT77" s="452"/>
      <c r="CLU77" s="596"/>
      <c r="CLV77" s="548"/>
      <c r="CLW77" s="548"/>
      <c r="CLX77" s="548"/>
      <c r="CLY77" s="548"/>
      <c r="CLZ77" s="548"/>
      <c r="CMA77" s="452"/>
      <c r="CMB77" s="596"/>
      <c r="CMC77" s="548"/>
      <c r="CMD77" s="548"/>
      <c r="CME77" s="548"/>
      <c r="CMF77" s="548"/>
      <c r="CMG77" s="548"/>
      <c r="CMH77" s="452"/>
      <c r="CMI77" s="596"/>
      <c r="CMJ77" s="548"/>
      <c r="CMK77" s="548"/>
      <c r="CML77" s="548"/>
      <c r="CMM77" s="548"/>
      <c r="CMN77" s="548"/>
      <c r="CMO77" s="452"/>
      <c r="CMP77" s="596"/>
      <c r="CMQ77" s="548"/>
      <c r="CMR77" s="548"/>
      <c r="CMS77" s="548"/>
      <c r="CMT77" s="548"/>
      <c r="CMU77" s="548"/>
      <c r="CMV77" s="452"/>
      <c r="CMW77" s="596"/>
      <c r="CMX77" s="548"/>
      <c r="CMY77" s="548"/>
      <c r="CMZ77" s="548"/>
      <c r="CNA77" s="548"/>
      <c r="CNB77" s="548"/>
      <c r="CNC77" s="452"/>
      <c r="CND77" s="596"/>
      <c r="CNE77" s="548"/>
      <c r="CNF77" s="548"/>
      <c r="CNG77" s="548"/>
      <c r="CNH77" s="548"/>
      <c r="CNI77" s="548"/>
      <c r="CNJ77" s="452"/>
      <c r="CNK77" s="596"/>
      <c r="CNL77" s="548"/>
      <c r="CNM77" s="548"/>
      <c r="CNN77" s="548"/>
      <c r="CNO77" s="548"/>
      <c r="CNP77" s="548"/>
      <c r="CNQ77" s="452"/>
      <c r="CNR77" s="596"/>
      <c r="CNS77" s="548"/>
      <c r="CNT77" s="548"/>
      <c r="CNU77" s="548"/>
      <c r="CNV77" s="548"/>
      <c r="CNW77" s="548"/>
      <c r="CNX77" s="452"/>
      <c r="CNY77" s="596"/>
      <c r="CNZ77" s="548"/>
      <c r="COA77" s="548"/>
      <c r="COB77" s="548"/>
      <c r="COC77" s="548"/>
      <c r="COD77" s="548"/>
      <c r="COE77" s="452"/>
      <c r="COF77" s="596"/>
      <c r="COG77" s="548"/>
      <c r="COH77" s="548"/>
      <c r="COI77" s="548"/>
      <c r="COJ77" s="548"/>
      <c r="COK77" s="548"/>
      <c r="COL77" s="452"/>
      <c r="COM77" s="596"/>
      <c r="CON77" s="548"/>
      <c r="COO77" s="548"/>
      <c r="COP77" s="548"/>
      <c r="COQ77" s="548"/>
      <c r="COR77" s="548"/>
      <c r="COS77" s="452"/>
      <c r="COT77" s="596"/>
      <c r="COU77" s="548"/>
      <c r="COV77" s="548"/>
      <c r="COW77" s="548"/>
      <c r="COX77" s="548"/>
      <c r="COY77" s="548"/>
      <c r="COZ77" s="452"/>
      <c r="CPA77" s="596"/>
      <c r="CPB77" s="548"/>
      <c r="CPC77" s="548"/>
      <c r="CPD77" s="548"/>
      <c r="CPE77" s="548"/>
      <c r="CPF77" s="548"/>
      <c r="CPG77" s="452"/>
      <c r="CPH77" s="596"/>
      <c r="CPI77" s="548"/>
      <c r="CPJ77" s="548"/>
      <c r="CPK77" s="548"/>
      <c r="CPL77" s="548"/>
      <c r="CPM77" s="548"/>
      <c r="CPN77" s="452"/>
      <c r="CPO77" s="596"/>
      <c r="CPP77" s="548"/>
      <c r="CPQ77" s="548"/>
      <c r="CPR77" s="548"/>
      <c r="CPS77" s="548"/>
      <c r="CPT77" s="548"/>
      <c r="CPU77" s="452"/>
      <c r="CPV77" s="596"/>
      <c r="CPW77" s="548"/>
      <c r="CPX77" s="548"/>
      <c r="CPY77" s="548"/>
      <c r="CPZ77" s="548"/>
      <c r="CQA77" s="548"/>
      <c r="CQB77" s="452"/>
      <c r="CQC77" s="596"/>
      <c r="CQD77" s="548"/>
      <c r="CQE77" s="548"/>
      <c r="CQF77" s="548"/>
      <c r="CQG77" s="548"/>
      <c r="CQH77" s="548"/>
      <c r="CQI77" s="452"/>
      <c r="CQJ77" s="596"/>
      <c r="CQK77" s="548"/>
      <c r="CQL77" s="548"/>
      <c r="CQM77" s="548"/>
      <c r="CQN77" s="548"/>
      <c r="CQO77" s="548"/>
      <c r="CQP77" s="452"/>
      <c r="CQQ77" s="596"/>
      <c r="CQR77" s="548"/>
      <c r="CQS77" s="548"/>
      <c r="CQT77" s="548"/>
      <c r="CQU77" s="548"/>
      <c r="CQV77" s="548"/>
      <c r="CQW77" s="452"/>
      <c r="CQX77" s="596"/>
      <c r="CQY77" s="548"/>
      <c r="CQZ77" s="548"/>
      <c r="CRA77" s="548"/>
      <c r="CRB77" s="548"/>
      <c r="CRC77" s="548"/>
      <c r="CRD77" s="452"/>
      <c r="CRE77" s="596"/>
      <c r="CRF77" s="548"/>
      <c r="CRG77" s="548"/>
      <c r="CRH77" s="548"/>
      <c r="CRI77" s="548"/>
      <c r="CRJ77" s="548"/>
      <c r="CRK77" s="452"/>
      <c r="CRL77" s="596"/>
      <c r="CRM77" s="548"/>
      <c r="CRN77" s="548"/>
      <c r="CRO77" s="548"/>
      <c r="CRP77" s="548"/>
      <c r="CRQ77" s="548"/>
      <c r="CRR77" s="452"/>
      <c r="CRS77" s="596"/>
      <c r="CRT77" s="548"/>
      <c r="CRU77" s="548"/>
      <c r="CRV77" s="548"/>
      <c r="CRW77" s="548"/>
      <c r="CRX77" s="548"/>
      <c r="CRY77" s="452"/>
      <c r="CRZ77" s="596"/>
      <c r="CSA77" s="548"/>
      <c r="CSB77" s="548"/>
      <c r="CSC77" s="548"/>
      <c r="CSD77" s="548"/>
      <c r="CSE77" s="548"/>
      <c r="CSF77" s="452"/>
      <c r="CSG77" s="596"/>
      <c r="CSH77" s="548"/>
      <c r="CSI77" s="548"/>
      <c r="CSJ77" s="548"/>
      <c r="CSK77" s="548"/>
      <c r="CSL77" s="548"/>
      <c r="CSM77" s="452"/>
      <c r="CSN77" s="596"/>
      <c r="CSO77" s="548"/>
      <c r="CSP77" s="548"/>
      <c r="CSQ77" s="548"/>
      <c r="CSR77" s="548"/>
      <c r="CSS77" s="548"/>
      <c r="CST77" s="452"/>
      <c r="CSU77" s="596"/>
      <c r="CSV77" s="548"/>
      <c r="CSW77" s="548"/>
      <c r="CSX77" s="548"/>
      <c r="CSY77" s="548"/>
      <c r="CSZ77" s="548"/>
      <c r="CTA77" s="452"/>
      <c r="CTB77" s="596"/>
      <c r="CTC77" s="548"/>
      <c r="CTD77" s="548"/>
      <c r="CTE77" s="548"/>
      <c r="CTF77" s="548"/>
      <c r="CTG77" s="548"/>
      <c r="CTH77" s="452"/>
      <c r="CTI77" s="596"/>
      <c r="CTJ77" s="548"/>
      <c r="CTK77" s="548"/>
      <c r="CTL77" s="548"/>
      <c r="CTM77" s="548"/>
      <c r="CTN77" s="548"/>
      <c r="CTO77" s="452"/>
      <c r="CTP77" s="596"/>
      <c r="CTQ77" s="548"/>
      <c r="CTR77" s="548"/>
      <c r="CTS77" s="548"/>
      <c r="CTT77" s="548"/>
      <c r="CTU77" s="548"/>
      <c r="CTV77" s="452"/>
      <c r="CTW77" s="596"/>
      <c r="CTX77" s="548"/>
      <c r="CTY77" s="548"/>
      <c r="CTZ77" s="548"/>
      <c r="CUA77" s="548"/>
      <c r="CUB77" s="548"/>
      <c r="CUC77" s="452"/>
      <c r="CUD77" s="596"/>
      <c r="CUE77" s="548"/>
      <c r="CUF77" s="548"/>
      <c r="CUG77" s="548"/>
      <c r="CUH77" s="548"/>
      <c r="CUI77" s="548"/>
      <c r="CUJ77" s="452"/>
      <c r="CUK77" s="596"/>
      <c r="CUL77" s="548"/>
      <c r="CUM77" s="548"/>
      <c r="CUN77" s="548"/>
      <c r="CUO77" s="548"/>
      <c r="CUP77" s="548"/>
      <c r="CUQ77" s="452"/>
      <c r="CUR77" s="596"/>
      <c r="CUS77" s="548"/>
      <c r="CUT77" s="548"/>
      <c r="CUU77" s="548"/>
      <c r="CUV77" s="548"/>
      <c r="CUW77" s="548"/>
      <c r="CUX77" s="452"/>
      <c r="CUY77" s="596"/>
      <c r="CUZ77" s="548"/>
      <c r="CVA77" s="548"/>
      <c r="CVB77" s="548"/>
      <c r="CVC77" s="548"/>
      <c r="CVD77" s="548"/>
      <c r="CVE77" s="452"/>
      <c r="CVF77" s="596"/>
      <c r="CVG77" s="548"/>
      <c r="CVH77" s="548"/>
      <c r="CVI77" s="548"/>
      <c r="CVJ77" s="548"/>
      <c r="CVK77" s="548"/>
      <c r="CVL77" s="452"/>
      <c r="CVM77" s="596"/>
      <c r="CVN77" s="548"/>
      <c r="CVO77" s="548"/>
      <c r="CVP77" s="548"/>
      <c r="CVQ77" s="548"/>
      <c r="CVR77" s="548"/>
      <c r="CVS77" s="452"/>
      <c r="CVT77" s="596"/>
      <c r="CVU77" s="548"/>
      <c r="CVV77" s="548"/>
      <c r="CVW77" s="548"/>
      <c r="CVX77" s="548"/>
      <c r="CVY77" s="548"/>
      <c r="CVZ77" s="452"/>
      <c r="CWA77" s="596"/>
      <c r="CWB77" s="548"/>
      <c r="CWC77" s="548"/>
      <c r="CWD77" s="548"/>
      <c r="CWE77" s="548"/>
      <c r="CWF77" s="548"/>
      <c r="CWG77" s="452"/>
      <c r="CWH77" s="596"/>
      <c r="CWI77" s="548"/>
      <c r="CWJ77" s="548"/>
      <c r="CWK77" s="548"/>
      <c r="CWL77" s="548"/>
      <c r="CWM77" s="548"/>
      <c r="CWN77" s="452"/>
      <c r="CWO77" s="596"/>
      <c r="CWP77" s="548"/>
      <c r="CWQ77" s="548"/>
      <c r="CWR77" s="548"/>
      <c r="CWS77" s="548"/>
      <c r="CWT77" s="548"/>
      <c r="CWU77" s="452"/>
      <c r="CWV77" s="596"/>
      <c r="CWW77" s="548"/>
      <c r="CWX77" s="548"/>
      <c r="CWY77" s="548"/>
      <c r="CWZ77" s="548"/>
      <c r="CXA77" s="548"/>
      <c r="CXB77" s="452"/>
      <c r="CXC77" s="596"/>
      <c r="CXD77" s="548"/>
      <c r="CXE77" s="548"/>
      <c r="CXF77" s="548"/>
      <c r="CXG77" s="548"/>
      <c r="CXH77" s="548"/>
      <c r="CXI77" s="452"/>
      <c r="CXJ77" s="596"/>
      <c r="CXK77" s="548"/>
      <c r="CXL77" s="548"/>
      <c r="CXM77" s="548"/>
      <c r="CXN77" s="548"/>
      <c r="CXO77" s="548"/>
      <c r="CXP77" s="452"/>
      <c r="CXQ77" s="596"/>
      <c r="CXR77" s="548"/>
      <c r="CXS77" s="548"/>
      <c r="CXT77" s="548"/>
      <c r="CXU77" s="548"/>
      <c r="CXV77" s="548"/>
      <c r="CXW77" s="452"/>
      <c r="CXX77" s="596"/>
      <c r="CXY77" s="548"/>
      <c r="CXZ77" s="548"/>
      <c r="CYA77" s="548"/>
      <c r="CYB77" s="548"/>
      <c r="CYC77" s="548"/>
      <c r="CYD77" s="452"/>
      <c r="CYE77" s="596"/>
      <c r="CYF77" s="548"/>
      <c r="CYG77" s="548"/>
      <c r="CYH77" s="548"/>
      <c r="CYI77" s="548"/>
      <c r="CYJ77" s="548"/>
      <c r="CYK77" s="452"/>
      <c r="CYL77" s="596"/>
      <c r="CYM77" s="548"/>
      <c r="CYN77" s="548"/>
      <c r="CYO77" s="548"/>
      <c r="CYP77" s="548"/>
      <c r="CYQ77" s="548"/>
      <c r="CYR77" s="452"/>
      <c r="CYS77" s="596"/>
      <c r="CYT77" s="548"/>
      <c r="CYU77" s="548"/>
      <c r="CYV77" s="548"/>
      <c r="CYW77" s="548"/>
      <c r="CYX77" s="548"/>
      <c r="CYY77" s="452"/>
      <c r="CYZ77" s="596"/>
      <c r="CZA77" s="548"/>
      <c r="CZB77" s="548"/>
      <c r="CZC77" s="548"/>
      <c r="CZD77" s="548"/>
      <c r="CZE77" s="548"/>
      <c r="CZF77" s="452"/>
      <c r="CZG77" s="596"/>
      <c r="CZH77" s="548"/>
      <c r="CZI77" s="548"/>
      <c r="CZJ77" s="548"/>
      <c r="CZK77" s="548"/>
      <c r="CZL77" s="548"/>
      <c r="CZM77" s="452"/>
      <c r="CZN77" s="596"/>
      <c r="CZO77" s="548"/>
      <c r="CZP77" s="548"/>
      <c r="CZQ77" s="548"/>
      <c r="CZR77" s="548"/>
      <c r="CZS77" s="548"/>
      <c r="CZT77" s="452"/>
      <c r="CZU77" s="596"/>
      <c r="CZV77" s="548"/>
      <c r="CZW77" s="548"/>
      <c r="CZX77" s="548"/>
      <c r="CZY77" s="548"/>
      <c r="CZZ77" s="548"/>
      <c r="DAA77" s="452"/>
      <c r="DAB77" s="596"/>
      <c r="DAC77" s="548"/>
      <c r="DAD77" s="548"/>
      <c r="DAE77" s="548"/>
      <c r="DAF77" s="548"/>
      <c r="DAG77" s="548"/>
      <c r="DAH77" s="452"/>
      <c r="DAI77" s="596"/>
      <c r="DAJ77" s="548"/>
      <c r="DAK77" s="548"/>
      <c r="DAL77" s="548"/>
      <c r="DAM77" s="548"/>
      <c r="DAN77" s="548"/>
      <c r="DAO77" s="452"/>
      <c r="DAP77" s="596"/>
      <c r="DAQ77" s="548"/>
      <c r="DAR77" s="548"/>
      <c r="DAS77" s="548"/>
      <c r="DAT77" s="548"/>
      <c r="DAU77" s="548"/>
      <c r="DAV77" s="452"/>
      <c r="DAW77" s="596"/>
      <c r="DAX77" s="548"/>
      <c r="DAY77" s="548"/>
      <c r="DAZ77" s="548"/>
      <c r="DBA77" s="548"/>
      <c r="DBB77" s="548"/>
      <c r="DBC77" s="452"/>
      <c r="DBD77" s="596"/>
      <c r="DBE77" s="548"/>
      <c r="DBF77" s="548"/>
      <c r="DBG77" s="548"/>
      <c r="DBH77" s="548"/>
      <c r="DBI77" s="548"/>
      <c r="DBJ77" s="452"/>
      <c r="DBK77" s="596"/>
      <c r="DBL77" s="548"/>
      <c r="DBM77" s="548"/>
      <c r="DBN77" s="548"/>
      <c r="DBO77" s="548"/>
      <c r="DBP77" s="548"/>
      <c r="DBQ77" s="452"/>
      <c r="DBR77" s="596"/>
      <c r="DBS77" s="548"/>
      <c r="DBT77" s="548"/>
      <c r="DBU77" s="548"/>
      <c r="DBV77" s="548"/>
      <c r="DBW77" s="548"/>
      <c r="DBX77" s="452"/>
      <c r="DBY77" s="596"/>
      <c r="DBZ77" s="548"/>
      <c r="DCA77" s="548"/>
      <c r="DCB77" s="548"/>
      <c r="DCC77" s="548"/>
      <c r="DCD77" s="548"/>
      <c r="DCE77" s="452"/>
      <c r="DCF77" s="596"/>
      <c r="DCG77" s="548"/>
      <c r="DCH77" s="548"/>
      <c r="DCI77" s="548"/>
      <c r="DCJ77" s="548"/>
      <c r="DCK77" s="548"/>
      <c r="DCL77" s="452"/>
      <c r="DCM77" s="596"/>
      <c r="DCN77" s="548"/>
      <c r="DCO77" s="548"/>
      <c r="DCP77" s="548"/>
      <c r="DCQ77" s="548"/>
      <c r="DCR77" s="548"/>
      <c r="DCS77" s="452"/>
      <c r="DCT77" s="596"/>
      <c r="DCU77" s="548"/>
      <c r="DCV77" s="548"/>
      <c r="DCW77" s="548"/>
      <c r="DCX77" s="548"/>
      <c r="DCY77" s="548"/>
      <c r="DCZ77" s="452"/>
      <c r="DDA77" s="596"/>
      <c r="DDB77" s="548"/>
      <c r="DDC77" s="548"/>
      <c r="DDD77" s="548"/>
      <c r="DDE77" s="548"/>
      <c r="DDF77" s="548"/>
      <c r="DDG77" s="452"/>
      <c r="DDH77" s="596"/>
      <c r="DDI77" s="548"/>
      <c r="DDJ77" s="548"/>
      <c r="DDK77" s="548"/>
      <c r="DDL77" s="548"/>
      <c r="DDM77" s="548"/>
      <c r="DDN77" s="452"/>
      <c r="DDO77" s="596"/>
      <c r="DDP77" s="548"/>
      <c r="DDQ77" s="548"/>
      <c r="DDR77" s="548"/>
      <c r="DDS77" s="548"/>
      <c r="DDT77" s="548"/>
      <c r="DDU77" s="452"/>
      <c r="DDV77" s="596"/>
      <c r="DDW77" s="548"/>
      <c r="DDX77" s="548"/>
      <c r="DDY77" s="548"/>
      <c r="DDZ77" s="548"/>
      <c r="DEA77" s="548"/>
      <c r="DEB77" s="452"/>
      <c r="DEC77" s="596"/>
      <c r="DED77" s="548"/>
      <c r="DEE77" s="548"/>
      <c r="DEF77" s="548"/>
      <c r="DEG77" s="548"/>
      <c r="DEH77" s="548"/>
      <c r="DEI77" s="452"/>
      <c r="DEJ77" s="596"/>
      <c r="DEK77" s="548"/>
      <c r="DEL77" s="548"/>
      <c r="DEM77" s="548"/>
      <c r="DEN77" s="548"/>
      <c r="DEO77" s="548"/>
      <c r="DEP77" s="452"/>
      <c r="DEQ77" s="596"/>
      <c r="DER77" s="548"/>
      <c r="DES77" s="548"/>
      <c r="DET77" s="548"/>
      <c r="DEU77" s="548"/>
      <c r="DEV77" s="548"/>
      <c r="DEW77" s="452"/>
      <c r="DEX77" s="596"/>
      <c r="DEY77" s="548"/>
      <c r="DEZ77" s="548"/>
      <c r="DFA77" s="548"/>
      <c r="DFB77" s="548"/>
      <c r="DFC77" s="548"/>
      <c r="DFD77" s="452"/>
      <c r="DFE77" s="596"/>
      <c r="DFF77" s="548"/>
      <c r="DFG77" s="548"/>
      <c r="DFH77" s="548"/>
      <c r="DFI77" s="548"/>
      <c r="DFJ77" s="548"/>
      <c r="DFK77" s="452"/>
      <c r="DFL77" s="596"/>
      <c r="DFM77" s="548"/>
      <c r="DFN77" s="548"/>
      <c r="DFO77" s="548"/>
      <c r="DFP77" s="548"/>
      <c r="DFQ77" s="548"/>
      <c r="DFR77" s="452"/>
      <c r="DFS77" s="596"/>
      <c r="DFT77" s="548"/>
      <c r="DFU77" s="548"/>
      <c r="DFV77" s="548"/>
      <c r="DFW77" s="548"/>
      <c r="DFX77" s="548"/>
      <c r="DFY77" s="452"/>
      <c r="DFZ77" s="596"/>
      <c r="DGA77" s="548"/>
      <c r="DGB77" s="548"/>
      <c r="DGC77" s="548"/>
      <c r="DGD77" s="548"/>
      <c r="DGE77" s="548"/>
      <c r="DGF77" s="452"/>
      <c r="DGG77" s="596"/>
      <c r="DGH77" s="548"/>
      <c r="DGI77" s="548"/>
      <c r="DGJ77" s="548"/>
      <c r="DGK77" s="548"/>
      <c r="DGL77" s="548"/>
      <c r="DGM77" s="452"/>
      <c r="DGN77" s="596"/>
      <c r="DGO77" s="548"/>
      <c r="DGP77" s="548"/>
      <c r="DGQ77" s="548"/>
      <c r="DGR77" s="548"/>
      <c r="DGS77" s="548"/>
      <c r="DGT77" s="452"/>
      <c r="DGU77" s="596"/>
      <c r="DGV77" s="548"/>
      <c r="DGW77" s="548"/>
      <c r="DGX77" s="548"/>
      <c r="DGY77" s="548"/>
      <c r="DGZ77" s="548"/>
      <c r="DHA77" s="452"/>
      <c r="DHB77" s="596"/>
      <c r="DHC77" s="548"/>
      <c r="DHD77" s="548"/>
      <c r="DHE77" s="548"/>
      <c r="DHF77" s="548"/>
      <c r="DHG77" s="548"/>
      <c r="DHH77" s="452"/>
      <c r="DHI77" s="596"/>
      <c r="DHJ77" s="548"/>
      <c r="DHK77" s="548"/>
      <c r="DHL77" s="548"/>
      <c r="DHM77" s="548"/>
      <c r="DHN77" s="548"/>
      <c r="DHO77" s="452"/>
      <c r="DHP77" s="596"/>
      <c r="DHQ77" s="548"/>
      <c r="DHR77" s="548"/>
      <c r="DHS77" s="548"/>
      <c r="DHT77" s="548"/>
      <c r="DHU77" s="548"/>
      <c r="DHV77" s="452"/>
      <c r="DHW77" s="596"/>
      <c r="DHX77" s="548"/>
      <c r="DHY77" s="548"/>
      <c r="DHZ77" s="548"/>
      <c r="DIA77" s="548"/>
      <c r="DIB77" s="548"/>
      <c r="DIC77" s="452"/>
      <c r="DID77" s="596"/>
      <c r="DIE77" s="548"/>
      <c r="DIF77" s="548"/>
      <c r="DIG77" s="548"/>
      <c r="DIH77" s="548"/>
      <c r="DII77" s="548"/>
      <c r="DIJ77" s="452"/>
      <c r="DIK77" s="596"/>
      <c r="DIL77" s="548"/>
      <c r="DIM77" s="548"/>
      <c r="DIN77" s="548"/>
      <c r="DIO77" s="548"/>
      <c r="DIP77" s="548"/>
      <c r="DIQ77" s="452"/>
      <c r="DIR77" s="596"/>
      <c r="DIS77" s="548"/>
      <c r="DIT77" s="548"/>
      <c r="DIU77" s="548"/>
      <c r="DIV77" s="548"/>
      <c r="DIW77" s="548"/>
      <c r="DIX77" s="452"/>
      <c r="DIY77" s="596"/>
      <c r="DIZ77" s="548"/>
      <c r="DJA77" s="548"/>
      <c r="DJB77" s="548"/>
      <c r="DJC77" s="548"/>
      <c r="DJD77" s="548"/>
      <c r="DJE77" s="452"/>
      <c r="DJF77" s="596"/>
      <c r="DJG77" s="548"/>
      <c r="DJH77" s="548"/>
      <c r="DJI77" s="548"/>
      <c r="DJJ77" s="548"/>
      <c r="DJK77" s="548"/>
      <c r="DJL77" s="452"/>
      <c r="DJM77" s="596"/>
      <c r="DJN77" s="548"/>
      <c r="DJO77" s="548"/>
      <c r="DJP77" s="548"/>
      <c r="DJQ77" s="548"/>
      <c r="DJR77" s="548"/>
      <c r="DJS77" s="452"/>
      <c r="DJT77" s="596"/>
      <c r="DJU77" s="548"/>
      <c r="DJV77" s="548"/>
      <c r="DJW77" s="548"/>
      <c r="DJX77" s="548"/>
      <c r="DJY77" s="548"/>
      <c r="DJZ77" s="452"/>
      <c r="DKA77" s="596"/>
      <c r="DKB77" s="548"/>
      <c r="DKC77" s="548"/>
      <c r="DKD77" s="548"/>
      <c r="DKE77" s="548"/>
      <c r="DKF77" s="548"/>
      <c r="DKG77" s="452"/>
      <c r="DKH77" s="596"/>
      <c r="DKI77" s="548"/>
      <c r="DKJ77" s="548"/>
      <c r="DKK77" s="548"/>
      <c r="DKL77" s="548"/>
      <c r="DKM77" s="548"/>
      <c r="DKN77" s="452"/>
      <c r="DKO77" s="596"/>
      <c r="DKP77" s="548"/>
      <c r="DKQ77" s="548"/>
      <c r="DKR77" s="548"/>
      <c r="DKS77" s="548"/>
      <c r="DKT77" s="548"/>
      <c r="DKU77" s="452"/>
      <c r="DKV77" s="596"/>
      <c r="DKW77" s="548"/>
      <c r="DKX77" s="548"/>
      <c r="DKY77" s="548"/>
      <c r="DKZ77" s="548"/>
      <c r="DLA77" s="548"/>
      <c r="DLB77" s="452"/>
      <c r="DLC77" s="596"/>
      <c r="DLD77" s="548"/>
      <c r="DLE77" s="548"/>
      <c r="DLF77" s="548"/>
      <c r="DLG77" s="548"/>
      <c r="DLH77" s="548"/>
      <c r="DLI77" s="452"/>
      <c r="DLJ77" s="596"/>
      <c r="DLK77" s="548"/>
      <c r="DLL77" s="548"/>
      <c r="DLM77" s="548"/>
      <c r="DLN77" s="548"/>
      <c r="DLO77" s="548"/>
      <c r="DLP77" s="452"/>
      <c r="DLQ77" s="596"/>
      <c r="DLR77" s="548"/>
      <c r="DLS77" s="548"/>
      <c r="DLT77" s="548"/>
      <c r="DLU77" s="548"/>
      <c r="DLV77" s="548"/>
      <c r="DLW77" s="452"/>
      <c r="DLX77" s="596"/>
      <c r="DLY77" s="548"/>
      <c r="DLZ77" s="548"/>
      <c r="DMA77" s="548"/>
      <c r="DMB77" s="548"/>
      <c r="DMC77" s="548"/>
      <c r="DMD77" s="452"/>
      <c r="DME77" s="596"/>
      <c r="DMF77" s="548"/>
      <c r="DMG77" s="548"/>
      <c r="DMH77" s="548"/>
      <c r="DMI77" s="548"/>
      <c r="DMJ77" s="548"/>
      <c r="DMK77" s="452"/>
      <c r="DML77" s="596"/>
      <c r="DMM77" s="548"/>
      <c r="DMN77" s="548"/>
      <c r="DMO77" s="548"/>
      <c r="DMP77" s="548"/>
      <c r="DMQ77" s="548"/>
      <c r="DMR77" s="452"/>
      <c r="DMS77" s="596"/>
      <c r="DMT77" s="548"/>
      <c r="DMU77" s="548"/>
      <c r="DMV77" s="548"/>
      <c r="DMW77" s="548"/>
      <c r="DMX77" s="548"/>
      <c r="DMY77" s="452"/>
      <c r="DMZ77" s="596"/>
      <c r="DNA77" s="548"/>
      <c r="DNB77" s="548"/>
      <c r="DNC77" s="548"/>
      <c r="DND77" s="548"/>
      <c r="DNE77" s="548"/>
      <c r="DNF77" s="452"/>
      <c r="DNG77" s="596"/>
      <c r="DNH77" s="548"/>
      <c r="DNI77" s="548"/>
      <c r="DNJ77" s="548"/>
      <c r="DNK77" s="548"/>
      <c r="DNL77" s="548"/>
      <c r="DNM77" s="452"/>
      <c r="DNN77" s="596"/>
      <c r="DNO77" s="548"/>
      <c r="DNP77" s="548"/>
      <c r="DNQ77" s="548"/>
      <c r="DNR77" s="548"/>
      <c r="DNS77" s="548"/>
      <c r="DNT77" s="452"/>
      <c r="DNU77" s="596"/>
      <c r="DNV77" s="548"/>
      <c r="DNW77" s="548"/>
      <c r="DNX77" s="548"/>
      <c r="DNY77" s="548"/>
      <c r="DNZ77" s="548"/>
      <c r="DOA77" s="452"/>
      <c r="DOB77" s="596"/>
      <c r="DOC77" s="548"/>
      <c r="DOD77" s="548"/>
      <c r="DOE77" s="548"/>
      <c r="DOF77" s="548"/>
      <c r="DOG77" s="548"/>
      <c r="DOH77" s="452"/>
      <c r="DOI77" s="596"/>
      <c r="DOJ77" s="548"/>
      <c r="DOK77" s="548"/>
      <c r="DOL77" s="548"/>
      <c r="DOM77" s="548"/>
      <c r="DON77" s="548"/>
      <c r="DOO77" s="452"/>
      <c r="DOP77" s="596"/>
      <c r="DOQ77" s="548"/>
      <c r="DOR77" s="548"/>
      <c r="DOS77" s="548"/>
      <c r="DOT77" s="548"/>
      <c r="DOU77" s="548"/>
      <c r="DOV77" s="452"/>
      <c r="DOW77" s="596"/>
      <c r="DOX77" s="548"/>
      <c r="DOY77" s="548"/>
      <c r="DOZ77" s="548"/>
      <c r="DPA77" s="548"/>
      <c r="DPB77" s="548"/>
      <c r="DPC77" s="452"/>
      <c r="DPD77" s="596"/>
      <c r="DPE77" s="548"/>
      <c r="DPF77" s="548"/>
      <c r="DPG77" s="548"/>
      <c r="DPH77" s="548"/>
      <c r="DPI77" s="548"/>
      <c r="DPJ77" s="452"/>
      <c r="DPK77" s="596"/>
      <c r="DPL77" s="548"/>
      <c r="DPM77" s="548"/>
      <c r="DPN77" s="548"/>
      <c r="DPO77" s="548"/>
      <c r="DPP77" s="548"/>
      <c r="DPQ77" s="452"/>
      <c r="DPR77" s="596"/>
      <c r="DPS77" s="548"/>
      <c r="DPT77" s="548"/>
      <c r="DPU77" s="548"/>
      <c r="DPV77" s="548"/>
      <c r="DPW77" s="548"/>
      <c r="DPX77" s="452"/>
      <c r="DPY77" s="596"/>
      <c r="DPZ77" s="548"/>
      <c r="DQA77" s="548"/>
      <c r="DQB77" s="548"/>
      <c r="DQC77" s="548"/>
      <c r="DQD77" s="548"/>
      <c r="DQE77" s="452"/>
      <c r="DQF77" s="596"/>
      <c r="DQG77" s="548"/>
      <c r="DQH77" s="548"/>
      <c r="DQI77" s="548"/>
      <c r="DQJ77" s="548"/>
      <c r="DQK77" s="548"/>
      <c r="DQL77" s="452"/>
      <c r="DQM77" s="596"/>
      <c r="DQN77" s="548"/>
      <c r="DQO77" s="548"/>
      <c r="DQP77" s="548"/>
      <c r="DQQ77" s="548"/>
      <c r="DQR77" s="548"/>
      <c r="DQS77" s="452"/>
      <c r="DQT77" s="596"/>
      <c r="DQU77" s="548"/>
      <c r="DQV77" s="548"/>
      <c r="DQW77" s="548"/>
      <c r="DQX77" s="548"/>
      <c r="DQY77" s="548"/>
      <c r="DQZ77" s="452"/>
      <c r="DRA77" s="596"/>
      <c r="DRB77" s="548"/>
      <c r="DRC77" s="548"/>
      <c r="DRD77" s="548"/>
      <c r="DRE77" s="548"/>
      <c r="DRF77" s="548"/>
      <c r="DRG77" s="452"/>
      <c r="DRH77" s="596"/>
      <c r="DRI77" s="548"/>
      <c r="DRJ77" s="548"/>
      <c r="DRK77" s="548"/>
      <c r="DRL77" s="548"/>
      <c r="DRM77" s="548"/>
      <c r="DRN77" s="452"/>
      <c r="DRO77" s="596"/>
      <c r="DRP77" s="548"/>
      <c r="DRQ77" s="548"/>
      <c r="DRR77" s="548"/>
      <c r="DRS77" s="548"/>
      <c r="DRT77" s="548"/>
      <c r="DRU77" s="452"/>
      <c r="DRV77" s="596"/>
      <c r="DRW77" s="548"/>
      <c r="DRX77" s="548"/>
      <c r="DRY77" s="548"/>
      <c r="DRZ77" s="548"/>
      <c r="DSA77" s="548"/>
      <c r="DSB77" s="452"/>
      <c r="DSC77" s="596"/>
      <c r="DSD77" s="548"/>
      <c r="DSE77" s="548"/>
      <c r="DSF77" s="548"/>
      <c r="DSG77" s="548"/>
      <c r="DSH77" s="548"/>
      <c r="DSI77" s="452"/>
      <c r="DSJ77" s="596"/>
      <c r="DSK77" s="548"/>
      <c r="DSL77" s="548"/>
      <c r="DSM77" s="548"/>
      <c r="DSN77" s="548"/>
      <c r="DSO77" s="548"/>
      <c r="DSP77" s="452"/>
      <c r="DSQ77" s="596"/>
      <c r="DSR77" s="548"/>
      <c r="DSS77" s="548"/>
      <c r="DST77" s="548"/>
      <c r="DSU77" s="548"/>
      <c r="DSV77" s="548"/>
      <c r="DSW77" s="452"/>
      <c r="DSX77" s="596"/>
      <c r="DSY77" s="548"/>
      <c r="DSZ77" s="548"/>
      <c r="DTA77" s="548"/>
      <c r="DTB77" s="548"/>
      <c r="DTC77" s="548"/>
      <c r="DTD77" s="452"/>
      <c r="DTE77" s="596"/>
      <c r="DTF77" s="548"/>
      <c r="DTG77" s="548"/>
      <c r="DTH77" s="548"/>
      <c r="DTI77" s="548"/>
      <c r="DTJ77" s="548"/>
      <c r="DTK77" s="452"/>
      <c r="DTL77" s="596"/>
      <c r="DTM77" s="548"/>
      <c r="DTN77" s="548"/>
      <c r="DTO77" s="548"/>
      <c r="DTP77" s="548"/>
      <c r="DTQ77" s="548"/>
      <c r="DTR77" s="452"/>
      <c r="DTS77" s="596"/>
      <c r="DTT77" s="548"/>
      <c r="DTU77" s="548"/>
      <c r="DTV77" s="548"/>
      <c r="DTW77" s="548"/>
      <c r="DTX77" s="548"/>
      <c r="DTY77" s="452"/>
      <c r="DTZ77" s="596"/>
      <c r="DUA77" s="548"/>
      <c r="DUB77" s="548"/>
      <c r="DUC77" s="548"/>
      <c r="DUD77" s="548"/>
      <c r="DUE77" s="548"/>
      <c r="DUF77" s="452"/>
      <c r="DUG77" s="596"/>
      <c r="DUH77" s="548"/>
      <c r="DUI77" s="548"/>
      <c r="DUJ77" s="548"/>
      <c r="DUK77" s="548"/>
      <c r="DUL77" s="548"/>
      <c r="DUM77" s="452"/>
      <c r="DUN77" s="596"/>
      <c r="DUO77" s="548"/>
      <c r="DUP77" s="548"/>
      <c r="DUQ77" s="548"/>
      <c r="DUR77" s="548"/>
      <c r="DUS77" s="548"/>
      <c r="DUT77" s="452"/>
      <c r="DUU77" s="596"/>
      <c r="DUV77" s="548"/>
      <c r="DUW77" s="548"/>
      <c r="DUX77" s="548"/>
      <c r="DUY77" s="548"/>
      <c r="DUZ77" s="548"/>
      <c r="DVA77" s="452"/>
      <c r="DVB77" s="596"/>
      <c r="DVC77" s="548"/>
      <c r="DVD77" s="548"/>
      <c r="DVE77" s="548"/>
      <c r="DVF77" s="548"/>
      <c r="DVG77" s="548"/>
      <c r="DVH77" s="452"/>
      <c r="DVI77" s="596"/>
      <c r="DVJ77" s="548"/>
      <c r="DVK77" s="548"/>
      <c r="DVL77" s="548"/>
      <c r="DVM77" s="548"/>
      <c r="DVN77" s="548"/>
      <c r="DVO77" s="452"/>
      <c r="DVP77" s="596"/>
      <c r="DVQ77" s="548"/>
      <c r="DVR77" s="548"/>
      <c r="DVS77" s="548"/>
      <c r="DVT77" s="548"/>
      <c r="DVU77" s="548"/>
      <c r="DVV77" s="452"/>
      <c r="DVW77" s="596"/>
      <c r="DVX77" s="548"/>
      <c r="DVY77" s="548"/>
      <c r="DVZ77" s="548"/>
      <c r="DWA77" s="548"/>
      <c r="DWB77" s="548"/>
      <c r="DWC77" s="452"/>
      <c r="DWD77" s="596"/>
      <c r="DWE77" s="548"/>
      <c r="DWF77" s="548"/>
      <c r="DWG77" s="548"/>
      <c r="DWH77" s="548"/>
      <c r="DWI77" s="548"/>
      <c r="DWJ77" s="452"/>
      <c r="DWK77" s="596"/>
      <c r="DWL77" s="548"/>
      <c r="DWM77" s="548"/>
      <c r="DWN77" s="548"/>
      <c r="DWO77" s="548"/>
      <c r="DWP77" s="548"/>
      <c r="DWQ77" s="452"/>
      <c r="DWR77" s="596"/>
      <c r="DWS77" s="548"/>
      <c r="DWT77" s="548"/>
      <c r="DWU77" s="548"/>
      <c r="DWV77" s="548"/>
      <c r="DWW77" s="548"/>
      <c r="DWX77" s="452"/>
      <c r="DWY77" s="596"/>
      <c r="DWZ77" s="548"/>
      <c r="DXA77" s="548"/>
      <c r="DXB77" s="548"/>
      <c r="DXC77" s="548"/>
      <c r="DXD77" s="548"/>
      <c r="DXE77" s="452"/>
      <c r="DXF77" s="596"/>
      <c r="DXG77" s="548"/>
      <c r="DXH77" s="548"/>
      <c r="DXI77" s="548"/>
      <c r="DXJ77" s="548"/>
      <c r="DXK77" s="548"/>
      <c r="DXL77" s="452"/>
      <c r="DXM77" s="596"/>
      <c r="DXN77" s="548"/>
      <c r="DXO77" s="548"/>
      <c r="DXP77" s="548"/>
      <c r="DXQ77" s="548"/>
      <c r="DXR77" s="548"/>
      <c r="DXS77" s="452"/>
      <c r="DXT77" s="596"/>
      <c r="DXU77" s="548"/>
      <c r="DXV77" s="548"/>
      <c r="DXW77" s="548"/>
      <c r="DXX77" s="548"/>
      <c r="DXY77" s="548"/>
      <c r="DXZ77" s="452"/>
      <c r="DYA77" s="596"/>
      <c r="DYB77" s="548"/>
      <c r="DYC77" s="548"/>
      <c r="DYD77" s="548"/>
      <c r="DYE77" s="548"/>
      <c r="DYF77" s="548"/>
      <c r="DYG77" s="452"/>
      <c r="DYH77" s="596"/>
      <c r="DYI77" s="548"/>
      <c r="DYJ77" s="548"/>
      <c r="DYK77" s="548"/>
      <c r="DYL77" s="548"/>
      <c r="DYM77" s="548"/>
      <c r="DYN77" s="452"/>
      <c r="DYO77" s="596"/>
      <c r="DYP77" s="548"/>
      <c r="DYQ77" s="548"/>
      <c r="DYR77" s="548"/>
      <c r="DYS77" s="548"/>
      <c r="DYT77" s="548"/>
      <c r="DYU77" s="452"/>
      <c r="DYV77" s="596"/>
      <c r="DYW77" s="548"/>
      <c r="DYX77" s="548"/>
      <c r="DYY77" s="548"/>
      <c r="DYZ77" s="548"/>
      <c r="DZA77" s="548"/>
      <c r="DZB77" s="452"/>
      <c r="DZC77" s="596"/>
      <c r="DZD77" s="548"/>
      <c r="DZE77" s="548"/>
      <c r="DZF77" s="548"/>
      <c r="DZG77" s="548"/>
      <c r="DZH77" s="548"/>
      <c r="DZI77" s="452"/>
      <c r="DZJ77" s="596"/>
      <c r="DZK77" s="548"/>
      <c r="DZL77" s="548"/>
      <c r="DZM77" s="548"/>
      <c r="DZN77" s="548"/>
      <c r="DZO77" s="548"/>
      <c r="DZP77" s="452"/>
      <c r="DZQ77" s="596"/>
      <c r="DZR77" s="548"/>
      <c r="DZS77" s="548"/>
      <c r="DZT77" s="548"/>
      <c r="DZU77" s="548"/>
      <c r="DZV77" s="548"/>
      <c r="DZW77" s="452"/>
      <c r="DZX77" s="596"/>
      <c r="DZY77" s="548"/>
      <c r="DZZ77" s="548"/>
      <c r="EAA77" s="548"/>
      <c r="EAB77" s="548"/>
      <c r="EAC77" s="548"/>
      <c r="EAD77" s="452"/>
      <c r="EAE77" s="596"/>
      <c r="EAF77" s="548"/>
      <c r="EAG77" s="548"/>
      <c r="EAH77" s="548"/>
      <c r="EAI77" s="548"/>
      <c r="EAJ77" s="548"/>
      <c r="EAK77" s="452"/>
      <c r="EAL77" s="596"/>
      <c r="EAM77" s="548"/>
      <c r="EAN77" s="548"/>
      <c r="EAO77" s="548"/>
      <c r="EAP77" s="548"/>
      <c r="EAQ77" s="548"/>
      <c r="EAR77" s="452"/>
      <c r="EAS77" s="596"/>
      <c r="EAT77" s="548"/>
      <c r="EAU77" s="548"/>
      <c r="EAV77" s="548"/>
      <c r="EAW77" s="548"/>
      <c r="EAX77" s="548"/>
      <c r="EAY77" s="452"/>
      <c r="EAZ77" s="596"/>
      <c r="EBA77" s="548"/>
      <c r="EBB77" s="548"/>
      <c r="EBC77" s="548"/>
      <c r="EBD77" s="548"/>
      <c r="EBE77" s="548"/>
      <c r="EBF77" s="452"/>
      <c r="EBG77" s="596"/>
      <c r="EBH77" s="548"/>
      <c r="EBI77" s="548"/>
      <c r="EBJ77" s="548"/>
      <c r="EBK77" s="548"/>
      <c r="EBL77" s="548"/>
      <c r="EBM77" s="452"/>
      <c r="EBN77" s="596"/>
      <c r="EBO77" s="548"/>
      <c r="EBP77" s="548"/>
      <c r="EBQ77" s="548"/>
      <c r="EBR77" s="548"/>
      <c r="EBS77" s="548"/>
      <c r="EBT77" s="452"/>
      <c r="EBU77" s="596"/>
      <c r="EBV77" s="548"/>
      <c r="EBW77" s="548"/>
      <c r="EBX77" s="548"/>
      <c r="EBY77" s="548"/>
      <c r="EBZ77" s="548"/>
      <c r="ECA77" s="452"/>
      <c r="ECB77" s="596"/>
      <c r="ECC77" s="548"/>
      <c r="ECD77" s="548"/>
      <c r="ECE77" s="548"/>
      <c r="ECF77" s="548"/>
      <c r="ECG77" s="548"/>
      <c r="ECH77" s="452"/>
      <c r="ECI77" s="596"/>
      <c r="ECJ77" s="548"/>
      <c r="ECK77" s="548"/>
      <c r="ECL77" s="548"/>
      <c r="ECM77" s="548"/>
      <c r="ECN77" s="548"/>
      <c r="ECO77" s="452"/>
      <c r="ECP77" s="596"/>
      <c r="ECQ77" s="548"/>
      <c r="ECR77" s="548"/>
      <c r="ECS77" s="548"/>
      <c r="ECT77" s="548"/>
      <c r="ECU77" s="548"/>
      <c r="ECV77" s="452"/>
      <c r="ECW77" s="596"/>
      <c r="ECX77" s="548"/>
      <c r="ECY77" s="548"/>
      <c r="ECZ77" s="548"/>
      <c r="EDA77" s="548"/>
      <c r="EDB77" s="548"/>
      <c r="EDC77" s="452"/>
      <c r="EDD77" s="596"/>
      <c r="EDE77" s="548"/>
      <c r="EDF77" s="548"/>
      <c r="EDG77" s="548"/>
      <c r="EDH77" s="548"/>
      <c r="EDI77" s="548"/>
      <c r="EDJ77" s="452"/>
      <c r="EDK77" s="596"/>
      <c r="EDL77" s="548"/>
      <c r="EDM77" s="548"/>
      <c r="EDN77" s="548"/>
      <c r="EDO77" s="548"/>
      <c r="EDP77" s="548"/>
      <c r="EDQ77" s="452"/>
      <c r="EDR77" s="596"/>
      <c r="EDS77" s="548"/>
      <c r="EDT77" s="548"/>
      <c r="EDU77" s="548"/>
      <c r="EDV77" s="548"/>
      <c r="EDW77" s="548"/>
      <c r="EDX77" s="452"/>
      <c r="EDY77" s="596"/>
      <c r="EDZ77" s="548"/>
      <c r="EEA77" s="548"/>
      <c r="EEB77" s="548"/>
      <c r="EEC77" s="548"/>
      <c r="EED77" s="548"/>
      <c r="EEE77" s="452"/>
      <c r="EEF77" s="596"/>
      <c r="EEG77" s="548"/>
      <c r="EEH77" s="548"/>
      <c r="EEI77" s="548"/>
      <c r="EEJ77" s="548"/>
      <c r="EEK77" s="548"/>
      <c r="EEL77" s="452"/>
      <c r="EEM77" s="596"/>
      <c r="EEN77" s="548"/>
      <c r="EEO77" s="548"/>
      <c r="EEP77" s="548"/>
      <c r="EEQ77" s="548"/>
      <c r="EER77" s="548"/>
      <c r="EES77" s="452"/>
      <c r="EET77" s="596"/>
      <c r="EEU77" s="548"/>
      <c r="EEV77" s="548"/>
      <c r="EEW77" s="548"/>
      <c r="EEX77" s="548"/>
      <c r="EEY77" s="548"/>
      <c r="EEZ77" s="452"/>
      <c r="EFA77" s="596"/>
      <c r="EFB77" s="548"/>
      <c r="EFC77" s="548"/>
      <c r="EFD77" s="548"/>
      <c r="EFE77" s="548"/>
      <c r="EFF77" s="548"/>
      <c r="EFG77" s="452"/>
      <c r="EFH77" s="596"/>
      <c r="EFI77" s="548"/>
      <c r="EFJ77" s="548"/>
      <c r="EFK77" s="548"/>
      <c r="EFL77" s="548"/>
      <c r="EFM77" s="548"/>
      <c r="EFN77" s="452"/>
      <c r="EFO77" s="596"/>
      <c r="EFP77" s="548"/>
      <c r="EFQ77" s="548"/>
      <c r="EFR77" s="548"/>
      <c r="EFS77" s="548"/>
      <c r="EFT77" s="548"/>
      <c r="EFU77" s="452"/>
      <c r="EFV77" s="596"/>
      <c r="EFW77" s="548"/>
      <c r="EFX77" s="548"/>
      <c r="EFY77" s="548"/>
      <c r="EFZ77" s="548"/>
      <c r="EGA77" s="548"/>
      <c r="EGB77" s="452"/>
      <c r="EGC77" s="596"/>
      <c r="EGD77" s="548"/>
      <c r="EGE77" s="548"/>
      <c r="EGF77" s="548"/>
      <c r="EGG77" s="548"/>
      <c r="EGH77" s="548"/>
      <c r="EGI77" s="452"/>
      <c r="EGJ77" s="596"/>
      <c r="EGK77" s="548"/>
      <c r="EGL77" s="548"/>
      <c r="EGM77" s="548"/>
      <c r="EGN77" s="548"/>
      <c r="EGO77" s="548"/>
      <c r="EGP77" s="452"/>
      <c r="EGQ77" s="596"/>
      <c r="EGR77" s="548"/>
      <c r="EGS77" s="548"/>
      <c r="EGT77" s="548"/>
      <c r="EGU77" s="548"/>
      <c r="EGV77" s="548"/>
      <c r="EGW77" s="452"/>
      <c r="EGX77" s="596"/>
      <c r="EGY77" s="548"/>
      <c r="EGZ77" s="548"/>
      <c r="EHA77" s="548"/>
      <c r="EHB77" s="548"/>
      <c r="EHC77" s="548"/>
      <c r="EHD77" s="452"/>
      <c r="EHE77" s="596"/>
      <c r="EHF77" s="548"/>
      <c r="EHG77" s="548"/>
      <c r="EHH77" s="548"/>
      <c r="EHI77" s="548"/>
      <c r="EHJ77" s="548"/>
      <c r="EHK77" s="452"/>
      <c r="EHL77" s="596"/>
      <c r="EHM77" s="548"/>
      <c r="EHN77" s="548"/>
      <c r="EHO77" s="548"/>
      <c r="EHP77" s="548"/>
      <c r="EHQ77" s="548"/>
      <c r="EHR77" s="452"/>
      <c r="EHS77" s="596"/>
      <c r="EHT77" s="548"/>
      <c r="EHU77" s="548"/>
      <c r="EHV77" s="548"/>
      <c r="EHW77" s="548"/>
      <c r="EHX77" s="548"/>
      <c r="EHY77" s="452"/>
      <c r="EHZ77" s="596"/>
      <c r="EIA77" s="548"/>
      <c r="EIB77" s="548"/>
      <c r="EIC77" s="548"/>
      <c r="EID77" s="548"/>
      <c r="EIE77" s="548"/>
      <c r="EIF77" s="452"/>
      <c r="EIG77" s="596"/>
      <c r="EIH77" s="548"/>
      <c r="EII77" s="548"/>
      <c r="EIJ77" s="548"/>
      <c r="EIK77" s="548"/>
      <c r="EIL77" s="548"/>
      <c r="EIM77" s="452"/>
      <c r="EIN77" s="596"/>
      <c r="EIO77" s="548"/>
      <c r="EIP77" s="548"/>
      <c r="EIQ77" s="548"/>
      <c r="EIR77" s="548"/>
      <c r="EIS77" s="548"/>
      <c r="EIT77" s="452"/>
      <c r="EIU77" s="596"/>
      <c r="EIV77" s="548"/>
      <c r="EIW77" s="548"/>
      <c r="EIX77" s="548"/>
      <c r="EIY77" s="548"/>
      <c r="EIZ77" s="548"/>
      <c r="EJA77" s="452"/>
      <c r="EJB77" s="596"/>
      <c r="EJC77" s="548"/>
      <c r="EJD77" s="548"/>
      <c r="EJE77" s="548"/>
      <c r="EJF77" s="548"/>
      <c r="EJG77" s="548"/>
      <c r="EJH77" s="452"/>
      <c r="EJI77" s="596"/>
      <c r="EJJ77" s="548"/>
      <c r="EJK77" s="548"/>
      <c r="EJL77" s="548"/>
      <c r="EJM77" s="548"/>
      <c r="EJN77" s="548"/>
      <c r="EJO77" s="452"/>
      <c r="EJP77" s="596"/>
      <c r="EJQ77" s="548"/>
      <c r="EJR77" s="548"/>
      <c r="EJS77" s="548"/>
      <c r="EJT77" s="548"/>
      <c r="EJU77" s="548"/>
      <c r="EJV77" s="452"/>
      <c r="EJW77" s="596"/>
      <c r="EJX77" s="548"/>
      <c r="EJY77" s="548"/>
      <c r="EJZ77" s="548"/>
      <c r="EKA77" s="548"/>
      <c r="EKB77" s="548"/>
      <c r="EKC77" s="452"/>
      <c r="EKD77" s="596"/>
      <c r="EKE77" s="548"/>
      <c r="EKF77" s="548"/>
      <c r="EKG77" s="548"/>
      <c r="EKH77" s="548"/>
      <c r="EKI77" s="548"/>
      <c r="EKJ77" s="452"/>
      <c r="EKK77" s="596"/>
      <c r="EKL77" s="548"/>
      <c r="EKM77" s="548"/>
      <c r="EKN77" s="548"/>
      <c r="EKO77" s="548"/>
      <c r="EKP77" s="548"/>
      <c r="EKQ77" s="452"/>
      <c r="EKR77" s="596"/>
      <c r="EKS77" s="548"/>
      <c r="EKT77" s="548"/>
      <c r="EKU77" s="548"/>
      <c r="EKV77" s="548"/>
      <c r="EKW77" s="548"/>
      <c r="EKX77" s="452"/>
      <c r="EKY77" s="596"/>
      <c r="EKZ77" s="548"/>
      <c r="ELA77" s="548"/>
      <c r="ELB77" s="548"/>
      <c r="ELC77" s="548"/>
      <c r="ELD77" s="548"/>
      <c r="ELE77" s="452"/>
      <c r="ELF77" s="596"/>
      <c r="ELG77" s="548"/>
      <c r="ELH77" s="548"/>
      <c r="ELI77" s="548"/>
      <c r="ELJ77" s="548"/>
      <c r="ELK77" s="548"/>
      <c r="ELL77" s="452"/>
      <c r="ELM77" s="596"/>
      <c r="ELN77" s="548"/>
      <c r="ELO77" s="548"/>
      <c r="ELP77" s="548"/>
      <c r="ELQ77" s="548"/>
      <c r="ELR77" s="548"/>
      <c r="ELS77" s="452"/>
      <c r="ELT77" s="596"/>
      <c r="ELU77" s="548"/>
      <c r="ELV77" s="548"/>
      <c r="ELW77" s="548"/>
      <c r="ELX77" s="548"/>
      <c r="ELY77" s="548"/>
      <c r="ELZ77" s="452"/>
      <c r="EMA77" s="596"/>
      <c r="EMB77" s="548"/>
      <c r="EMC77" s="548"/>
      <c r="EMD77" s="548"/>
      <c r="EME77" s="548"/>
      <c r="EMF77" s="548"/>
      <c r="EMG77" s="452"/>
      <c r="EMH77" s="596"/>
      <c r="EMI77" s="548"/>
      <c r="EMJ77" s="548"/>
      <c r="EMK77" s="548"/>
      <c r="EML77" s="548"/>
      <c r="EMM77" s="548"/>
      <c r="EMN77" s="452"/>
      <c r="EMO77" s="596"/>
      <c r="EMP77" s="548"/>
      <c r="EMQ77" s="548"/>
      <c r="EMR77" s="548"/>
      <c r="EMS77" s="548"/>
      <c r="EMT77" s="548"/>
      <c r="EMU77" s="452"/>
      <c r="EMV77" s="596"/>
      <c r="EMW77" s="548"/>
      <c r="EMX77" s="548"/>
      <c r="EMY77" s="548"/>
      <c r="EMZ77" s="548"/>
      <c r="ENA77" s="548"/>
      <c r="ENB77" s="452"/>
      <c r="ENC77" s="596"/>
      <c r="END77" s="548"/>
      <c r="ENE77" s="548"/>
      <c r="ENF77" s="548"/>
      <c r="ENG77" s="548"/>
      <c r="ENH77" s="548"/>
      <c r="ENI77" s="452"/>
      <c r="ENJ77" s="596"/>
      <c r="ENK77" s="548"/>
      <c r="ENL77" s="548"/>
      <c r="ENM77" s="548"/>
      <c r="ENN77" s="548"/>
      <c r="ENO77" s="548"/>
      <c r="ENP77" s="452"/>
      <c r="ENQ77" s="596"/>
      <c r="ENR77" s="548"/>
      <c r="ENS77" s="548"/>
      <c r="ENT77" s="548"/>
      <c r="ENU77" s="548"/>
      <c r="ENV77" s="548"/>
      <c r="ENW77" s="452"/>
      <c r="ENX77" s="596"/>
      <c r="ENY77" s="548"/>
      <c r="ENZ77" s="548"/>
      <c r="EOA77" s="548"/>
      <c r="EOB77" s="548"/>
      <c r="EOC77" s="548"/>
      <c r="EOD77" s="452"/>
      <c r="EOE77" s="596"/>
      <c r="EOF77" s="548"/>
      <c r="EOG77" s="548"/>
      <c r="EOH77" s="548"/>
      <c r="EOI77" s="548"/>
      <c r="EOJ77" s="548"/>
      <c r="EOK77" s="452"/>
      <c r="EOL77" s="596"/>
      <c r="EOM77" s="548"/>
      <c r="EON77" s="548"/>
      <c r="EOO77" s="548"/>
      <c r="EOP77" s="548"/>
      <c r="EOQ77" s="548"/>
      <c r="EOR77" s="452"/>
      <c r="EOS77" s="596"/>
      <c r="EOT77" s="548"/>
      <c r="EOU77" s="548"/>
      <c r="EOV77" s="548"/>
      <c r="EOW77" s="548"/>
      <c r="EOX77" s="548"/>
      <c r="EOY77" s="452"/>
      <c r="EOZ77" s="596"/>
      <c r="EPA77" s="548"/>
      <c r="EPB77" s="548"/>
      <c r="EPC77" s="548"/>
      <c r="EPD77" s="548"/>
      <c r="EPE77" s="548"/>
      <c r="EPF77" s="452"/>
      <c r="EPG77" s="596"/>
      <c r="EPH77" s="548"/>
      <c r="EPI77" s="548"/>
      <c r="EPJ77" s="548"/>
      <c r="EPK77" s="548"/>
      <c r="EPL77" s="548"/>
      <c r="EPM77" s="452"/>
      <c r="EPN77" s="596"/>
      <c r="EPO77" s="548"/>
      <c r="EPP77" s="548"/>
      <c r="EPQ77" s="548"/>
      <c r="EPR77" s="548"/>
      <c r="EPS77" s="548"/>
      <c r="EPT77" s="452"/>
      <c r="EPU77" s="596"/>
      <c r="EPV77" s="548"/>
      <c r="EPW77" s="548"/>
      <c r="EPX77" s="548"/>
      <c r="EPY77" s="548"/>
      <c r="EPZ77" s="548"/>
      <c r="EQA77" s="452"/>
      <c r="EQB77" s="596"/>
      <c r="EQC77" s="548"/>
      <c r="EQD77" s="548"/>
      <c r="EQE77" s="548"/>
      <c r="EQF77" s="548"/>
      <c r="EQG77" s="548"/>
      <c r="EQH77" s="452"/>
      <c r="EQI77" s="596"/>
      <c r="EQJ77" s="548"/>
      <c r="EQK77" s="548"/>
      <c r="EQL77" s="548"/>
      <c r="EQM77" s="548"/>
      <c r="EQN77" s="548"/>
      <c r="EQO77" s="452"/>
      <c r="EQP77" s="596"/>
      <c r="EQQ77" s="548"/>
      <c r="EQR77" s="548"/>
      <c r="EQS77" s="548"/>
      <c r="EQT77" s="548"/>
      <c r="EQU77" s="548"/>
      <c r="EQV77" s="452"/>
      <c r="EQW77" s="596"/>
      <c r="EQX77" s="548"/>
      <c r="EQY77" s="548"/>
      <c r="EQZ77" s="548"/>
      <c r="ERA77" s="548"/>
      <c r="ERB77" s="548"/>
      <c r="ERC77" s="452"/>
      <c r="ERD77" s="596"/>
      <c r="ERE77" s="548"/>
      <c r="ERF77" s="548"/>
      <c r="ERG77" s="548"/>
      <c r="ERH77" s="548"/>
      <c r="ERI77" s="548"/>
      <c r="ERJ77" s="452"/>
      <c r="ERK77" s="596"/>
      <c r="ERL77" s="548"/>
      <c r="ERM77" s="548"/>
      <c r="ERN77" s="548"/>
      <c r="ERO77" s="548"/>
      <c r="ERP77" s="548"/>
      <c r="ERQ77" s="452"/>
      <c r="ERR77" s="596"/>
      <c r="ERS77" s="548"/>
      <c r="ERT77" s="548"/>
      <c r="ERU77" s="548"/>
      <c r="ERV77" s="548"/>
      <c r="ERW77" s="548"/>
      <c r="ERX77" s="452"/>
      <c r="ERY77" s="596"/>
      <c r="ERZ77" s="548"/>
      <c r="ESA77" s="548"/>
      <c r="ESB77" s="548"/>
      <c r="ESC77" s="548"/>
      <c r="ESD77" s="548"/>
      <c r="ESE77" s="452"/>
      <c r="ESF77" s="596"/>
      <c r="ESG77" s="548"/>
      <c r="ESH77" s="548"/>
      <c r="ESI77" s="548"/>
      <c r="ESJ77" s="548"/>
      <c r="ESK77" s="548"/>
      <c r="ESL77" s="452"/>
      <c r="ESM77" s="596"/>
      <c r="ESN77" s="548"/>
      <c r="ESO77" s="548"/>
      <c r="ESP77" s="548"/>
      <c r="ESQ77" s="548"/>
      <c r="ESR77" s="548"/>
      <c r="ESS77" s="452"/>
      <c r="EST77" s="596"/>
      <c r="ESU77" s="548"/>
      <c r="ESV77" s="548"/>
      <c r="ESW77" s="548"/>
      <c r="ESX77" s="548"/>
      <c r="ESY77" s="548"/>
      <c r="ESZ77" s="452"/>
      <c r="ETA77" s="596"/>
      <c r="ETB77" s="548"/>
      <c r="ETC77" s="548"/>
      <c r="ETD77" s="548"/>
      <c r="ETE77" s="548"/>
      <c r="ETF77" s="548"/>
      <c r="ETG77" s="452"/>
      <c r="ETH77" s="596"/>
      <c r="ETI77" s="548"/>
      <c r="ETJ77" s="548"/>
      <c r="ETK77" s="548"/>
      <c r="ETL77" s="548"/>
      <c r="ETM77" s="548"/>
      <c r="ETN77" s="452"/>
      <c r="ETO77" s="596"/>
      <c r="ETP77" s="548"/>
      <c r="ETQ77" s="548"/>
      <c r="ETR77" s="548"/>
      <c r="ETS77" s="548"/>
      <c r="ETT77" s="548"/>
      <c r="ETU77" s="452"/>
      <c r="ETV77" s="596"/>
      <c r="ETW77" s="548"/>
      <c r="ETX77" s="548"/>
      <c r="ETY77" s="548"/>
      <c r="ETZ77" s="548"/>
      <c r="EUA77" s="548"/>
      <c r="EUB77" s="452"/>
      <c r="EUC77" s="596"/>
      <c r="EUD77" s="548"/>
      <c r="EUE77" s="548"/>
      <c r="EUF77" s="548"/>
      <c r="EUG77" s="548"/>
      <c r="EUH77" s="548"/>
      <c r="EUI77" s="452"/>
      <c r="EUJ77" s="596"/>
      <c r="EUK77" s="548"/>
      <c r="EUL77" s="548"/>
      <c r="EUM77" s="548"/>
      <c r="EUN77" s="548"/>
      <c r="EUO77" s="548"/>
      <c r="EUP77" s="452"/>
      <c r="EUQ77" s="596"/>
      <c r="EUR77" s="548"/>
      <c r="EUS77" s="548"/>
      <c r="EUT77" s="548"/>
      <c r="EUU77" s="548"/>
      <c r="EUV77" s="548"/>
      <c r="EUW77" s="452"/>
      <c r="EUX77" s="596"/>
      <c r="EUY77" s="548"/>
      <c r="EUZ77" s="548"/>
      <c r="EVA77" s="548"/>
      <c r="EVB77" s="548"/>
      <c r="EVC77" s="548"/>
      <c r="EVD77" s="452"/>
      <c r="EVE77" s="596"/>
      <c r="EVF77" s="548"/>
      <c r="EVG77" s="548"/>
      <c r="EVH77" s="548"/>
      <c r="EVI77" s="548"/>
      <c r="EVJ77" s="548"/>
      <c r="EVK77" s="452"/>
      <c r="EVL77" s="596"/>
      <c r="EVM77" s="548"/>
      <c r="EVN77" s="548"/>
      <c r="EVO77" s="548"/>
      <c r="EVP77" s="548"/>
      <c r="EVQ77" s="548"/>
      <c r="EVR77" s="452"/>
      <c r="EVS77" s="596"/>
      <c r="EVT77" s="548"/>
      <c r="EVU77" s="548"/>
      <c r="EVV77" s="548"/>
      <c r="EVW77" s="548"/>
      <c r="EVX77" s="548"/>
      <c r="EVY77" s="452"/>
      <c r="EVZ77" s="596"/>
      <c r="EWA77" s="548"/>
      <c r="EWB77" s="548"/>
      <c r="EWC77" s="548"/>
      <c r="EWD77" s="548"/>
      <c r="EWE77" s="548"/>
      <c r="EWF77" s="452"/>
      <c r="EWG77" s="596"/>
      <c r="EWH77" s="548"/>
      <c r="EWI77" s="548"/>
      <c r="EWJ77" s="548"/>
      <c r="EWK77" s="548"/>
      <c r="EWL77" s="548"/>
      <c r="EWM77" s="452"/>
      <c r="EWN77" s="596"/>
      <c r="EWO77" s="548"/>
      <c r="EWP77" s="548"/>
      <c r="EWQ77" s="548"/>
      <c r="EWR77" s="548"/>
      <c r="EWS77" s="548"/>
      <c r="EWT77" s="452"/>
      <c r="EWU77" s="596"/>
      <c r="EWV77" s="548"/>
      <c r="EWW77" s="548"/>
      <c r="EWX77" s="548"/>
      <c r="EWY77" s="548"/>
      <c r="EWZ77" s="548"/>
      <c r="EXA77" s="452"/>
      <c r="EXB77" s="596"/>
      <c r="EXC77" s="548"/>
      <c r="EXD77" s="548"/>
      <c r="EXE77" s="548"/>
      <c r="EXF77" s="548"/>
      <c r="EXG77" s="548"/>
      <c r="EXH77" s="452"/>
      <c r="EXI77" s="596"/>
      <c r="EXJ77" s="548"/>
      <c r="EXK77" s="548"/>
      <c r="EXL77" s="548"/>
      <c r="EXM77" s="548"/>
      <c r="EXN77" s="548"/>
      <c r="EXO77" s="452"/>
      <c r="EXP77" s="596"/>
      <c r="EXQ77" s="548"/>
      <c r="EXR77" s="548"/>
      <c r="EXS77" s="548"/>
      <c r="EXT77" s="548"/>
      <c r="EXU77" s="548"/>
      <c r="EXV77" s="452"/>
      <c r="EXW77" s="596"/>
      <c r="EXX77" s="548"/>
      <c r="EXY77" s="548"/>
      <c r="EXZ77" s="548"/>
      <c r="EYA77" s="548"/>
      <c r="EYB77" s="548"/>
      <c r="EYC77" s="452"/>
      <c r="EYD77" s="596"/>
      <c r="EYE77" s="548"/>
      <c r="EYF77" s="548"/>
      <c r="EYG77" s="548"/>
      <c r="EYH77" s="548"/>
      <c r="EYI77" s="548"/>
      <c r="EYJ77" s="452"/>
      <c r="EYK77" s="596"/>
      <c r="EYL77" s="548"/>
      <c r="EYM77" s="548"/>
      <c r="EYN77" s="548"/>
      <c r="EYO77" s="548"/>
      <c r="EYP77" s="548"/>
      <c r="EYQ77" s="452"/>
      <c r="EYR77" s="596"/>
      <c r="EYS77" s="548"/>
      <c r="EYT77" s="548"/>
      <c r="EYU77" s="548"/>
      <c r="EYV77" s="548"/>
      <c r="EYW77" s="548"/>
      <c r="EYX77" s="452"/>
      <c r="EYY77" s="596"/>
      <c r="EYZ77" s="548"/>
      <c r="EZA77" s="548"/>
      <c r="EZB77" s="548"/>
      <c r="EZC77" s="548"/>
      <c r="EZD77" s="548"/>
      <c r="EZE77" s="452"/>
      <c r="EZF77" s="596"/>
      <c r="EZG77" s="548"/>
      <c r="EZH77" s="548"/>
      <c r="EZI77" s="548"/>
      <c r="EZJ77" s="548"/>
      <c r="EZK77" s="548"/>
      <c r="EZL77" s="452"/>
      <c r="EZM77" s="596"/>
      <c r="EZN77" s="548"/>
      <c r="EZO77" s="548"/>
      <c r="EZP77" s="548"/>
      <c r="EZQ77" s="548"/>
      <c r="EZR77" s="548"/>
      <c r="EZS77" s="452"/>
      <c r="EZT77" s="596"/>
      <c r="EZU77" s="548"/>
      <c r="EZV77" s="548"/>
      <c r="EZW77" s="548"/>
      <c r="EZX77" s="548"/>
      <c r="EZY77" s="548"/>
      <c r="EZZ77" s="452"/>
      <c r="FAA77" s="596"/>
      <c r="FAB77" s="548"/>
      <c r="FAC77" s="548"/>
      <c r="FAD77" s="548"/>
      <c r="FAE77" s="548"/>
      <c r="FAF77" s="548"/>
      <c r="FAG77" s="452"/>
      <c r="FAH77" s="596"/>
      <c r="FAI77" s="548"/>
      <c r="FAJ77" s="548"/>
      <c r="FAK77" s="548"/>
      <c r="FAL77" s="548"/>
      <c r="FAM77" s="548"/>
      <c r="FAN77" s="452"/>
      <c r="FAO77" s="596"/>
      <c r="FAP77" s="548"/>
      <c r="FAQ77" s="548"/>
      <c r="FAR77" s="548"/>
      <c r="FAS77" s="548"/>
      <c r="FAT77" s="548"/>
      <c r="FAU77" s="452"/>
      <c r="FAV77" s="596"/>
      <c r="FAW77" s="548"/>
      <c r="FAX77" s="548"/>
      <c r="FAY77" s="548"/>
      <c r="FAZ77" s="548"/>
      <c r="FBA77" s="548"/>
      <c r="FBB77" s="452"/>
      <c r="FBC77" s="596"/>
      <c r="FBD77" s="548"/>
      <c r="FBE77" s="548"/>
      <c r="FBF77" s="548"/>
      <c r="FBG77" s="548"/>
      <c r="FBH77" s="548"/>
      <c r="FBI77" s="452"/>
      <c r="FBJ77" s="596"/>
      <c r="FBK77" s="548"/>
      <c r="FBL77" s="548"/>
      <c r="FBM77" s="548"/>
      <c r="FBN77" s="548"/>
      <c r="FBO77" s="548"/>
      <c r="FBP77" s="452"/>
      <c r="FBQ77" s="596"/>
      <c r="FBR77" s="548"/>
      <c r="FBS77" s="548"/>
      <c r="FBT77" s="548"/>
      <c r="FBU77" s="548"/>
      <c r="FBV77" s="548"/>
      <c r="FBW77" s="452"/>
      <c r="FBX77" s="596"/>
      <c r="FBY77" s="548"/>
      <c r="FBZ77" s="548"/>
      <c r="FCA77" s="548"/>
      <c r="FCB77" s="548"/>
      <c r="FCC77" s="548"/>
      <c r="FCD77" s="452"/>
      <c r="FCE77" s="596"/>
      <c r="FCF77" s="548"/>
      <c r="FCG77" s="548"/>
      <c r="FCH77" s="548"/>
      <c r="FCI77" s="548"/>
      <c r="FCJ77" s="548"/>
      <c r="FCK77" s="452"/>
      <c r="FCL77" s="596"/>
      <c r="FCM77" s="548"/>
      <c r="FCN77" s="548"/>
      <c r="FCO77" s="548"/>
      <c r="FCP77" s="548"/>
      <c r="FCQ77" s="548"/>
      <c r="FCR77" s="452"/>
      <c r="FCS77" s="596"/>
      <c r="FCT77" s="548"/>
      <c r="FCU77" s="548"/>
      <c r="FCV77" s="548"/>
      <c r="FCW77" s="548"/>
      <c r="FCX77" s="548"/>
      <c r="FCY77" s="452"/>
      <c r="FCZ77" s="596"/>
      <c r="FDA77" s="548"/>
      <c r="FDB77" s="548"/>
      <c r="FDC77" s="548"/>
      <c r="FDD77" s="548"/>
      <c r="FDE77" s="548"/>
      <c r="FDF77" s="452"/>
      <c r="FDG77" s="596"/>
      <c r="FDH77" s="548"/>
      <c r="FDI77" s="548"/>
      <c r="FDJ77" s="548"/>
      <c r="FDK77" s="548"/>
      <c r="FDL77" s="548"/>
      <c r="FDM77" s="452"/>
      <c r="FDN77" s="596"/>
      <c r="FDO77" s="548"/>
      <c r="FDP77" s="548"/>
      <c r="FDQ77" s="548"/>
      <c r="FDR77" s="548"/>
      <c r="FDS77" s="548"/>
      <c r="FDT77" s="452"/>
      <c r="FDU77" s="596"/>
      <c r="FDV77" s="548"/>
      <c r="FDW77" s="548"/>
      <c r="FDX77" s="548"/>
      <c r="FDY77" s="548"/>
      <c r="FDZ77" s="548"/>
      <c r="FEA77" s="452"/>
      <c r="FEB77" s="596"/>
      <c r="FEC77" s="548"/>
      <c r="FED77" s="548"/>
      <c r="FEE77" s="548"/>
      <c r="FEF77" s="548"/>
      <c r="FEG77" s="548"/>
      <c r="FEH77" s="452"/>
      <c r="FEI77" s="596"/>
      <c r="FEJ77" s="548"/>
      <c r="FEK77" s="548"/>
      <c r="FEL77" s="548"/>
      <c r="FEM77" s="548"/>
      <c r="FEN77" s="548"/>
      <c r="FEO77" s="452"/>
      <c r="FEP77" s="596"/>
      <c r="FEQ77" s="548"/>
      <c r="FER77" s="548"/>
      <c r="FES77" s="548"/>
      <c r="FET77" s="548"/>
      <c r="FEU77" s="548"/>
      <c r="FEV77" s="452"/>
      <c r="FEW77" s="596"/>
      <c r="FEX77" s="548"/>
      <c r="FEY77" s="548"/>
      <c r="FEZ77" s="548"/>
      <c r="FFA77" s="548"/>
      <c r="FFB77" s="548"/>
      <c r="FFC77" s="452"/>
      <c r="FFD77" s="596"/>
      <c r="FFE77" s="548"/>
      <c r="FFF77" s="548"/>
      <c r="FFG77" s="548"/>
      <c r="FFH77" s="548"/>
      <c r="FFI77" s="548"/>
      <c r="FFJ77" s="452"/>
      <c r="FFK77" s="596"/>
      <c r="FFL77" s="548"/>
      <c r="FFM77" s="548"/>
      <c r="FFN77" s="548"/>
      <c r="FFO77" s="548"/>
      <c r="FFP77" s="548"/>
      <c r="FFQ77" s="452"/>
      <c r="FFR77" s="596"/>
      <c r="FFS77" s="548"/>
      <c r="FFT77" s="548"/>
      <c r="FFU77" s="548"/>
      <c r="FFV77" s="548"/>
      <c r="FFW77" s="548"/>
      <c r="FFX77" s="452"/>
      <c r="FFY77" s="596"/>
      <c r="FFZ77" s="548"/>
      <c r="FGA77" s="548"/>
      <c r="FGB77" s="548"/>
      <c r="FGC77" s="548"/>
      <c r="FGD77" s="548"/>
      <c r="FGE77" s="452"/>
      <c r="FGF77" s="596"/>
      <c r="FGG77" s="548"/>
      <c r="FGH77" s="548"/>
      <c r="FGI77" s="548"/>
      <c r="FGJ77" s="548"/>
      <c r="FGK77" s="548"/>
      <c r="FGL77" s="452"/>
      <c r="FGM77" s="596"/>
      <c r="FGN77" s="548"/>
      <c r="FGO77" s="548"/>
      <c r="FGP77" s="548"/>
      <c r="FGQ77" s="548"/>
      <c r="FGR77" s="548"/>
      <c r="FGS77" s="452"/>
      <c r="FGT77" s="596"/>
      <c r="FGU77" s="548"/>
      <c r="FGV77" s="548"/>
      <c r="FGW77" s="548"/>
      <c r="FGX77" s="548"/>
      <c r="FGY77" s="548"/>
      <c r="FGZ77" s="452"/>
      <c r="FHA77" s="596"/>
      <c r="FHB77" s="548"/>
      <c r="FHC77" s="548"/>
      <c r="FHD77" s="548"/>
      <c r="FHE77" s="548"/>
      <c r="FHF77" s="548"/>
      <c r="FHG77" s="452"/>
      <c r="FHH77" s="596"/>
      <c r="FHI77" s="548"/>
      <c r="FHJ77" s="548"/>
      <c r="FHK77" s="548"/>
      <c r="FHL77" s="548"/>
      <c r="FHM77" s="548"/>
      <c r="FHN77" s="452"/>
      <c r="FHO77" s="596"/>
      <c r="FHP77" s="548"/>
      <c r="FHQ77" s="548"/>
      <c r="FHR77" s="548"/>
      <c r="FHS77" s="548"/>
      <c r="FHT77" s="548"/>
      <c r="FHU77" s="452"/>
      <c r="FHV77" s="596"/>
      <c r="FHW77" s="548"/>
      <c r="FHX77" s="548"/>
      <c r="FHY77" s="548"/>
      <c r="FHZ77" s="548"/>
      <c r="FIA77" s="548"/>
      <c r="FIB77" s="452"/>
      <c r="FIC77" s="596"/>
      <c r="FID77" s="548"/>
      <c r="FIE77" s="548"/>
      <c r="FIF77" s="548"/>
      <c r="FIG77" s="548"/>
      <c r="FIH77" s="548"/>
      <c r="FII77" s="452"/>
      <c r="FIJ77" s="596"/>
      <c r="FIK77" s="548"/>
      <c r="FIL77" s="548"/>
      <c r="FIM77" s="548"/>
      <c r="FIN77" s="548"/>
      <c r="FIO77" s="548"/>
      <c r="FIP77" s="452"/>
      <c r="FIQ77" s="596"/>
      <c r="FIR77" s="548"/>
      <c r="FIS77" s="548"/>
      <c r="FIT77" s="548"/>
      <c r="FIU77" s="548"/>
      <c r="FIV77" s="548"/>
      <c r="FIW77" s="452"/>
      <c r="FIX77" s="596"/>
      <c r="FIY77" s="548"/>
      <c r="FIZ77" s="548"/>
      <c r="FJA77" s="548"/>
      <c r="FJB77" s="548"/>
      <c r="FJC77" s="548"/>
      <c r="FJD77" s="452"/>
      <c r="FJE77" s="596"/>
      <c r="FJF77" s="548"/>
      <c r="FJG77" s="548"/>
      <c r="FJH77" s="548"/>
      <c r="FJI77" s="548"/>
      <c r="FJJ77" s="548"/>
      <c r="FJK77" s="452"/>
      <c r="FJL77" s="596"/>
      <c r="FJM77" s="548"/>
      <c r="FJN77" s="548"/>
      <c r="FJO77" s="548"/>
      <c r="FJP77" s="548"/>
      <c r="FJQ77" s="548"/>
      <c r="FJR77" s="452"/>
      <c r="FJS77" s="596"/>
      <c r="FJT77" s="548"/>
      <c r="FJU77" s="548"/>
      <c r="FJV77" s="548"/>
      <c r="FJW77" s="548"/>
      <c r="FJX77" s="548"/>
      <c r="FJY77" s="452"/>
      <c r="FJZ77" s="596"/>
      <c r="FKA77" s="548"/>
      <c r="FKB77" s="548"/>
      <c r="FKC77" s="548"/>
      <c r="FKD77" s="548"/>
      <c r="FKE77" s="548"/>
      <c r="FKF77" s="452"/>
      <c r="FKG77" s="596"/>
      <c r="FKH77" s="548"/>
      <c r="FKI77" s="548"/>
      <c r="FKJ77" s="548"/>
      <c r="FKK77" s="548"/>
      <c r="FKL77" s="548"/>
      <c r="FKM77" s="452"/>
      <c r="FKN77" s="596"/>
      <c r="FKO77" s="548"/>
      <c r="FKP77" s="548"/>
      <c r="FKQ77" s="548"/>
      <c r="FKR77" s="548"/>
      <c r="FKS77" s="548"/>
      <c r="FKT77" s="452"/>
      <c r="FKU77" s="596"/>
      <c r="FKV77" s="548"/>
      <c r="FKW77" s="548"/>
      <c r="FKX77" s="548"/>
      <c r="FKY77" s="548"/>
      <c r="FKZ77" s="548"/>
      <c r="FLA77" s="452"/>
      <c r="FLB77" s="596"/>
      <c r="FLC77" s="548"/>
      <c r="FLD77" s="548"/>
      <c r="FLE77" s="548"/>
      <c r="FLF77" s="548"/>
      <c r="FLG77" s="548"/>
      <c r="FLH77" s="452"/>
      <c r="FLI77" s="596"/>
      <c r="FLJ77" s="548"/>
      <c r="FLK77" s="548"/>
      <c r="FLL77" s="548"/>
      <c r="FLM77" s="548"/>
      <c r="FLN77" s="548"/>
      <c r="FLO77" s="452"/>
      <c r="FLP77" s="596"/>
      <c r="FLQ77" s="548"/>
      <c r="FLR77" s="548"/>
      <c r="FLS77" s="548"/>
      <c r="FLT77" s="548"/>
      <c r="FLU77" s="548"/>
      <c r="FLV77" s="452"/>
      <c r="FLW77" s="596"/>
      <c r="FLX77" s="548"/>
      <c r="FLY77" s="548"/>
      <c r="FLZ77" s="548"/>
      <c r="FMA77" s="548"/>
      <c r="FMB77" s="548"/>
      <c r="FMC77" s="452"/>
      <c r="FMD77" s="596"/>
      <c r="FME77" s="548"/>
      <c r="FMF77" s="548"/>
      <c r="FMG77" s="548"/>
      <c r="FMH77" s="548"/>
      <c r="FMI77" s="548"/>
      <c r="FMJ77" s="452"/>
      <c r="FMK77" s="596"/>
      <c r="FML77" s="548"/>
      <c r="FMM77" s="548"/>
      <c r="FMN77" s="548"/>
      <c r="FMO77" s="548"/>
      <c r="FMP77" s="548"/>
      <c r="FMQ77" s="452"/>
      <c r="FMR77" s="596"/>
      <c r="FMS77" s="548"/>
      <c r="FMT77" s="548"/>
      <c r="FMU77" s="548"/>
      <c r="FMV77" s="548"/>
      <c r="FMW77" s="548"/>
      <c r="FMX77" s="452"/>
      <c r="FMY77" s="596"/>
      <c r="FMZ77" s="548"/>
      <c r="FNA77" s="548"/>
      <c r="FNB77" s="548"/>
      <c r="FNC77" s="548"/>
      <c r="FND77" s="548"/>
      <c r="FNE77" s="452"/>
      <c r="FNF77" s="596"/>
      <c r="FNG77" s="548"/>
      <c r="FNH77" s="548"/>
      <c r="FNI77" s="548"/>
      <c r="FNJ77" s="548"/>
      <c r="FNK77" s="548"/>
      <c r="FNL77" s="452"/>
      <c r="FNM77" s="596"/>
      <c r="FNN77" s="548"/>
      <c r="FNO77" s="548"/>
      <c r="FNP77" s="548"/>
      <c r="FNQ77" s="548"/>
      <c r="FNR77" s="548"/>
      <c r="FNS77" s="452"/>
      <c r="FNT77" s="596"/>
      <c r="FNU77" s="548"/>
      <c r="FNV77" s="548"/>
      <c r="FNW77" s="548"/>
      <c r="FNX77" s="548"/>
      <c r="FNY77" s="548"/>
      <c r="FNZ77" s="452"/>
      <c r="FOA77" s="596"/>
      <c r="FOB77" s="548"/>
      <c r="FOC77" s="548"/>
      <c r="FOD77" s="548"/>
      <c r="FOE77" s="548"/>
      <c r="FOF77" s="548"/>
      <c r="FOG77" s="452"/>
      <c r="FOH77" s="596"/>
      <c r="FOI77" s="548"/>
      <c r="FOJ77" s="548"/>
      <c r="FOK77" s="548"/>
      <c r="FOL77" s="548"/>
      <c r="FOM77" s="548"/>
      <c r="FON77" s="452"/>
      <c r="FOO77" s="596"/>
      <c r="FOP77" s="548"/>
      <c r="FOQ77" s="548"/>
      <c r="FOR77" s="548"/>
      <c r="FOS77" s="548"/>
      <c r="FOT77" s="548"/>
      <c r="FOU77" s="452"/>
      <c r="FOV77" s="596"/>
      <c r="FOW77" s="548"/>
      <c r="FOX77" s="548"/>
      <c r="FOY77" s="548"/>
      <c r="FOZ77" s="548"/>
      <c r="FPA77" s="548"/>
      <c r="FPB77" s="452"/>
      <c r="FPC77" s="596"/>
      <c r="FPD77" s="548"/>
      <c r="FPE77" s="548"/>
      <c r="FPF77" s="548"/>
      <c r="FPG77" s="548"/>
      <c r="FPH77" s="548"/>
      <c r="FPI77" s="452"/>
      <c r="FPJ77" s="596"/>
      <c r="FPK77" s="548"/>
      <c r="FPL77" s="548"/>
      <c r="FPM77" s="548"/>
      <c r="FPN77" s="548"/>
      <c r="FPO77" s="548"/>
      <c r="FPP77" s="452"/>
      <c r="FPQ77" s="596"/>
      <c r="FPR77" s="548"/>
      <c r="FPS77" s="548"/>
      <c r="FPT77" s="548"/>
      <c r="FPU77" s="548"/>
      <c r="FPV77" s="548"/>
      <c r="FPW77" s="452"/>
      <c r="FPX77" s="596"/>
      <c r="FPY77" s="548"/>
      <c r="FPZ77" s="548"/>
      <c r="FQA77" s="548"/>
      <c r="FQB77" s="548"/>
      <c r="FQC77" s="548"/>
      <c r="FQD77" s="452"/>
      <c r="FQE77" s="596"/>
      <c r="FQF77" s="548"/>
      <c r="FQG77" s="548"/>
      <c r="FQH77" s="548"/>
      <c r="FQI77" s="548"/>
      <c r="FQJ77" s="548"/>
      <c r="FQK77" s="452"/>
      <c r="FQL77" s="596"/>
      <c r="FQM77" s="548"/>
      <c r="FQN77" s="548"/>
      <c r="FQO77" s="548"/>
      <c r="FQP77" s="548"/>
      <c r="FQQ77" s="548"/>
      <c r="FQR77" s="452"/>
      <c r="FQS77" s="596"/>
      <c r="FQT77" s="548"/>
      <c r="FQU77" s="548"/>
      <c r="FQV77" s="548"/>
      <c r="FQW77" s="548"/>
      <c r="FQX77" s="548"/>
      <c r="FQY77" s="452"/>
      <c r="FQZ77" s="596"/>
      <c r="FRA77" s="548"/>
      <c r="FRB77" s="548"/>
      <c r="FRC77" s="548"/>
      <c r="FRD77" s="548"/>
      <c r="FRE77" s="548"/>
      <c r="FRF77" s="452"/>
      <c r="FRG77" s="596"/>
      <c r="FRH77" s="548"/>
      <c r="FRI77" s="548"/>
      <c r="FRJ77" s="548"/>
      <c r="FRK77" s="548"/>
      <c r="FRL77" s="548"/>
      <c r="FRM77" s="452"/>
      <c r="FRN77" s="596"/>
      <c r="FRO77" s="548"/>
      <c r="FRP77" s="548"/>
      <c r="FRQ77" s="548"/>
      <c r="FRR77" s="548"/>
      <c r="FRS77" s="548"/>
      <c r="FRT77" s="452"/>
      <c r="FRU77" s="596"/>
      <c r="FRV77" s="548"/>
      <c r="FRW77" s="548"/>
      <c r="FRX77" s="548"/>
      <c r="FRY77" s="548"/>
      <c r="FRZ77" s="548"/>
      <c r="FSA77" s="452"/>
      <c r="FSB77" s="596"/>
      <c r="FSC77" s="548"/>
      <c r="FSD77" s="548"/>
      <c r="FSE77" s="548"/>
      <c r="FSF77" s="548"/>
      <c r="FSG77" s="548"/>
      <c r="FSH77" s="452"/>
      <c r="FSI77" s="596"/>
      <c r="FSJ77" s="548"/>
      <c r="FSK77" s="548"/>
      <c r="FSL77" s="548"/>
      <c r="FSM77" s="548"/>
      <c r="FSN77" s="548"/>
      <c r="FSO77" s="452"/>
      <c r="FSP77" s="596"/>
      <c r="FSQ77" s="548"/>
      <c r="FSR77" s="548"/>
      <c r="FSS77" s="548"/>
      <c r="FST77" s="548"/>
      <c r="FSU77" s="548"/>
      <c r="FSV77" s="452"/>
      <c r="FSW77" s="596"/>
      <c r="FSX77" s="548"/>
      <c r="FSY77" s="548"/>
      <c r="FSZ77" s="548"/>
      <c r="FTA77" s="548"/>
      <c r="FTB77" s="548"/>
      <c r="FTC77" s="452"/>
      <c r="FTD77" s="596"/>
      <c r="FTE77" s="548"/>
      <c r="FTF77" s="548"/>
      <c r="FTG77" s="548"/>
      <c r="FTH77" s="548"/>
      <c r="FTI77" s="548"/>
      <c r="FTJ77" s="452"/>
      <c r="FTK77" s="596"/>
      <c r="FTL77" s="548"/>
      <c r="FTM77" s="548"/>
      <c r="FTN77" s="548"/>
      <c r="FTO77" s="548"/>
      <c r="FTP77" s="548"/>
      <c r="FTQ77" s="452"/>
      <c r="FTR77" s="596"/>
      <c r="FTS77" s="548"/>
      <c r="FTT77" s="548"/>
      <c r="FTU77" s="548"/>
      <c r="FTV77" s="548"/>
      <c r="FTW77" s="548"/>
      <c r="FTX77" s="452"/>
      <c r="FTY77" s="596"/>
      <c r="FTZ77" s="548"/>
      <c r="FUA77" s="548"/>
      <c r="FUB77" s="548"/>
      <c r="FUC77" s="548"/>
      <c r="FUD77" s="548"/>
      <c r="FUE77" s="452"/>
      <c r="FUF77" s="596"/>
      <c r="FUG77" s="548"/>
      <c r="FUH77" s="548"/>
      <c r="FUI77" s="548"/>
      <c r="FUJ77" s="548"/>
      <c r="FUK77" s="548"/>
      <c r="FUL77" s="452"/>
      <c r="FUM77" s="596"/>
      <c r="FUN77" s="548"/>
      <c r="FUO77" s="548"/>
      <c r="FUP77" s="548"/>
      <c r="FUQ77" s="548"/>
      <c r="FUR77" s="548"/>
      <c r="FUS77" s="452"/>
      <c r="FUT77" s="596"/>
      <c r="FUU77" s="548"/>
      <c r="FUV77" s="548"/>
      <c r="FUW77" s="548"/>
      <c r="FUX77" s="548"/>
      <c r="FUY77" s="548"/>
      <c r="FUZ77" s="452"/>
      <c r="FVA77" s="596"/>
      <c r="FVB77" s="548"/>
      <c r="FVC77" s="548"/>
      <c r="FVD77" s="548"/>
      <c r="FVE77" s="548"/>
      <c r="FVF77" s="548"/>
      <c r="FVG77" s="452"/>
      <c r="FVH77" s="596"/>
      <c r="FVI77" s="548"/>
      <c r="FVJ77" s="548"/>
      <c r="FVK77" s="548"/>
      <c r="FVL77" s="548"/>
      <c r="FVM77" s="548"/>
      <c r="FVN77" s="452"/>
      <c r="FVO77" s="596"/>
      <c r="FVP77" s="548"/>
      <c r="FVQ77" s="548"/>
      <c r="FVR77" s="548"/>
      <c r="FVS77" s="548"/>
      <c r="FVT77" s="548"/>
      <c r="FVU77" s="452"/>
      <c r="FVV77" s="596"/>
      <c r="FVW77" s="548"/>
      <c r="FVX77" s="548"/>
      <c r="FVY77" s="548"/>
      <c r="FVZ77" s="548"/>
      <c r="FWA77" s="548"/>
      <c r="FWB77" s="452"/>
      <c r="FWC77" s="596"/>
      <c r="FWD77" s="548"/>
      <c r="FWE77" s="548"/>
      <c r="FWF77" s="548"/>
      <c r="FWG77" s="548"/>
      <c r="FWH77" s="548"/>
      <c r="FWI77" s="452"/>
      <c r="FWJ77" s="596"/>
      <c r="FWK77" s="548"/>
      <c r="FWL77" s="548"/>
      <c r="FWM77" s="548"/>
      <c r="FWN77" s="548"/>
      <c r="FWO77" s="548"/>
      <c r="FWP77" s="452"/>
      <c r="FWQ77" s="596"/>
      <c r="FWR77" s="548"/>
      <c r="FWS77" s="548"/>
      <c r="FWT77" s="548"/>
      <c r="FWU77" s="548"/>
      <c r="FWV77" s="548"/>
      <c r="FWW77" s="452"/>
      <c r="FWX77" s="596"/>
      <c r="FWY77" s="548"/>
      <c r="FWZ77" s="548"/>
      <c r="FXA77" s="548"/>
      <c r="FXB77" s="548"/>
      <c r="FXC77" s="548"/>
      <c r="FXD77" s="452"/>
      <c r="FXE77" s="596"/>
      <c r="FXF77" s="548"/>
      <c r="FXG77" s="548"/>
      <c r="FXH77" s="548"/>
      <c r="FXI77" s="548"/>
      <c r="FXJ77" s="548"/>
      <c r="FXK77" s="452"/>
      <c r="FXL77" s="596"/>
      <c r="FXM77" s="548"/>
      <c r="FXN77" s="548"/>
      <c r="FXO77" s="548"/>
      <c r="FXP77" s="548"/>
      <c r="FXQ77" s="548"/>
      <c r="FXR77" s="452"/>
      <c r="FXS77" s="596"/>
      <c r="FXT77" s="548"/>
      <c r="FXU77" s="548"/>
      <c r="FXV77" s="548"/>
      <c r="FXW77" s="548"/>
      <c r="FXX77" s="548"/>
      <c r="FXY77" s="452"/>
      <c r="FXZ77" s="596"/>
      <c r="FYA77" s="548"/>
      <c r="FYB77" s="548"/>
      <c r="FYC77" s="548"/>
      <c r="FYD77" s="548"/>
      <c r="FYE77" s="548"/>
      <c r="FYF77" s="452"/>
      <c r="FYG77" s="596"/>
      <c r="FYH77" s="548"/>
      <c r="FYI77" s="548"/>
      <c r="FYJ77" s="548"/>
      <c r="FYK77" s="548"/>
      <c r="FYL77" s="548"/>
      <c r="FYM77" s="452"/>
      <c r="FYN77" s="596"/>
      <c r="FYO77" s="548"/>
      <c r="FYP77" s="548"/>
      <c r="FYQ77" s="548"/>
      <c r="FYR77" s="548"/>
      <c r="FYS77" s="548"/>
      <c r="FYT77" s="452"/>
      <c r="FYU77" s="596"/>
      <c r="FYV77" s="548"/>
      <c r="FYW77" s="548"/>
      <c r="FYX77" s="548"/>
      <c r="FYY77" s="548"/>
      <c r="FYZ77" s="548"/>
      <c r="FZA77" s="452"/>
      <c r="FZB77" s="596"/>
      <c r="FZC77" s="548"/>
      <c r="FZD77" s="548"/>
      <c r="FZE77" s="548"/>
      <c r="FZF77" s="548"/>
      <c r="FZG77" s="548"/>
      <c r="FZH77" s="452"/>
      <c r="FZI77" s="596"/>
      <c r="FZJ77" s="548"/>
      <c r="FZK77" s="548"/>
      <c r="FZL77" s="548"/>
      <c r="FZM77" s="548"/>
      <c r="FZN77" s="548"/>
      <c r="FZO77" s="452"/>
      <c r="FZP77" s="596"/>
      <c r="FZQ77" s="548"/>
      <c r="FZR77" s="548"/>
      <c r="FZS77" s="548"/>
      <c r="FZT77" s="548"/>
      <c r="FZU77" s="548"/>
      <c r="FZV77" s="452"/>
      <c r="FZW77" s="596"/>
      <c r="FZX77" s="548"/>
      <c r="FZY77" s="548"/>
      <c r="FZZ77" s="548"/>
      <c r="GAA77" s="548"/>
      <c r="GAB77" s="548"/>
      <c r="GAC77" s="452"/>
      <c r="GAD77" s="596"/>
      <c r="GAE77" s="548"/>
      <c r="GAF77" s="548"/>
      <c r="GAG77" s="548"/>
      <c r="GAH77" s="548"/>
      <c r="GAI77" s="548"/>
      <c r="GAJ77" s="452"/>
      <c r="GAK77" s="596"/>
      <c r="GAL77" s="548"/>
      <c r="GAM77" s="548"/>
      <c r="GAN77" s="548"/>
      <c r="GAO77" s="548"/>
      <c r="GAP77" s="548"/>
      <c r="GAQ77" s="452"/>
      <c r="GAR77" s="596"/>
      <c r="GAS77" s="548"/>
      <c r="GAT77" s="548"/>
      <c r="GAU77" s="548"/>
      <c r="GAV77" s="548"/>
      <c r="GAW77" s="548"/>
      <c r="GAX77" s="452"/>
      <c r="GAY77" s="596"/>
      <c r="GAZ77" s="548"/>
      <c r="GBA77" s="548"/>
      <c r="GBB77" s="548"/>
      <c r="GBC77" s="548"/>
      <c r="GBD77" s="548"/>
      <c r="GBE77" s="452"/>
      <c r="GBF77" s="596"/>
      <c r="GBG77" s="548"/>
      <c r="GBH77" s="548"/>
      <c r="GBI77" s="548"/>
      <c r="GBJ77" s="548"/>
      <c r="GBK77" s="548"/>
      <c r="GBL77" s="452"/>
      <c r="GBM77" s="596"/>
      <c r="GBN77" s="548"/>
      <c r="GBO77" s="548"/>
      <c r="GBP77" s="548"/>
      <c r="GBQ77" s="548"/>
      <c r="GBR77" s="548"/>
      <c r="GBS77" s="452"/>
      <c r="GBT77" s="596"/>
      <c r="GBU77" s="548"/>
      <c r="GBV77" s="548"/>
      <c r="GBW77" s="548"/>
      <c r="GBX77" s="548"/>
      <c r="GBY77" s="548"/>
      <c r="GBZ77" s="452"/>
      <c r="GCA77" s="596"/>
      <c r="GCB77" s="548"/>
      <c r="GCC77" s="548"/>
      <c r="GCD77" s="548"/>
      <c r="GCE77" s="548"/>
      <c r="GCF77" s="548"/>
      <c r="GCG77" s="452"/>
      <c r="GCH77" s="596"/>
      <c r="GCI77" s="548"/>
      <c r="GCJ77" s="548"/>
      <c r="GCK77" s="548"/>
      <c r="GCL77" s="548"/>
      <c r="GCM77" s="548"/>
      <c r="GCN77" s="452"/>
      <c r="GCO77" s="596"/>
      <c r="GCP77" s="548"/>
      <c r="GCQ77" s="548"/>
      <c r="GCR77" s="548"/>
      <c r="GCS77" s="548"/>
      <c r="GCT77" s="548"/>
      <c r="GCU77" s="452"/>
      <c r="GCV77" s="596"/>
      <c r="GCW77" s="548"/>
      <c r="GCX77" s="548"/>
      <c r="GCY77" s="548"/>
      <c r="GCZ77" s="548"/>
      <c r="GDA77" s="548"/>
      <c r="GDB77" s="452"/>
      <c r="GDC77" s="596"/>
      <c r="GDD77" s="548"/>
      <c r="GDE77" s="548"/>
      <c r="GDF77" s="548"/>
      <c r="GDG77" s="548"/>
      <c r="GDH77" s="548"/>
      <c r="GDI77" s="452"/>
      <c r="GDJ77" s="596"/>
      <c r="GDK77" s="548"/>
      <c r="GDL77" s="548"/>
      <c r="GDM77" s="548"/>
      <c r="GDN77" s="548"/>
      <c r="GDO77" s="548"/>
      <c r="GDP77" s="452"/>
      <c r="GDQ77" s="596"/>
      <c r="GDR77" s="548"/>
      <c r="GDS77" s="548"/>
      <c r="GDT77" s="548"/>
      <c r="GDU77" s="548"/>
      <c r="GDV77" s="548"/>
      <c r="GDW77" s="452"/>
      <c r="GDX77" s="596"/>
      <c r="GDY77" s="548"/>
      <c r="GDZ77" s="548"/>
      <c r="GEA77" s="548"/>
      <c r="GEB77" s="548"/>
      <c r="GEC77" s="548"/>
      <c r="GED77" s="452"/>
      <c r="GEE77" s="596"/>
      <c r="GEF77" s="548"/>
      <c r="GEG77" s="548"/>
      <c r="GEH77" s="548"/>
      <c r="GEI77" s="548"/>
      <c r="GEJ77" s="548"/>
      <c r="GEK77" s="452"/>
      <c r="GEL77" s="596"/>
      <c r="GEM77" s="548"/>
      <c r="GEN77" s="548"/>
      <c r="GEO77" s="548"/>
      <c r="GEP77" s="548"/>
      <c r="GEQ77" s="548"/>
      <c r="GER77" s="452"/>
      <c r="GES77" s="596"/>
      <c r="GET77" s="548"/>
      <c r="GEU77" s="548"/>
      <c r="GEV77" s="548"/>
      <c r="GEW77" s="548"/>
      <c r="GEX77" s="548"/>
      <c r="GEY77" s="452"/>
      <c r="GEZ77" s="596"/>
      <c r="GFA77" s="548"/>
      <c r="GFB77" s="548"/>
      <c r="GFC77" s="548"/>
      <c r="GFD77" s="548"/>
      <c r="GFE77" s="548"/>
      <c r="GFF77" s="452"/>
      <c r="GFG77" s="596"/>
      <c r="GFH77" s="548"/>
      <c r="GFI77" s="548"/>
      <c r="GFJ77" s="548"/>
      <c r="GFK77" s="548"/>
      <c r="GFL77" s="548"/>
      <c r="GFM77" s="452"/>
      <c r="GFN77" s="596"/>
      <c r="GFO77" s="548"/>
      <c r="GFP77" s="548"/>
      <c r="GFQ77" s="548"/>
      <c r="GFR77" s="548"/>
      <c r="GFS77" s="548"/>
      <c r="GFT77" s="452"/>
      <c r="GFU77" s="596"/>
      <c r="GFV77" s="548"/>
      <c r="GFW77" s="548"/>
      <c r="GFX77" s="548"/>
      <c r="GFY77" s="548"/>
      <c r="GFZ77" s="548"/>
      <c r="GGA77" s="452"/>
      <c r="GGB77" s="596"/>
      <c r="GGC77" s="548"/>
      <c r="GGD77" s="548"/>
      <c r="GGE77" s="548"/>
      <c r="GGF77" s="548"/>
      <c r="GGG77" s="548"/>
      <c r="GGH77" s="452"/>
      <c r="GGI77" s="596"/>
      <c r="GGJ77" s="548"/>
      <c r="GGK77" s="548"/>
      <c r="GGL77" s="548"/>
      <c r="GGM77" s="548"/>
      <c r="GGN77" s="548"/>
      <c r="GGO77" s="452"/>
      <c r="GGP77" s="596"/>
      <c r="GGQ77" s="548"/>
      <c r="GGR77" s="548"/>
      <c r="GGS77" s="548"/>
      <c r="GGT77" s="548"/>
      <c r="GGU77" s="548"/>
      <c r="GGV77" s="452"/>
      <c r="GGW77" s="596"/>
      <c r="GGX77" s="548"/>
      <c r="GGY77" s="548"/>
      <c r="GGZ77" s="548"/>
      <c r="GHA77" s="548"/>
      <c r="GHB77" s="548"/>
      <c r="GHC77" s="452"/>
      <c r="GHD77" s="596"/>
      <c r="GHE77" s="548"/>
      <c r="GHF77" s="548"/>
      <c r="GHG77" s="548"/>
      <c r="GHH77" s="548"/>
      <c r="GHI77" s="548"/>
      <c r="GHJ77" s="452"/>
      <c r="GHK77" s="596"/>
      <c r="GHL77" s="548"/>
      <c r="GHM77" s="548"/>
      <c r="GHN77" s="548"/>
      <c r="GHO77" s="548"/>
      <c r="GHP77" s="548"/>
      <c r="GHQ77" s="452"/>
      <c r="GHR77" s="596"/>
      <c r="GHS77" s="548"/>
      <c r="GHT77" s="548"/>
      <c r="GHU77" s="548"/>
      <c r="GHV77" s="548"/>
      <c r="GHW77" s="548"/>
      <c r="GHX77" s="452"/>
      <c r="GHY77" s="596"/>
      <c r="GHZ77" s="548"/>
      <c r="GIA77" s="548"/>
      <c r="GIB77" s="548"/>
      <c r="GIC77" s="548"/>
      <c r="GID77" s="548"/>
      <c r="GIE77" s="452"/>
      <c r="GIF77" s="596"/>
      <c r="GIG77" s="548"/>
      <c r="GIH77" s="548"/>
      <c r="GII77" s="548"/>
      <c r="GIJ77" s="548"/>
      <c r="GIK77" s="548"/>
      <c r="GIL77" s="452"/>
      <c r="GIM77" s="596"/>
      <c r="GIN77" s="548"/>
      <c r="GIO77" s="548"/>
      <c r="GIP77" s="548"/>
      <c r="GIQ77" s="548"/>
      <c r="GIR77" s="548"/>
      <c r="GIS77" s="452"/>
      <c r="GIT77" s="596"/>
      <c r="GIU77" s="548"/>
      <c r="GIV77" s="548"/>
      <c r="GIW77" s="548"/>
      <c r="GIX77" s="548"/>
      <c r="GIY77" s="548"/>
      <c r="GIZ77" s="452"/>
      <c r="GJA77" s="596"/>
      <c r="GJB77" s="548"/>
      <c r="GJC77" s="548"/>
      <c r="GJD77" s="548"/>
      <c r="GJE77" s="548"/>
      <c r="GJF77" s="548"/>
      <c r="GJG77" s="452"/>
      <c r="GJH77" s="596"/>
      <c r="GJI77" s="548"/>
      <c r="GJJ77" s="548"/>
      <c r="GJK77" s="548"/>
      <c r="GJL77" s="548"/>
      <c r="GJM77" s="548"/>
      <c r="GJN77" s="452"/>
      <c r="GJO77" s="596"/>
      <c r="GJP77" s="548"/>
      <c r="GJQ77" s="548"/>
      <c r="GJR77" s="548"/>
      <c r="GJS77" s="548"/>
      <c r="GJT77" s="548"/>
      <c r="GJU77" s="452"/>
      <c r="GJV77" s="596"/>
      <c r="GJW77" s="548"/>
      <c r="GJX77" s="548"/>
      <c r="GJY77" s="548"/>
      <c r="GJZ77" s="548"/>
      <c r="GKA77" s="548"/>
      <c r="GKB77" s="452"/>
      <c r="GKC77" s="596"/>
      <c r="GKD77" s="548"/>
      <c r="GKE77" s="548"/>
      <c r="GKF77" s="548"/>
      <c r="GKG77" s="548"/>
      <c r="GKH77" s="548"/>
      <c r="GKI77" s="452"/>
      <c r="GKJ77" s="596"/>
      <c r="GKK77" s="548"/>
      <c r="GKL77" s="548"/>
      <c r="GKM77" s="548"/>
      <c r="GKN77" s="548"/>
      <c r="GKO77" s="548"/>
      <c r="GKP77" s="452"/>
      <c r="GKQ77" s="596"/>
      <c r="GKR77" s="548"/>
      <c r="GKS77" s="548"/>
      <c r="GKT77" s="548"/>
      <c r="GKU77" s="548"/>
      <c r="GKV77" s="548"/>
      <c r="GKW77" s="452"/>
      <c r="GKX77" s="596"/>
      <c r="GKY77" s="548"/>
      <c r="GKZ77" s="548"/>
      <c r="GLA77" s="548"/>
      <c r="GLB77" s="548"/>
      <c r="GLC77" s="548"/>
      <c r="GLD77" s="452"/>
      <c r="GLE77" s="596"/>
      <c r="GLF77" s="548"/>
      <c r="GLG77" s="548"/>
      <c r="GLH77" s="548"/>
      <c r="GLI77" s="548"/>
      <c r="GLJ77" s="548"/>
      <c r="GLK77" s="452"/>
      <c r="GLL77" s="596"/>
      <c r="GLM77" s="548"/>
      <c r="GLN77" s="548"/>
      <c r="GLO77" s="548"/>
      <c r="GLP77" s="548"/>
      <c r="GLQ77" s="548"/>
      <c r="GLR77" s="452"/>
      <c r="GLS77" s="596"/>
      <c r="GLT77" s="548"/>
      <c r="GLU77" s="548"/>
      <c r="GLV77" s="548"/>
      <c r="GLW77" s="548"/>
      <c r="GLX77" s="548"/>
      <c r="GLY77" s="452"/>
      <c r="GLZ77" s="596"/>
      <c r="GMA77" s="548"/>
      <c r="GMB77" s="548"/>
      <c r="GMC77" s="548"/>
      <c r="GMD77" s="548"/>
      <c r="GME77" s="548"/>
      <c r="GMF77" s="452"/>
      <c r="GMG77" s="596"/>
      <c r="GMH77" s="548"/>
      <c r="GMI77" s="548"/>
      <c r="GMJ77" s="548"/>
      <c r="GMK77" s="548"/>
      <c r="GML77" s="548"/>
      <c r="GMM77" s="452"/>
      <c r="GMN77" s="596"/>
      <c r="GMO77" s="548"/>
      <c r="GMP77" s="548"/>
      <c r="GMQ77" s="548"/>
      <c r="GMR77" s="548"/>
      <c r="GMS77" s="548"/>
      <c r="GMT77" s="452"/>
      <c r="GMU77" s="596"/>
      <c r="GMV77" s="548"/>
      <c r="GMW77" s="548"/>
      <c r="GMX77" s="548"/>
      <c r="GMY77" s="548"/>
      <c r="GMZ77" s="548"/>
      <c r="GNA77" s="452"/>
      <c r="GNB77" s="596"/>
      <c r="GNC77" s="548"/>
      <c r="GND77" s="548"/>
      <c r="GNE77" s="548"/>
      <c r="GNF77" s="548"/>
      <c r="GNG77" s="548"/>
      <c r="GNH77" s="452"/>
      <c r="GNI77" s="596"/>
      <c r="GNJ77" s="548"/>
      <c r="GNK77" s="548"/>
      <c r="GNL77" s="548"/>
      <c r="GNM77" s="548"/>
      <c r="GNN77" s="548"/>
      <c r="GNO77" s="452"/>
      <c r="GNP77" s="596"/>
      <c r="GNQ77" s="548"/>
      <c r="GNR77" s="548"/>
      <c r="GNS77" s="548"/>
      <c r="GNT77" s="548"/>
      <c r="GNU77" s="548"/>
      <c r="GNV77" s="452"/>
      <c r="GNW77" s="596"/>
      <c r="GNX77" s="548"/>
      <c r="GNY77" s="548"/>
      <c r="GNZ77" s="548"/>
      <c r="GOA77" s="548"/>
      <c r="GOB77" s="548"/>
      <c r="GOC77" s="452"/>
      <c r="GOD77" s="596"/>
      <c r="GOE77" s="548"/>
      <c r="GOF77" s="548"/>
      <c r="GOG77" s="548"/>
      <c r="GOH77" s="548"/>
      <c r="GOI77" s="548"/>
      <c r="GOJ77" s="452"/>
      <c r="GOK77" s="596"/>
      <c r="GOL77" s="548"/>
      <c r="GOM77" s="548"/>
      <c r="GON77" s="548"/>
      <c r="GOO77" s="548"/>
      <c r="GOP77" s="548"/>
      <c r="GOQ77" s="452"/>
      <c r="GOR77" s="596"/>
      <c r="GOS77" s="548"/>
      <c r="GOT77" s="548"/>
      <c r="GOU77" s="548"/>
      <c r="GOV77" s="548"/>
      <c r="GOW77" s="548"/>
      <c r="GOX77" s="452"/>
      <c r="GOY77" s="596"/>
      <c r="GOZ77" s="548"/>
      <c r="GPA77" s="548"/>
      <c r="GPB77" s="548"/>
      <c r="GPC77" s="548"/>
      <c r="GPD77" s="548"/>
      <c r="GPE77" s="452"/>
      <c r="GPF77" s="596"/>
      <c r="GPG77" s="548"/>
      <c r="GPH77" s="548"/>
      <c r="GPI77" s="548"/>
      <c r="GPJ77" s="548"/>
      <c r="GPK77" s="548"/>
      <c r="GPL77" s="452"/>
      <c r="GPM77" s="596"/>
      <c r="GPN77" s="548"/>
      <c r="GPO77" s="548"/>
      <c r="GPP77" s="548"/>
      <c r="GPQ77" s="548"/>
      <c r="GPR77" s="548"/>
      <c r="GPS77" s="452"/>
      <c r="GPT77" s="596"/>
      <c r="GPU77" s="548"/>
      <c r="GPV77" s="548"/>
      <c r="GPW77" s="548"/>
      <c r="GPX77" s="548"/>
      <c r="GPY77" s="548"/>
      <c r="GPZ77" s="452"/>
      <c r="GQA77" s="596"/>
      <c r="GQB77" s="548"/>
      <c r="GQC77" s="548"/>
      <c r="GQD77" s="548"/>
      <c r="GQE77" s="548"/>
      <c r="GQF77" s="548"/>
      <c r="GQG77" s="452"/>
      <c r="GQH77" s="596"/>
      <c r="GQI77" s="548"/>
      <c r="GQJ77" s="548"/>
      <c r="GQK77" s="548"/>
      <c r="GQL77" s="548"/>
      <c r="GQM77" s="548"/>
      <c r="GQN77" s="452"/>
      <c r="GQO77" s="596"/>
      <c r="GQP77" s="548"/>
      <c r="GQQ77" s="548"/>
      <c r="GQR77" s="548"/>
      <c r="GQS77" s="548"/>
      <c r="GQT77" s="548"/>
      <c r="GQU77" s="452"/>
      <c r="GQV77" s="596"/>
      <c r="GQW77" s="548"/>
      <c r="GQX77" s="548"/>
      <c r="GQY77" s="548"/>
      <c r="GQZ77" s="548"/>
      <c r="GRA77" s="548"/>
      <c r="GRB77" s="452"/>
      <c r="GRC77" s="596"/>
      <c r="GRD77" s="548"/>
      <c r="GRE77" s="548"/>
      <c r="GRF77" s="548"/>
      <c r="GRG77" s="548"/>
      <c r="GRH77" s="548"/>
      <c r="GRI77" s="452"/>
      <c r="GRJ77" s="596"/>
      <c r="GRK77" s="548"/>
      <c r="GRL77" s="548"/>
      <c r="GRM77" s="548"/>
      <c r="GRN77" s="548"/>
      <c r="GRO77" s="548"/>
      <c r="GRP77" s="452"/>
      <c r="GRQ77" s="596"/>
      <c r="GRR77" s="548"/>
      <c r="GRS77" s="548"/>
      <c r="GRT77" s="548"/>
      <c r="GRU77" s="548"/>
      <c r="GRV77" s="548"/>
      <c r="GRW77" s="452"/>
      <c r="GRX77" s="596"/>
      <c r="GRY77" s="548"/>
      <c r="GRZ77" s="548"/>
      <c r="GSA77" s="548"/>
      <c r="GSB77" s="548"/>
      <c r="GSC77" s="548"/>
      <c r="GSD77" s="452"/>
      <c r="GSE77" s="596"/>
      <c r="GSF77" s="548"/>
      <c r="GSG77" s="548"/>
      <c r="GSH77" s="548"/>
      <c r="GSI77" s="548"/>
      <c r="GSJ77" s="548"/>
      <c r="GSK77" s="452"/>
      <c r="GSL77" s="596"/>
      <c r="GSM77" s="548"/>
      <c r="GSN77" s="548"/>
      <c r="GSO77" s="548"/>
      <c r="GSP77" s="548"/>
      <c r="GSQ77" s="548"/>
      <c r="GSR77" s="452"/>
      <c r="GSS77" s="596"/>
      <c r="GST77" s="548"/>
      <c r="GSU77" s="548"/>
      <c r="GSV77" s="548"/>
      <c r="GSW77" s="548"/>
      <c r="GSX77" s="548"/>
      <c r="GSY77" s="452"/>
      <c r="GSZ77" s="596"/>
      <c r="GTA77" s="548"/>
      <c r="GTB77" s="548"/>
      <c r="GTC77" s="548"/>
      <c r="GTD77" s="548"/>
      <c r="GTE77" s="548"/>
      <c r="GTF77" s="452"/>
      <c r="GTG77" s="596"/>
      <c r="GTH77" s="548"/>
      <c r="GTI77" s="548"/>
      <c r="GTJ77" s="548"/>
      <c r="GTK77" s="548"/>
      <c r="GTL77" s="548"/>
      <c r="GTM77" s="452"/>
      <c r="GTN77" s="596"/>
      <c r="GTO77" s="548"/>
      <c r="GTP77" s="548"/>
      <c r="GTQ77" s="548"/>
      <c r="GTR77" s="548"/>
      <c r="GTS77" s="548"/>
      <c r="GTT77" s="452"/>
      <c r="GTU77" s="596"/>
      <c r="GTV77" s="548"/>
      <c r="GTW77" s="548"/>
      <c r="GTX77" s="548"/>
      <c r="GTY77" s="548"/>
      <c r="GTZ77" s="548"/>
      <c r="GUA77" s="452"/>
      <c r="GUB77" s="596"/>
      <c r="GUC77" s="548"/>
      <c r="GUD77" s="548"/>
      <c r="GUE77" s="548"/>
      <c r="GUF77" s="548"/>
      <c r="GUG77" s="548"/>
      <c r="GUH77" s="452"/>
      <c r="GUI77" s="596"/>
      <c r="GUJ77" s="548"/>
      <c r="GUK77" s="548"/>
      <c r="GUL77" s="548"/>
      <c r="GUM77" s="548"/>
      <c r="GUN77" s="548"/>
      <c r="GUO77" s="452"/>
      <c r="GUP77" s="596"/>
      <c r="GUQ77" s="548"/>
      <c r="GUR77" s="548"/>
      <c r="GUS77" s="548"/>
      <c r="GUT77" s="548"/>
      <c r="GUU77" s="548"/>
      <c r="GUV77" s="452"/>
      <c r="GUW77" s="596"/>
      <c r="GUX77" s="548"/>
      <c r="GUY77" s="548"/>
      <c r="GUZ77" s="548"/>
      <c r="GVA77" s="548"/>
      <c r="GVB77" s="548"/>
      <c r="GVC77" s="452"/>
      <c r="GVD77" s="596"/>
      <c r="GVE77" s="548"/>
      <c r="GVF77" s="548"/>
      <c r="GVG77" s="548"/>
      <c r="GVH77" s="548"/>
      <c r="GVI77" s="548"/>
      <c r="GVJ77" s="452"/>
      <c r="GVK77" s="596"/>
      <c r="GVL77" s="548"/>
      <c r="GVM77" s="548"/>
      <c r="GVN77" s="548"/>
      <c r="GVO77" s="548"/>
      <c r="GVP77" s="548"/>
      <c r="GVQ77" s="452"/>
      <c r="GVR77" s="596"/>
      <c r="GVS77" s="548"/>
      <c r="GVT77" s="548"/>
      <c r="GVU77" s="548"/>
      <c r="GVV77" s="548"/>
      <c r="GVW77" s="548"/>
      <c r="GVX77" s="452"/>
      <c r="GVY77" s="596"/>
      <c r="GVZ77" s="548"/>
      <c r="GWA77" s="548"/>
      <c r="GWB77" s="548"/>
      <c r="GWC77" s="548"/>
      <c r="GWD77" s="548"/>
      <c r="GWE77" s="452"/>
      <c r="GWF77" s="596"/>
      <c r="GWG77" s="548"/>
      <c r="GWH77" s="548"/>
      <c r="GWI77" s="548"/>
      <c r="GWJ77" s="548"/>
      <c r="GWK77" s="548"/>
      <c r="GWL77" s="452"/>
      <c r="GWM77" s="596"/>
      <c r="GWN77" s="548"/>
      <c r="GWO77" s="548"/>
      <c r="GWP77" s="548"/>
      <c r="GWQ77" s="548"/>
      <c r="GWR77" s="548"/>
      <c r="GWS77" s="452"/>
      <c r="GWT77" s="596"/>
      <c r="GWU77" s="548"/>
      <c r="GWV77" s="548"/>
      <c r="GWW77" s="548"/>
      <c r="GWX77" s="548"/>
      <c r="GWY77" s="548"/>
      <c r="GWZ77" s="452"/>
      <c r="GXA77" s="596"/>
      <c r="GXB77" s="548"/>
      <c r="GXC77" s="548"/>
      <c r="GXD77" s="548"/>
      <c r="GXE77" s="548"/>
      <c r="GXF77" s="548"/>
      <c r="GXG77" s="452"/>
      <c r="GXH77" s="596"/>
      <c r="GXI77" s="548"/>
      <c r="GXJ77" s="548"/>
      <c r="GXK77" s="548"/>
      <c r="GXL77" s="548"/>
      <c r="GXM77" s="548"/>
      <c r="GXN77" s="452"/>
      <c r="GXO77" s="596"/>
      <c r="GXP77" s="548"/>
      <c r="GXQ77" s="548"/>
      <c r="GXR77" s="548"/>
      <c r="GXS77" s="548"/>
      <c r="GXT77" s="548"/>
      <c r="GXU77" s="452"/>
      <c r="GXV77" s="596"/>
      <c r="GXW77" s="548"/>
      <c r="GXX77" s="548"/>
      <c r="GXY77" s="548"/>
      <c r="GXZ77" s="548"/>
      <c r="GYA77" s="548"/>
      <c r="GYB77" s="452"/>
      <c r="GYC77" s="596"/>
      <c r="GYD77" s="548"/>
      <c r="GYE77" s="548"/>
      <c r="GYF77" s="548"/>
      <c r="GYG77" s="548"/>
      <c r="GYH77" s="548"/>
      <c r="GYI77" s="452"/>
      <c r="GYJ77" s="596"/>
      <c r="GYK77" s="548"/>
      <c r="GYL77" s="548"/>
      <c r="GYM77" s="548"/>
      <c r="GYN77" s="548"/>
      <c r="GYO77" s="548"/>
      <c r="GYP77" s="452"/>
      <c r="GYQ77" s="596"/>
      <c r="GYR77" s="548"/>
      <c r="GYS77" s="548"/>
      <c r="GYT77" s="548"/>
      <c r="GYU77" s="548"/>
      <c r="GYV77" s="548"/>
      <c r="GYW77" s="452"/>
      <c r="GYX77" s="596"/>
      <c r="GYY77" s="548"/>
      <c r="GYZ77" s="548"/>
      <c r="GZA77" s="548"/>
      <c r="GZB77" s="548"/>
      <c r="GZC77" s="548"/>
      <c r="GZD77" s="452"/>
      <c r="GZE77" s="596"/>
      <c r="GZF77" s="548"/>
      <c r="GZG77" s="548"/>
      <c r="GZH77" s="548"/>
      <c r="GZI77" s="548"/>
      <c r="GZJ77" s="548"/>
      <c r="GZK77" s="452"/>
      <c r="GZL77" s="596"/>
      <c r="GZM77" s="548"/>
      <c r="GZN77" s="548"/>
      <c r="GZO77" s="548"/>
      <c r="GZP77" s="548"/>
      <c r="GZQ77" s="548"/>
      <c r="GZR77" s="452"/>
      <c r="GZS77" s="596"/>
      <c r="GZT77" s="548"/>
      <c r="GZU77" s="548"/>
      <c r="GZV77" s="548"/>
      <c r="GZW77" s="548"/>
      <c r="GZX77" s="548"/>
      <c r="GZY77" s="452"/>
      <c r="GZZ77" s="596"/>
      <c r="HAA77" s="548"/>
      <c r="HAB77" s="548"/>
      <c r="HAC77" s="548"/>
      <c r="HAD77" s="548"/>
      <c r="HAE77" s="548"/>
      <c r="HAF77" s="452"/>
      <c r="HAG77" s="596"/>
      <c r="HAH77" s="548"/>
      <c r="HAI77" s="548"/>
      <c r="HAJ77" s="548"/>
      <c r="HAK77" s="548"/>
      <c r="HAL77" s="548"/>
      <c r="HAM77" s="452"/>
      <c r="HAN77" s="596"/>
      <c r="HAO77" s="548"/>
      <c r="HAP77" s="548"/>
      <c r="HAQ77" s="548"/>
      <c r="HAR77" s="548"/>
      <c r="HAS77" s="548"/>
      <c r="HAT77" s="452"/>
      <c r="HAU77" s="596"/>
      <c r="HAV77" s="548"/>
      <c r="HAW77" s="548"/>
      <c r="HAX77" s="548"/>
      <c r="HAY77" s="548"/>
      <c r="HAZ77" s="548"/>
      <c r="HBA77" s="452"/>
      <c r="HBB77" s="596"/>
      <c r="HBC77" s="548"/>
      <c r="HBD77" s="548"/>
      <c r="HBE77" s="548"/>
      <c r="HBF77" s="548"/>
      <c r="HBG77" s="548"/>
      <c r="HBH77" s="452"/>
      <c r="HBI77" s="596"/>
      <c r="HBJ77" s="548"/>
      <c r="HBK77" s="548"/>
      <c r="HBL77" s="548"/>
      <c r="HBM77" s="548"/>
      <c r="HBN77" s="548"/>
      <c r="HBO77" s="452"/>
      <c r="HBP77" s="596"/>
      <c r="HBQ77" s="548"/>
      <c r="HBR77" s="548"/>
      <c r="HBS77" s="548"/>
      <c r="HBT77" s="548"/>
      <c r="HBU77" s="548"/>
      <c r="HBV77" s="452"/>
      <c r="HBW77" s="596"/>
      <c r="HBX77" s="548"/>
      <c r="HBY77" s="548"/>
      <c r="HBZ77" s="548"/>
      <c r="HCA77" s="548"/>
      <c r="HCB77" s="548"/>
      <c r="HCC77" s="452"/>
      <c r="HCD77" s="596"/>
      <c r="HCE77" s="548"/>
      <c r="HCF77" s="548"/>
      <c r="HCG77" s="548"/>
      <c r="HCH77" s="548"/>
      <c r="HCI77" s="548"/>
      <c r="HCJ77" s="452"/>
      <c r="HCK77" s="596"/>
      <c r="HCL77" s="548"/>
      <c r="HCM77" s="548"/>
      <c r="HCN77" s="548"/>
      <c r="HCO77" s="548"/>
      <c r="HCP77" s="548"/>
      <c r="HCQ77" s="452"/>
      <c r="HCR77" s="596"/>
      <c r="HCS77" s="548"/>
      <c r="HCT77" s="548"/>
      <c r="HCU77" s="548"/>
      <c r="HCV77" s="548"/>
      <c r="HCW77" s="548"/>
      <c r="HCX77" s="452"/>
      <c r="HCY77" s="596"/>
      <c r="HCZ77" s="548"/>
      <c r="HDA77" s="548"/>
      <c r="HDB77" s="548"/>
      <c r="HDC77" s="548"/>
      <c r="HDD77" s="548"/>
      <c r="HDE77" s="452"/>
      <c r="HDF77" s="596"/>
      <c r="HDG77" s="548"/>
      <c r="HDH77" s="548"/>
      <c r="HDI77" s="548"/>
      <c r="HDJ77" s="548"/>
      <c r="HDK77" s="548"/>
      <c r="HDL77" s="452"/>
      <c r="HDM77" s="596"/>
      <c r="HDN77" s="548"/>
      <c r="HDO77" s="548"/>
      <c r="HDP77" s="548"/>
      <c r="HDQ77" s="548"/>
      <c r="HDR77" s="548"/>
      <c r="HDS77" s="452"/>
      <c r="HDT77" s="596"/>
      <c r="HDU77" s="548"/>
      <c r="HDV77" s="548"/>
      <c r="HDW77" s="548"/>
      <c r="HDX77" s="548"/>
      <c r="HDY77" s="548"/>
      <c r="HDZ77" s="452"/>
      <c r="HEA77" s="596"/>
      <c r="HEB77" s="548"/>
      <c r="HEC77" s="548"/>
      <c r="HED77" s="548"/>
      <c r="HEE77" s="548"/>
      <c r="HEF77" s="548"/>
      <c r="HEG77" s="452"/>
      <c r="HEH77" s="596"/>
      <c r="HEI77" s="548"/>
      <c r="HEJ77" s="548"/>
      <c r="HEK77" s="548"/>
      <c r="HEL77" s="548"/>
      <c r="HEM77" s="548"/>
      <c r="HEN77" s="452"/>
      <c r="HEO77" s="596"/>
      <c r="HEP77" s="548"/>
      <c r="HEQ77" s="548"/>
      <c r="HER77" s="548"/>
      <c r="HES77" s="548"/>
      <c r="HET77" s="548"/>
      <c r="HEU77" s="452"/>
      <c r="HEV77" s="596"/>
      <c r="HEW77" s="548"/>
      <c r="HEX77" s="548"/>
      <c r="HEY77" s="548"/>
      <c r="HEZ77" s="548"/>
      <c r="HFA77" s="548"/>
      <c r="HFB77" s="452"/>
      <c r="HFC77" s="596"/>
      <c r="HFD77" s="548"/>
      <c r="HFE77" s="548"/>
      <c r="HFF77" s="548"/>
      <c r="HFG77" s="548"/>
      <c r="HFH77" s="548"/>
      <c r="HFI77" s="452"/>
      <c r="HFJ77" s="596"/>
      <c r="HFK77" s="548"/>
      <c r="HFL77" s="548"/>
      <c r="HFM77" s="548"/>
      <c r="HFN77" s="548"/>
      <c r="HFO77" s="548"/>
      <c r="HFP77" s="452"/>
      <c r="HFQ77" s="596"/>
      <c r="HFR77" s="548"/>
      <c r="HFS77" s="548"/>
      <c r="HFT77" s="548"/>
      <c r="HFU77" s="548"/>
      <c r="HFV77" s="548"/>
      <c r="HFW77" s="452"/>
      <c r="HFX77" s="596"/>
      <c r="HFY77" s="548"/>
      <c r="HFZ77" s="548"/>
      <c r="HGA77" s="548"/>
      <c r="HGB77" s="548"/>
      <c r="HGC77" s="548"/>
      <c r="HGD77" s="452"/>
      <c r="HGE77" s="596"/>
      <c r="HGF77" s="548"/>
      <c r="HGG77" s="548"/>
      <c r="HGH77" s="548"/>
      <c r="HGI77" s="548"/>
      <c r="HGJ77" s="548"/>
      <c r="HGK77" s="452"/>
      <c r="HGL77" s="596"/>
      <c r="HGM77" s="548"/>
      <c r="HGN77" s="548"/>
      <c r="HGO77" s="548"/>
      <c r="HGP77" s="548"/>
      <c r="HGQ77" s="548"/>
      <c r="HGR77" s="452"/>
      <c r="HGS77" s="596"/>
      <c r="HGT77" s="548"/>
      <c r="HGU77" s="548"/>
      <c r="HGV77" s="548"/>
      <c r="HGW77" s="548"/>
      <c r="HGX77" s="548"/>
      <c r="HGY77" s="452"/>
      <c r="HGZ77" s="596"/>
      <c r="HHA77" s="548"/>
      <c r="HHB77" s="548"/>
      <c r="HHC77" s="548"/>
      <c r="HHD77" s="548"/>
      <c r="HHE77" s="548"/>
      <c r="HHF77" s="452"/>
      <c r="HHG77" s="596"/>
      <c r="HHH77" s="548"/>
      <c r="HHI77" s="548"/>
      <c r="HHJ77" s="548"/>
      <c r="HHK77" s="548"/>
      <c r="HHL77" s="548"/>
      <c r="HHM77" s="452"/>
      <c r="HHN77" s="596"/>
      <c r="HHO77" s="548"/>
      <c r="HHP77" s="548"/>
      <c r="HHQ77" s="548"/>
      <c r="HHR77" s="548"/>
      <c r="HHS77" s="548"/>
      <c r="HHT77" s="452"/>
      <c r="HHU77" s="596"/>
      <c r="HHV77" s="548"/>
      <c r="HHW77" s="548"/>
      <c r="HHX77" s="548"/>
      <c r="HHY77" s="548"/>
      <c r="HHZ77" s="548"/>
      <c r="HIA77" s="452"/>
      <c r="HIB77" s="596"/>
      <c r="HIC77" s="548"/>
      <c r="HID77" s="548"/>
      <c r="HIE77" s="548"/>
      <c r="HIF77" s="548"/>
      <c r="HIG77" s="548"/>
      <c r="HIH77" s="452"/>
      <c r="HII77" s="596"/>
      <c r="HIJ77" s="548"/>
      <c r="HIK77" s="548"/>
      <c r="HIL77" s="548"/>
      <c r="HIM77" s="548"/>
      <c r="HIN77" s="548"/>
      <c r="HIO77" s="452"/>
      <c r="HIP77" s="596"/>
      <c r="HIQ77" s="548"/>
      <c r="HIR77" s="548"/>
      <c r="HIS77" s="548"/>
      <c r="HIT77" s="548"/>
      <c r="HIU77" s="548"/>
      <c r="HIV77" s="452"/>
      <c r="HIW77" s="596"/>
      <c r="HIX77" s="548"/>
      <c r="HIY77" s="548"/>
      <c r="HIZ77" s="548"/>
      <c r="HJA77" s="548"/>
      <c r="HJB77" s="548"/>
      <c r="HJC77" s="452"/>
      <c r="HJD77" s="596"/>
      <c r="HJE77" s="548"/>
      <c r="HJF77" s="548"/>
      <c r="HJG77" s="548"/>
      <c r="HJH77" s="548"/>
      <c r="HJI77" s="548"/>
      <c r="HJJ77" s="452"/>
      <c r="HJK77" s="596"/>
      <c r="HJL77" s="548"/>
      <c r="HJM77" s="548"/>
      <c r="HJN77" s="548"/>
      <c r="HJO77" s="548"/>
      <c r="HJP77" s="548"/>
      <c r="HJQ77" s="452"/>
      <c r="HJR77" s="596"/>
      <c r="HJS77" s="548"/>
      <c r="HJT77" s="548"/>
      <c r="HJU77" s="548"/>
      <c r="HJV77" s="548"/>
      <c r="HJW77" s="548"/>
      <c r="HJX77" s="452"/>
      <c r="HJY77" s="596"/>
      <c r="HJZ77" s="548"/>
      <c r="HKA77" s="548"/>
      <c r="HKB77" s="548"/>
      <c r="HKC77" s="548"/>
      <c r="HKD77" s="548"/>
      <c r="HKE77" s="452"/>
      <c r="HKF77" s="596"/>
      <c r="HKG77" s="548"/>
      <c r="HKH77" s="548"/>
      <c r="HKI77" s="548"/>
      <c r="HKJ77" s="548"/>
      <c r="HKK77" s="548"/>
      <c r="HKL77" s="452"/>
      <c r="HKM77" s="596"/>
      <c r="HKN77" s="548"/>
      <c r="HKO77" s="548"/>
      <c r="HKP77" s="548"/>
      <c r="HKQ77" s="548"/>
      <c r="HKR77" s="548"/>
      <c r="HKS77" s="452"/>
      <c r="HKT77" s="596"/>
      <c r="HKU77" s="548"/>
      <c r="HKV77" s="548"/>
      <c r="HKW77" s="548"/>
      <c r="HKX77" s="548"/>
      <c r="HKY77" s="548"/>
      <c r="HKZ77" s="452"/>
      <c r="HLA77" s="596"/>
      <c r="HLB77" s="548"/>
      <c r="HLC77" s="548"/>
      <c r="HLD77" s="548"/>
      <c r="HLE77" s="548"/>
      <c r="HLF77" s="548"/>
      <c r="HLG77" s="452"/>
      <c r="HLH77" s="596"/>
      <c r="HLI77" s="548"/>
      <c r="HLJ77" s="548"/>
      <c r="HLK77" s="548"/>
      <c r="HLL77" s="548"/>
      <c r="HLM77" s="548"/>
      <c r="HLN77" s="452"/>
      <c r="HLO77" s="596"/>
      <c r="HLP77" s="548"/>
      <c r="HLQ77" s="548"/>
      <c r="HLR77" s="548"/>
      <c r="HLS77" s="548"/>
      <c r="HLT77" s="548"/>
      <c r="HLU77" s="452"/>
      <c r="HLV77" s="596"/>
      <c r="HLW77" s="548"/>
      <c r="HLX77" s="548"/>
      <c r="HLY77" s="548"/>
      <c r="HLZ77" s="548"/>
      <c r="HMA77" s="548"/>
      <c r="HMB77" s="452"/>
      <c r="HMC77" s="596"/>
      <c r="HMD77" s="548"/>
      <c r="HME77" s="548"/>
      <c r="HMF77" s="548"/>
      <c r="HMG77" s="548"/>
      <c r="HMH77" s="548"/>
      <c r="HMI77" s="452"/>
      <c r="HMJ77" s="596"/>
      <c r="HMK77" s="548"/>
      <c r="HML77" s="548"/>
      <c r="HMM77" s="548"/>
      <c r="HMN77" s="548"/>
      <c r="HMO77" s="548"/>
      <c r="HMP77" s="452"/>
      <c r="HMQ77" s="596"/>
      <c r="HMR77" s="548"/>
      <c r="HMS77" s="548"/>
      <c r="HMT77" s="548"/>
      <c r="HMU77" s="548"/>
      <c r="HMV77" s="548"/>
      <c r="HMW77" s="452"/>
      <c r="HMX77" s="596"/>
      <c r="HMY77" s="548"/>
      <c r="HMZ77" s="548"/>
      <c r="HNA77" s="548"/>
      <c r="HNB77" s="548"/>
      <c r="HNC77" s="548"/>
      <c r="HND77" s="452"/>
      <c r="HNE77" s="596"/>
      <c r="HNF77" s="548"/>
      <c r="HNG77" s="548"/>
      <c r="HNH77" s="548"/>
      <c r="HNI77" s="548"/>
      <c r="HNJ77" s="548"/>
      <c r="HNK77" s="452"/>
      <c r="HNL77" s="596"/>
      <c r="HNM77" s="548"/>
      <c r="HNN77" s="548"/>
      <c r="HNO77" s="548"/>
      <c r="HNP77" s="548"/>
      <c r="HNQ77" s="548"/>
      <c r="HNR77" s="452"/>
      <c r="HNS77" s="596"/>
      <c r="HNT77" s="548"/>
      <c r="HNU77" s="548"/>
      <c r="HNV77" s="548"/>
      <c r="HNW77" s="548"/>
      <c r="HNX77" s="548"/>
      <c r="HNY77" s="452"/>
      <c r="HNZ77" s="596"/>
      <c r="HOA77" s="548"/>
      <c r="HOB77" s="548"/>
      <c r="HOC77" s="548"/>
      <c r="HOD77" s="548"/>
      <c r="HOE77" s="548"/>
      <c r="HOF77" s="452"/>
      <c r="HOG77" s="596"/>
      <c r="HOH77" s="548"/>
      <c r="HOI77" s="548"/>
      <c r="HOJ77" s="548"/>
      <c r="HOK77" s="548"/>
      <c r="HOL77" s="548"/>
      <c r="HOM77" s="452"/>
      <c r="HON77" s="596"/>
      <c r="HOO77" s="548"/>
      <c r="HOP77" s="548"/>
      <c r="HOQ77" s="548"/>
      <c r="HOR77" s="548"/>
      <c r="HOS77" s="548"/>
      <c r="HOT77" s="452"/>
      <c r="HOU77" s="596"/>
      <c r="HOV77" s="548"/>
      <c r="HOW77" s="548"/>
      <c r="HOX77" s="548"/>
      <c r="HOY77" s="548"/>
      <c r="HOZ77" s="548"/>
      <c r="HPA77" s="452"/>
      <c r="HPB77" s="596"/>
      <c r="HPC77" s="548"/>
      <c r="HPD77" s="548"/>
      <c r="HPE77" s="548"/>
      <c r="HPF77" s="548"/>
      <c r="HPG77" s="548"/>
      <c r="HPH77" s="452"/>
      <c r="HPI77" s="596"/>
      <c r="HPJ77" s="548"/>
      <c r="HPK77" s="548"/>
      <c r="HPL77" s="548"/>
      <c r="HPM77" s="548"/>
      <c r="HPN77" s="548"/>
      <c r="HPO77" s="452"/>
      <c r="HPP77" s="596"/>
      <c r="HPQ77" s="548"/>
      <c r="HPR77" s="548"/>
      <c r="HPS77" s="548"/>
      <c r="HPT77" s="548"/>
      <c r="HPU77" s="548"/>
      <c r="HPV77" s="452"/>
      <c r="HPW77" s="596"/>
      <c r="HPX77" s="548"/>
      <c r="HPY77" s="548"/>
      <c r="HPZ77" s="548"/>
      <c r="HQA77" s="548"/>
      <c r="HQB77" s="548"/>
      <c r="HQC77" s="452"/>
      <c r="HQD77" s="596"/>
      <c r="HQE77" s="548"/>
      <c r="HQF77" s="548"/>
      <c r="HQG77" s="548"/>
      <c r="HQH77" s="548"/>
      <c r="HQI77" s="548"/>
      <c r="HQJ77" s="452"/>
      <c r="HQK77" s="596"/>
      <c r="HQL77" s="548"/>
      <c r="HQM77" s="548"/>
      <c r="HQN77" s="548"/>
      <c r="HQO77" s="548"/>
      <c r="HQP77" s="548"/>
      <c r="HQQ77" s="452"/>
      <c r="HQR77" s="596"/>
      <c r="HQS77" s="548"/>
      <c r="HQT77" s="548"/>
      <c r="HQU77" s="548"/>
      <c r="HQV77" s="548"/>
      <c r="HQW77" s="548"/>
      <c r="HQX77" s="452"/>
      <c r="HQY77" s="596"/>
      <c r="HQZ77" s="548"/>
      <c r="HRA77" s="548"/>
      <c r="HRB77" s="548"/>
      <c r="HRC77" s="548"/>
      <c r="HRD77" s="548"/>
      <c r="HRE77" s="452"/>
      <c r="HRF77" s="596"/>
      <c r="HRG77" s="548"/>
      <c r="HRH77" s="548"/>
      <c r="HRI77" s="548"/>
      <c r="HRJ77" s="548"/>
      <c r="HRK77" s="548"/>
      <c r="HRL77" s="452"/>
      <c r="HRM77" s="596"/>
      <c r="HRN77" s="548"/>
      <c r="HRO77" s="548"/>
      <c r="HRP77" s="548"/>
      <c r="HRQ77" s="548"/>
      <c r="HRR77" s="548"/>
      <c r="HRS77" s="452"/>
      <c r="HRT77" s="596"/>
      <c r="HRU77" s="548"/>
      <c r="HRV77" s="548"/>
      <c r="HRW77" s="548"/>
      <c r="HRX77" s="548"/>
      <c r="HRY77" s="548"/>
      <c r="HRZ77" s="452"/>
      <c r="HSA77" s="596"/>
      <c r="HSB77" s="548"/>
      <c r="HSC77" s="548"/>
      <c r="HSD77" s="548"/>
      <c r="HSE77" s="548"/>
      <c r="HSF77" s="548"/>
      <c r="HSG77" s="452"/>
      <c r="HSH77" s="596"/>
      <c r="HSI77" s="548"/>
      <c r="HSJ77" s="548"/>
      <c r="HSK77" s="548"/>
      <c r="HSL77" s="548"/>
      <c r="HSM77" s="548"/>
      <c r="HSN77" s="452"/>
      <c r="HSO77" s="596"/>
      <c r="HSP77" s="548"/>
      <c r="HSQ77" s="548"/>
      <c r="HSR77" s="548"/>
      <c r="HSS77" s="548"/>
      <c r="HST77" s="548"/>
      <c r="HSU77" s="452"/>
      <c r="HSV77" s="596"/>
      <c r="HSW77" s="548"/>
      <c r="HSX77" s="548"/>
      <c r="HSY77" s="548"/>
      <c r="HSZ77" s="548"/>
      <c r="HTA77" s="548"/>
      <c r="HTB77" s="452"/>
      <c r="HTC77" s="596"/>
      <c r="HTD77" s="548"/>
      <c r="HTE77" s="548"/>
      <c r="HTF77" s="548"/>
      <c r="HTG77" s="548"/>
      <c r="HTH77" s="548"/>
      <c r="HTI77" s="452"/>
      <c r="HTJ77" s="596"/>
      <c r="HTK77" s="548"/>
      <c r="HTL77" s="548"/>
      <c r="HTM77" s="548"/>
      <c r="HTN77" s="548"/>
      <c r="HTO77" s="548"/>
      <c r="HTP77" s="452"/>
      <c r="HTQ77" s="596"/>
      <c r="HTR77" s="548"/>
      <c r="HTS77" s="548"/>
      <c r="HTT77" s="548"/>
      <c r="HTU77" s="548"/>
      <c r="HTV77" s="548"/>
      <c r="HTW77" s="452"/>
      <c r="HTX77" s="596"/>
      <c r="HTY77" s="548"/>
      <c r="HTZ77" s="548"/>
      <c r="HUA77" s="548"/>
      <c r="HUB77" s="548"/>
      <c r="HUC77" s="548"/>
      <c r="HUD77" s="452"/>
      <c r="HUE77" s="596"/>
      <c r="HUF77" s="548"/>
      <c r="HUG77" s="548"/>
      <c r="HUH77" s="548"/>
      <c r="HUI77" s="548"/>
      <c r="HUJ77" s="548"/>
      <c r="HUK77" s="452"/>
      <c r="HUL77" s="596"/>
      <c r="HUM77" s="548"/>
      <c r="HUN77" s="548"/>
      <c r="HUO77" s="548"/>
      <c r="HUP77" s="548"/>
      <c r="HUQ77" s="548"/>
      <c r="HUR77" s="452"/>
      <c r="HUS77" s="596"/>
      <c r="HUT77" s="548"/>
      <c r="HUU77" s="548"/>
      <c r="HUV77" s="548"/>
      <c r="HUW77" s="548"/>
      <c r="HUX77" s="548"/>
      <c r="HUY77" s="452"/>
      <c r="HUZ77" s="596"/>
      <c r="HVA77" s="548"/>
      <c r="HVB77" s="548"/>
      <c r="HVC77" s="548"/>
      <c r="HVD77" s="548"/>
      <c r="HVE77" s="548"/>
      <c r="HVF77" s="452"/>
      <c r="HVG77" s="596"/>
      <c r="HVH77" s="548"/>
      <c r="HVI77" s="548"/>
      <c r="HVJ77" s="548"/>
      <c r="HVK77" s="548"/>
      <c r="HVL77" s="548"/>
      <c r="HVM77" s="452"/>
      <c r="HVN77" s="596"/>
      <c r="HVO77" s="548"/>
      <c r="HVP77" s="548"/>
      <c r="HVQ77" s="548"/>
      <c r="HVR77" s="548"/>
      <c r="HVS77" s="548"/>
      <c r="HVT77" s="452"/>
      <c r="HVU77" s="596"/>
      <c r="HVV77" s="548"/>
      <c r="HVW77" s="548"/>
      <c r="HVX77" s="548"/>
      <c r="HVY77" s="548"/>
      <c r="HVZ77" s="548"/>
      <c r="HWA77" s="452"/>
      <c r="HWB77" s="596"/>
      <c r="HWC77" s="548"/>
      <c r="HWD77" s="548"/>
      <c r="HWE77" s="548"/>
      <c r="HWF77" s="548"/>
      <c r="HWG77" s="548"/>
      <c r="HWH77" s="452"/>
      <c r="HWI77" s="596"/>
      <c r="HWJ77" s="548"/>
      <c r="HWK77" s="548"/>
      <c r="HWL77" s="548"/>
      <c r="HWM77" s="548"/>
      <c r="HWN77" s="548"/>
      <c r="HWO77" s="452"/>
      <c r="HWP77" s="596"/>
      <c r="HWQ77" s="548"/>
      <c r="HWR77" s="548"/>
      <c r="HWS77" s="548"/>
      <c r="HWT77" s="548"/>
      <c r="HWU77" s="548"/>
      <c r="HWV77" s="452"/>
      <c r="HWW77" s="596"/>
      <c r="HWX77" s="548"/>
      <c r="HWY77" s="548"/>
      <c r="HWZ77" s="548"/>
      <c r="HXA77" s="548"/>
      <c r="HXB77" s="548"/>
      <c r="HXC77" s="452"/>
      <c r="HXD77" s="596"/>
      <c r="HXE77" s="548"/>
      <c r="HXF77" s="548"/>
      <c r="HXG77" s="548"/>
      <c r="HXH77" s="548"/>
      <c r="HXI77" s="548"/>
      <c r="HXJ77" s="452"/>
      <c r="HXK77" s="596"/>
      <c r="HXL77" s="548"/>
      <c r="HXM77" s="548"/>
      <c r="HXN77" s="548"/>
      <c r="HXO77" s="548"/>
      <c r="HXP77" s="548"/>
      <c r="HXQ77" s="452"/>
      <c r="HXR77" s="596"/>
      <c r="HXS77" s="548"/>
      <c r="HXT77" s="548"/>
      <c r="HXU77" s="548"/>
      <c r="HXV77" s="548"/>
      <c r="HXW77" s="548"/>
      <c r="HXX77" s="452"/>
      <c r="HXY77" s="596"/>
      <c r="HXZ77" s="548"/>
      <c r="HYA77" s="548"/>
      <c r="HYB77" s="548"/>
      <c r="HYC77" s="548"/>
      <c r="HYD77" s="548"/>
      <c r="HYE77" s="452"/>
      <c r="HYF77" s="596"/>
      <c r="HYG77" s="548"/>
      <c r="HYH77" s="548"/>
      <c r="HYI77" s="548"/>
      <c r="HYJ77" s="548"/>
      <c r="HYK77" s="548"/>
      <c r="HYL77" s="452"/>
      <c r="HYM77" s="596"/>
      <c r="HYN77" s="548"/>
      <c r="HYO77" s="548"/>
      <c r="HYP77" s="548"/>
      <c r="HYQ77" s="548"/>
      <c r="HYR77" s="548"/>
      <c r="HYS77" s="452"/>
      <c r="HYT77" s="596"/>
      <c r="HYU77" s="548"/>
      <c r="HYV77" s="548"/>
      <c r="HYW77" s="548"/>
      <c r="HYX77" s="548"/>
      <c r="HYY77" s="548"/>
      <c r="HYZ77" s="452"/>
      <c r="HZA77" s="596"/>
      <c r="HZB77" s="548"/>
      <c r="HZC77" s="548"/>
      <c r="HZD77" s="548"/>
      <c r="HZE77" s="548"/>
      <c r="HZF77" s="548"/>
      <c r="HZG77" s="452"/>
      <c r="HZH77" s="596"/>
      <c r="HZI77" s="548"/>
      <c r="HZJ77" s="548"/>
      <c r="HZK77" s="548"/>
      <c r="HZL77" s="548"/>
      <c r="HZM77" s="548"/>
      <c r="HZN77" s="452"/>
      <c r="HZO77" s="596"/>
      <c r="HZP77" s="548"/>
      <c r="HZQ77" s="548"/>
      <c r="HZR77" s="548"/>
      <c r="HZS77" s="548"/>
      <c r="HZT77" s="548"/>
      <c r="HZU77" s="452"/>
      <c r="HZV77" s="596"/>
      <c r="HZW77" s="548"/>
      <c r="HZX77" s="548"/>
      <c r="HZY77" s="548"/>
      <c r="HZZ77" s="548"/>
      <c r="IAA77" s="548"/>
      <c r="IAB77" s="452"/>
      <c r="IAC77" s="596"/>
      <c r="IAD77" s="548"/>
      <c r="IAE77" s="548"/>
      <c r="IAF77" s="548"/>
      <c r="IAG77" s="548"/>
      <c r="IAH77" s="548"/>
      <c r="IAI77" s="452"/>
      <c r="IAJ77" s="596"/>
      <c r="IAK77" s="548"/>
      <c r="IAL77" s="548"/>
      <c r="IAM77" s="548"/>
      <c r="IAN77" s="548"/>
      <c r="IAO77" s="548"/>
      <c r="IAP77" s="452"/>
      <c r="IAQ77" s="596"/>
      <c r="IAR77" s="548"/>
      <c r="IAS77" s="548"/>
      <c r="IAT77" s="548"/>
      <c r="IAU77" s="548"/>
      <c r="IAV77" s="548"/>
      <c r="IAW77" s="452"/>
      <c r="IAX77" s="596"/>
      <c r="IAY77" s="548"/>
      <c r="IAZ77" s="548"/>
      <c r="IBA77" s="548"/>
      <c r="IBB77" s="548"/>
      <c r="IBC77" s="548"/>
      <c r="IBD77" s="452"/>
      <c r="IBE77" s="596"/>
      <c r="IBF77" s="548"/>
      <c r="IBG77" s="548"/>
      <c r="IBH77" s="548"/>
      <c r="IBI77" s="548"/>
      <c r="IBJ77" s="548"/>
      <c r="IBK77" s="452"/>
      <c r="IBL77" s="596"/>
      <c r="IBM77" s="548"/>
      <c r="IBN77" s="548"/>
      <c r="IBO77" s="548"/>
      <c r="IBP77" s="548"/>
      <c r="IBQ77" s="548"/>
      <c r="IBR77" s="452"/>
      <c r="IBS77" s="596"/>
      <c r="IBT77" s="548"/>
      <c r="IBU77" s="548"/>
      <c r="IBV77" s="548"/>
      <c r="IBW77" s="548"/>
      <c r="IBX77" s="548"/>
      <c r="IBY77" s="452"/>
      <c r="IBZ77" s="596"/>
      <c r="ICA77" s="548"/>
      <c r="ICB77" s="548"/>
      <c r="ICC77" s="548"/>
      <c r="ICD77" s="548"/>
      <c r="ICE77" s="548"/>
      <c r="ICF77" s="452"/>
      <c r="ICG77" s="596"/>
      <c r="ICH77" s="548"/>
      <c r="ICI77" s="548"/>
      <c r="ICJ77" s="548"/>
      <c r="ICK77" s="548"/>
      <c r="ICL77" s="548"/>
      <c r="ICM77" s="452"/>
      <c r="ICN77" s="596"/>
      <c r="ICO77" s="548"/>
      <c r="ICP77" s="548"/>
      <c r="ICQ77" s="548"/>
      <c r="ICR77" s="548"/>
      <c r="ICS77" s="548"/>
      <c r="ICT77" s="452"/>
      <c r="ICU77" s="596"/>
      <c r="ICV77" s="548"/>
      <c r="ICW77" s="548"/>
      <c r="ICX77" s="548"/>
      <c r="ICY77" s="548"/>
      <c r="ICZ77" s="548"/>
      <c r="IDA77" s="452"/>
      <c r="IDB77" s="596"/>
      <c r="IDC77" s="548"/>
      <c r="IDD77" s="548"/>
      <c r="IDE77" s="548"/>
      <c r="IDF77" s="548"/>
      <c r="IDG77" s="548"/>
      <c r="IDH77" s="452"/>
      <c r="IDI77" s="596"/>
      <c r="IDJ77" s="548"/>
      <c r="IDK77" s="548"/>
      <c r="IDL77" s="548"/>
      <c r="IDM77" s="548"/>
      <c r="IDN77" s="548"/>
      <c r="IDO77" s="452"/>
      <c r="IDP77" s="596"/>
      <c r="IDQ77" s="548"/>
      <c r="IDR77" s="548"/>
      <c r="IDS77" s="548"/>
      <c r="IDT77" s="548"/>
      <c r="IDU77" s="548"/>
      <c r="IDV77" s="452"/>
      <c r="IDW77" s="596"/>
      <c r="IDX77" s="548"/>
      <c r="IDY77" s="548"/>
      <c r="IDZ77" s="548"/>
      <c r="IEA77" s="548"/>
      <c r="IEB77" s="548"/>
      <c r="IEC77" s="452"/>
      <c r="IED77" s="596"/>
      <c r="IEE77" s="548"/>
      <c r="IEF77" s="548"/>
      <c r="IEG77" s="548"/>
      <c r="IEH77" s="548"/>
      <c r="IEI77" s="548"/>
      <c r="IEJ77" s="452"/>
      <c r="IEK77" s="596"/>
      <c r="IEL77" s="548"/>
      <c r="IEM77" s="548"/>
      <c r="IEN77" s="548"/>
      <c r="IEO77" s="548"/>
      <c r="IEP77" s="548"/>
      <c r="IEQ77" s="452"/>
      <c r="IER77" s="596"/>
      <c r="IES77" s="548"/>
      <c r="IET77" s="548"/>
      <c r="IEU77" s="548"/>
      <c r="IEV77" s="548"/>
      <c r="IEW77" s="548"/>
      <c r="IEX77" s="452"/>
      <c r="IEY77" s="596"/>
      <c r="IEZ77" s="548"/>
      <c r="IFA77" s="548"/>
      <c r="IFB77" s="548"/>
      <c r="IFC77" s="548"/>
      <c r="IFD77" s="548"/>
      <c r="IFE77" s="452"/>
      <c r="IFF77" s="596"/>
      <c r="IFG77" s="548"/>
      <c r="IFH77" s="548"/>
      <c r="IFI77" s="548"/>
      <c r="IFJ77" s="548"/>
      <c r="IFK77" s="548"/>
      <c r="IFL77" s="452"/>
      <c r="IFM77" s="596"/>
      <c r="IFN77" s="548"/>
      <c r="IFO77" s="548"/>
      <c r="IFP77" s="548"/>
      <c r="IFQ77" s="548"/>
      <c r="IFR77" s="548"/>
      <c r="IFS77" s="452"/>
      <c r="IFT77" s="596"/>
      <c r="IFU77" s="548"/>
      <c r="IFV77" s="548"/>
      <c r="IFW77" s="548"/>
      <c r="IFX77" s="548"/>
      <c r="IFY77" s="548"/>
      <c r="IFZ77" s="452"/>
      <c r="IGA77" s="596"/>
      <c r="IGB77" s="548"/>
      <c r="IGC77" s="548"/>
      <c r="IGD77" s="548"/>
      <c r="IGE77" s="548"/>
      <c r="IGF77" s="548"/>
      <c r="IGG77" s="452"/>
      <c r="IGH77" s="596"/>
      <c r="IGI77" s="548"/>
      <c r="IGJ77" s="548"/>
      <c r="IGK77" s="548"/>
      <c r="IGL77" s="548"/>
      <c r="IGM77" s="548"/>
      <c r="IGN77" s="452"/>
      <c r="IGO77" s="596"/>
      <c r="IGP77" s="548"/>
      <c r="IGQ77" s="548"/>
      <c r="IGR77" s="548"/>
      <c r="IGS77" s="548"/>
      <c r="IGT77" s="548"/>
      <c r="IGU77" s="452"/>
      <c r="IGV77" s="596"/>
      <c r="IGW77" s="548"/>
      <c r="IGX77" s="548"/>
      <c r="IGY77" s="548"/>
      <c r="IGZ77" s="548"/>
      <c r="IHA77" s="548"/>
      <c r="IHB77" s="452"/>
      <c r="IHC77" s="596"/>
      <c r="IHD77" s="548"/>
      <c r="IHE77" s="548"/>
      <c r="IHF77" s="548"/>
      <c r="IHG77" s="548"/>
      <c r="IHH77" s="548"/>
      <c r="IHI77" s="452"/>
      <c r="IHJ77" s="596"/>
      <c r="IHK77" s="548"/>
      <c r="IHL77" s="548"/>
      <c r="IHM77" s="548"/>
      <c r="IHN77" s="548"/>
      <c r="IHO77" s="548"/>
      <c r="IHP77" s="452"/>
      <c r="IHQ77" s="596"/>
      <c r="IHR77" s="548"/>
      <c r="IHS77" s="548"/>
      <c r="IHT77" s="548"/>
      <c r="IHU77" s="548"/>
      <c r="IHV77" s="548"/>
      <c r="IHW77" s="452"/>
      <c r="IHX77" s="596"/>
      <c r="IHY77" s="548"/>
      <c r="IHZ77" s="548"/>
      <c r="IIA77" s="548"/>
      <c r="IIB77" s="548"/>
      <c r="IIC77" s="548"/>
      <c r="IID77" s="452"/>
      <c r="IIE77" s="596"/>
      <c r="IIF77" s="548"/>
      <c r="IIG77" s="548"/>
      <c r="IIH77" s="548"/>
      <c r="III77" s="548"/>
      <c r="IIJ77" s="548"/>
      <c r="IIK77" s="452"/>
      <c r="IIL77" s="596"/>
      <c r="IIM77" s="548"/>
      <c r="IIN77" s="548"/>
      <c r="IIO77" s="548"/>
      <c r="IIP77" s="548"/>
      <c r="IIQ77" s="548"/>
      <c r="IIR77" s="452"/>
      <c r="IIS77" s="596"/>
      <c r="IIT77" s="548"/>
      <c r="IIU77" s="548"/>
      <c r="IIV77" s="548"/>
      <c r="IIW77" s="548"/>
      <c r="IIX77" s="548"/>
      <c r="IIY77" s="452"/>
      <c r="IIZ77" s="596"/>
      <c r="IJA77" s="548"/>
      <c r="IJB77" s="548"/>
      <c r="IJC77" s="548"/>
      <c r="IJD77" s="548"/>
      <c r="IJE77" s="548"/>
      <c r="IJF77" s="452"/>
      <c r="IJG77" s="596"/>
      <c r="IJH77" s="548"/>
      <c r="IJI77" s="548"/>
      <c r="IJJ77" s="548"/>
      <c r="IJK77" s="548"/>
      <c r="IJL77" s="548"/>
      <c r="IJM77" s="452"/>
      <c r="IJN77" s="596"/>
      <c r="IJO77" s="548"/>
      <c r="IJP77" s="548"/>
      <c r="IJQ77" s="548"/>
      <c r="IJR77" s="548"/>
      <c r="IJS77" s="548"/>
      <c r="IJT77" s="452"/>
      <c r="IJU77" s="596"/>
      <c r="IJV77" s="548"/>
      <c r="IJW77" s="548"/>
      <c r="IJX77" s="548"/>
      <c r="IJY77" s="548"/>
      <c r="IJZ77" s="548"/>
      <c r="IKA77" s="452"/>
      <c r="IKB77" s="596"/>
      <c r="IKC77" s="548"/>
      <c r="IKD77" s="548"/>
      <c r="IKE77" s="548"/>
      <c r="IKF77" s="548"/>
      <c r="IKG77" s="548"/>
      <c r="IKH77" s="452"/>
      <c r="IKI77" s="596"/>
      <c r="IKJ77" s="548"/>
      <c r="IKK77" s="548"/>
      <c r="IKL77" s="548"/>
      <c r="IKM77" s="548"/>
      <c r="IKN77" s="548"/>
      <c r="IKO77" s="452"/>
      <c r="IKP77" s="596"/>
      <c r="IKQ77" s="548"/>
      <c r="IKR77" s="548"/>
      <c r="IKS77" s="548"/>
      <c r="IKT77" s="548"/>
      <c r="IKU77" s="548"/>
      <c r="IKV77" s="452"/>
      <c r="IKW77" s="596"/>
      <c r="IKX77" s="548"/>
      <c r="IKY77" s="548"/>
      <c r="IKZ77" s="548"/>
      <c r="ILA77" s="548"/>
      <c r="ILB77" s="548"/>
      <c r="ILC77" s="452"/>
      <c r="ILD77" s="596"/>
      <c r="ILE77" s="548"/>
      <c r="ILF77" s="548"/>
      <c r="ILG77" s="548"/>
      <c r="ILH77" s="548"/>
      <c r="ILI77" s="548"/>
      <c r="ILJ77" s="452"/>
      <c r="ILK77" s="596"/>
      <c r="ILL77" s="548"/>
      <c r="ILM77" s="548"/>
      <c r="ILN77" s="548"/>
      <c r="ILO77" s="548"/>
      <c r="ILP77" s="548"/>
      <c r="ILQ77" s="452"/>
      <c r="ILR77" s="596"/>
      <c r="ILS77" s="548"/>
      <c r="ILT77" s="548"/>
      <c r="ILU77" s="548"/>
      <c r="ILV77" s="548"/>
      <c r="ILW77" s="548"/>
      <c r="ILX77" s="452"/>
      <c r="ILY77" s="596"/>
      <c r="ILZ77" s="548"/>
      <c r="IMA77" s="548"/>
      <c r="IMB77" s="548"/>
      <c r="IMC77" s="548"/>
      <c r="IMD77" s="548"/>
      <c r="IME77" s="452"/>
      <c r="IMF77" s="596"/>
      <c r="IMG77" s="548"/>
      <c r="IMH77" s="548"/>
      <c r="IMI77" s="548"/>
      <c r="IMJ77" s="548"/>
      <c r="IMK77" s="548"/>
      <c r="IML77" s="452"/>
      <c r="IMM77" s="596"/>
      <c r="IMN77" s="548"/>
      <c r="IMO77" s="548"/>
      <c r="IMP77" s="548"/>
      <c r="IMQ77" s="548"/>
      <c r="IMR77" s="548"/>
      <c r="IMS77" s="452"/>
      <c r="IMT77" s="596"/>
      <c r="IMU77" s="548"/>
      <c r="IMV77" s="548"/>
      <c r="IMW77" s="548"/>
      <c r="IMX77" s="548"/>
      <c r="IMY77" s="548"/>
      <c r="IMZ77" s="452"/>
      <c r="INA77" s="596"/>
      <c r="INB77" s="548"/>
      <c r="INC77" s="548"/>
      <c r="IND77" s="548"/>
      <c r="INE77" s="548"/>
      <c r="INF77" s="548"/>
      <c r="ING77" s="452"/>
      <c r="INH77" s="596"/>
      <c r="INI77" s="548"/>
      <c r="INJ77" s="548"/>
      <c r="INK77" s="548"/>
      <c r="INL77" s="548"/>
      <c r="INM77" s="548"/>
      <c r="INN77" s="452"/>
      <c r="INO77" s="596"/>
      <c r="INP77" s="548"/>
      <c r="INQ77" s="548"/>
      <c r="INR77" s="548"/>
      <c r="INS77" s="548"/>
      <c r="INT77" s="548"/>
      <c r="INU77" s="452"/>
      <c r="INV77" s="596"/>
      <c r="INW77" s="548"/>
      <c r="INX77" s="548"/>
      <c r="INY77" s="548"/>
      <c r="INZ77" s="548"/>
      <c r="IOA77" s="548"/>
      <c r="IOB77" s="452"/>
      <c r="IOC77" s="596"/>
      <c r="IOD77" s="548"/>
      <c r="IOE77" s="548"/>
      <c r="IOF77" s="548"/>
      <c r="IOG77" s="548"/>
      <c r="IOH77" s="548"/>
      <c r="IOI77" s="452"/>
      <c r="IOJ77" s="596"/>
      <c r="IOK77" s="548"/>
      <c r="IOL77" s="548"/>
      <c r="IOM77" s="548"/>
      <c r="ION77" s="548"/>
      <c r="IOO77" s="548"/>
      <c r="IOP77" s="452"/>
      <c r="IOQ77" s="596"/>
      <c r="IOR77" s="548"/>
      <c r="IOS77" s="548"/>
      <c r="IOT77" s="548"/>
      <c r="IOU77" s="548"/>
      <c r="IOV77" s="548"/>
      <c r="IOW77" s="452"/>
      <c r="IOX77" s="596"/>
      <c r="IOY77" s="548"/>
      <c r="IOZ77" s="548"/>
      <c r="IPA77" s="548"/>
      <c r="IPB77" s="548"/>
      <c r="IPC77" s="548"/>
      <c r="IPD77" s="452"/>
      <c r="IPE77" s="596"/>
      <c r="IPF77" s="548"/>
      <c r="IPG77" s="548"/>
      <c r="IPH77" s="548"/>
      <c r="IPI77" s="548"/>
      <c r="IPJ77" s="548"/>
      <c r="IPK77" s="452"/>
      <c r="IPL77" s="596"/>
      <c r="IPM77" s="548"/>
      <c r="IPN77" s="548"/>
      <c r="IPO77" s="548"/>
      <c r="IPP77" s="548"/>
      <c r="IPQ77" s="548"/>
      <c r="IPR77" s="452"/>
      <c r="IPS77" s="596"/>
      <c r="IPT77" s="548"/>
      <c r="IPU77" s="548"/>
      <c r="IPV77" s="548"/>
      <c r="IPW77" s="548"/>
      <c r="IPX77" s="548"/>
      <c r="IPY77" s="452"/>
      <c r="IPZ77" s="596"/>
      <c r="IQA77" s="548"/>
      <c r="IQB77" s="548"/>
      <c r="IQC77" s="548"/>
      <c r="IQD77" s="548"/>
      <c r="IQE77" s="548"/>
      <c r="IQF77" s="452"/>
      <c r="IQG77" s="596"/>
      <c r="IQH77" s="548"/>
      <c r="IQI77" s="548"/>
      <c r="IQJ77" s="548"/>
      <c r="IQK77" s="548"/>
      <c r="IQL77" s="548"/>
      <c r="IQM77" s="452"/>
      <c r="IQN77" s="596"/>
      <c r="IQO77" s="548"/>
      <c r="IQP77" s="548"/>
      <c r="IQQ77" s="548"/>
      <c r="IQR77" s="548"/>
      <c r="IQS77" s="548"/>
      <c r="IQT77" s="452"/>
      <c r="IQU77" s="596"/>
      <c r="IQV77" s="548"/>
      <c r="IQW77" s="548"/>
      <c r="IQX77" s="548"/>
      <c r="IQY77" s="548"/>
      <c r="IQZ77" s="548"/>
      <c r="IRA77" s="452"/>
      <c r="IRB77" s="596"/>
      <c r="IRC77" s="548"/>
      <c r="IRD77" s="548"/>
      <c r="IRE77" s="548"/>
      <c r="IRF77" s="548"/>
      <c r="IRG77" s="548"/>
      <c r="IRH77" s="452"/>
      <c r="IRI77" s="596"/>
      <c r="IRJ77" s="548"/>
      <c r="IRK77" s="548"/>
      <c r="IRL77" s="548"/>
      <c r="IRM77" s="548"/>
      <c r="IRN77" s="548"/>
      <c r="IRO77" s="452"/>
      <c r="IRP77" s="596"/>
      <c r="IRQ77" s="548"/>
      <c r="IRR77" s="548"/>
      <c r="IRS77" s="548"/>
      <c r="IRT77" s="548"/>
      <c r="IRU77" s="548"/>
      <c r="IRV77" s="452"/>
      <c r="IRW77" s="596"/>
      <c r="IRX77" s="548"/>
      <c r="IRY77" s="548"/>
      <c r="IRZ77" s="548"/>
      <c r="ISA77" s="548"/>
      <c r="ISB77" s="548"/>
      <c r="ISC77" s="452"/>
      <c r="ISD77" s="596"/>
      <c r="ISE77" s="548"/>
      <c r="ISF77" s="548"/>
      <c r="ISG77" s="548"/>
      <c r="ISH77" s="548"/>
      <c r="ISI77" s="548"/>
      <c r="ISJ77" s="452"/>
      <c r="ISK77" s="596"/>
      <c r="ISL77" s="548"/>
      <c r="ISM77" s="548"/>
      <c r="ISN77" s="548"/>
      <c r="ISO77" s="548"/>
      <c r="ISP77" s="548"/>
      <c r="ISQ77" s="452"/>
      <c r="ISR77" s="596"/>
      <c r="ISS77" s="548"/>
      <c r="IST77" s="548"/>
      <c r="ISU77" s="548"/>
      <c r="ISV77" s="548"/>
      <c r="ISW77" s="548"/>
      <c r="ISX77" s="452"/>
      <c r="ISY77" s="596"/>
      <c r="ISZ77" s="548"/>
      <c r="ITA77" s="548"/>
      <c r="ITB77" s="548"/>
      <c r="ITC77" s="548"/>
      <c r="ITD77" s="548"/>
      <c r="ITE77" s="452"/>
      <c r="ITF77" s="596"/>
      <c r="ITG77" s="548"/>
      <c r="ITH77" s="548"/>
      <c r="ITI77" s="548"/>
      <c r="ITJ77" s="548"/>
      <c r="ITK77" s="548"/>
      <c r="ITL77" s="452"/>
      <c r="ITM77" s="596"/>
      <c r="ITN77" s="548"/>
      <c r="ITO77" s="548"/>
      <c r="ITP77" s="548"/>
      <c r="ITQ77" s="548"/>
      <c r="ITR77" s="548"/>
      <c r="ITS77" s="452"/>
      <c r="ITT77" s="596"/>
      <c r="ITU77" s="548"/>
      <c r="ITV77" s="548"/>
      <c r="ITW77" s="548"/>
      <c r="ITX77" s="548"/>
      <c r="ITY77" s="548"/>
      <c r="ITZ77" s="452"/>
      <c r="IUA77" s="596"/>
      <c r="IUB77" s="548"/>
      <c r="IUC77" s="548"/>
      <c r="IUD77" s="548"/>
      <c r="IUE77" s="548"/>
      <c r="IUF77" s="548"/>
      <c r="IUG77" s="452"/>
      <c r="IUH77" s="596"/>
      <c r="IUI77" s="548"/>
      <c r="IUJ77" s="548"/>
      <c r="IUK77" s="548"/>
      <c r="IUL77" s="548"/>
      <c r="IUM77" s="548"/>
      <c r="IUN77" s="452"/>
      <c r="IUO77" s="596"/>
      <c r="IUP77" s="548"/>
      <c r="IUQ77" s="548"/>
      <c r="IUR77" s="548"/>
      <c r="IUS77" s="548"/>
      <c r="IUT77" s="548"/>
      <c r="IUU77" s="452"/>
      <c r="IUV77" s="596"/>
      <c r="IUW77" s="548"/>
      <c r="IUX77" s="548"/>
      <c r="IUY77" s="548"/>
      <c r="IUZ77" s="548"/>
      <c r="IVA77" s="548"/>
      <c r="IVB77" s="452"/>
      <c r="IVC77" s="596"/>
      <c r="IVD77" s="548"/>
      <c r="IVE77" s="548"/>
      <c r="IVF77" s="548"/>
      <c r="IVG77" s="548"/>
      <c r="IVH77" s="548"/>
      <c r="IVI77" s="452"/>
      <c r="IVJ77" s="596"/>
      <c r="IVK77" s="548"/>
      <c r="IVL77" s="548"/>
      <c r="IVM77" s="548"/>
      <c r="IVN77" s="548"/>
      <c r="IVO77" s="548"/>
      <c r="IVP77" s="452"/>
      <c r="IVQ77" s="596"/>
      <c r="IVR77" s="548"/>
      <c r="IVS77" s="548"/>
      <c r="IVT77" s="548"/>
      <c r="IVU77" s="548"/>
      <c r="IVV77" s="548"/>
      <c r="IVW77" s="452"/>
      <c r="IVX77" s="596"/>
      <c r="IVY77" s="548"/>
      <c r="IVZ77" s="548"/>
      <c r="IWA77" s="548"/>
      <c r="IWB77" s="548"/>
      <c r="IWC77" s="548"/>
      <c r="IWD77" s="452"/>
      <c r="IWE77" s="596"/>
      <c r="IWF77" s="548"/>
      <c r="IWG77" s="548"/>
      <c r="IWH77" s="548"/>
      <c r="IWI77" s="548"/>
      <c r="IWJ77" s="548"/>
      <c r="IWK77" s="452"/>
      <c r="IWL77" s="596"/>
      <c r="IWM77" s="548"/>
      <c r="IWN77" s="548"/>
      <c r="IWO77" s="548"/>
      <c r="IWP77" s="548"/>
      <c r="IWQ77" s="548"/>
      <c r="IWR77" s="452"/>
      <c r="IWS77" s="596"/>
      <c r="IWT77" s="548"/>
      <c r="IWU77" s="548"/>
      <c r="IWV77" s="548"/>
      <c r="IWW77" s="548"/>
      <c r="IWX77" s="548"/>
      <c r="IWY77" s="452"/>
      <c r="IWZ77" s="596"/>
      <c r="IXA77" s="548"/>
      <c r="IXB77" s="548"/>
      <c r="IXC77" s="548"/>
      <c r="IXD77" s="548"/>
      <c r="IXE77" s="548"/>
      <c r="IXF77" s="452"/>
      <c r="IXG77" s="596"/>
      <c r="IXH77" s="548"/>
      <c r="IXI77" s="548"/>
      <c r="IXJ77" s="548"/>
      <c r="IXK77" s="548"/>
      <c r="IXL77" s="548"/>
      <c r="IXM77" s="452"/>
      <c r="IXN77" s="596"/>
      <c r="IXO77" s="548"/>
      <c r="IXP77" s="548"/>
      <c r="IXQ77" s="548"/>
      <c r="IXR77" s="548"/>
      <c r="IXS77" s="548"/>
      <c r="IXT77" s="452"/>
      <c r="IXU77" s="596"/>
      <c r="IXV77" s="548"/>
      <c r="IXW77" s="548"/>
      <c r="IXX77" s="548"/>
      <c r="IXY77" s="548"/>
      <c r="IXZ77" s="548"/>
      <c r="IYA77" s="452"/>
      <c r="IYB77" s="596"/>
      <c r="IYC77" s="548"/>
      <c r="IYD77" s="548"/>
      <c r="IYE77" s="548"/>
      <c r="IYF77" s="548"/>
      <c r="IYG77" s="548"/>
      <c r="IYH77" s="452"/>
      <c r="IYI77" s="596"/>
      <c r="IYJ77" s="548"/>
      <c r="IYK77" s="548"/>
      <c r="IYL77" s="548"/>
      <c r="IYM77" s="548"/>
      <c r="IYN77" s="548"/>
      <c r="IYO77" s="452"/>
      <c r="IYP77" s="596"/>
      <c r="IYQ77" s="548"/>
      <c r="IYR77" s="548"/>
      <c r="IYS77" s="548"/>
      <c r="IYT77" s="548"/>
      <c r="IYU77" s="548"/>
      <c r="IYV77" s="452"/>
      <c r="IYW77" s="596"/>
      <c r="IYX77" s="548"/>
      <c r="IYY77" s="548"/>
      <c r="IYZ77" s="548"/>
      <c r="IZA77" s="548"/>
      <c r="IZB77" s="548"/>
      <c r="IZC77" s="452"/>
      <c r="IZD77" s="596"/>
      <c r="IZE77" s="548"/>
      <c r="IZF77" s="548"/>
      <c r="IZG77" s="548"/>
      <c r="IZH77" s="548"/>
      <c r="IZI77" s="548"/>
      <c r="IZJ77" s="452"/>
      <c r="IZK77" s="596"/>
      <c r="IZL77" s="548"/>
      <c r="IZM77" s="548"/>
      <c r="IZN77" s="548"/>
      <c r="IZO77" s="548"/>
      <c r="IZP77" s="548"/>
      <c r="IZQ77" s="452"/>
      <c r="IZR77" s="596"/>
      <c r="IZS77" s="548"/>
      <c r="IZT77" s="548"/>
      <c r="IZU77" s="548"/>
      <c r="IZV77" s="548"/>
      <c r="IZW77" s="548"/>
      <c r="IZX77" s="452"/>
      <c r="IZY77" s="596"/>
      <c r="IZZ77" s="548"/>
      <c r="JAA77" s="548"/>
      <c r="JAB77" s="548"/>
      <c r="JAC77" s="548"/>
      <c r="JAD77" s="548"/>
      <c r="JAE77" s="452"/>
      <c r="JAF77" s="596"/>
      <c r="JAG77" s="548"/>
      <c r="JAH77" s="548"/>
      <c r="JAI77" s="548"/>
      <c r="JAJ77" s="548"/>
      <c r="JAK77" s="548"/>
      <c r="JAL77" s="452"/>
      <c r="JAM77" s="596"/>
      <c r="JAN77" s="548"/>
      <c r="JAO77" s="548"/>
      <c r="JAP77" s="548"/>
      <c r="JAQ77" s="548"/>
      <c r="JAR77" s="548"/>
      <c r="JAS77" s="452"/>
      <c r="JAT77" s="596"/>
      <c r="JAU77" s="548"/>
      <c r="JAV77" s="548"/>
      <c r="JAW77" s="548"/>
      <c r="JAX77" s="548"/>
      <c r="JAY77" s="548"/>
      <c r="JAZ77" s="452"/>
      <c r="JBA77" s="596"/>
      <c r="JBB77" s="548"/>
      <c r="JBC77" s="548"/>
      <c r="JBD77" s="548"/>
      <c r="JBE77" s="548"/>
      <c r="JBF77" s="548"/>
      <c r="JBG77" s="452"/>
      <c r="JBH77" s="596"/>
      <c r="JBI77" s="548"/>
      <c r="JBJ77" s="548"/>
      <c r="JBK77" s="548"/>
      <c r="JBL77" s="548"/>
      <c r="JBM77" s="548"/>
      <c r="JBN77" s="452"/>
      <c r="JBO77" s="596"/>
      <c r="JBP77" s="548"/>
      <c r="JBQ77" s="548"/>
      <c r="JBR77" s="548"/>
      <c r="JBS77" s="548"/>
      <c r="JBT77" s="548"/>
      <c r="JBU77" s="452"/>
      <c r="JBV77" s="596"/>
      <c r="JBW77" s="548"/>
      <c r="JBX77" s="548"/>
      <c r="JBY77" s="548"/>
      <c r="JBZ77" s="548"/>
      <c r="JCA77" s="548"/>
      <c r="JCB77" s="452"/>
      <c r="JCC77" s="596"/>
      <c r="JCD77" s="548"/>
      <c r="JCE77" s="548"/>
      <c r="JCF77" s="548"/>
      <c r="JCG77" s="548"/>
      <c r="JCH77" s="548"/>
      <c r="JCI77" s="452"/>
      <c r="JCJ77" s="596"/>
      <c r="JCK77" s="548"/>
      <c r="JCL77" s="548"/>
      <c r="JCM77" s="548"/>
      <c r="JCN77" s="548"/>
      <c r="JCO77" s="548"/>
      <c r="JCP77" s="452"/>
      <c r="JCQ77" s="596"/>
      <c r="JCR77" s="548"/>
      <c r="JCS77" s="548"/>
      <c r="JCT77" s="548"/>
      <c r="JCU77" s="548"/>
      <c r="JCV77" s="548"/>
      <c r="JCW77" s="452"/>
      <c r="JCX77" s="596"/>
      <c r="JCY77" s="548"/>
      <c r="JCZ77" s="548"/>
      <c r="JDA77" s="548"/>
      <c r="JDB77" s="548"/>
      <c r="JDC77" s="548"/>
      <c r="JDD77" s="452"/>
      <c r="JDE77" s="596"/>
      <c r="JDF77" s="548"/>
      <c r="JDG77" s="548"/>
      <c r="JDH77" s="548"/>
      <c r="JDI77" s="548"/>
      <c r="JDJ77" s="548"/>
      <c r="JDK77" s="452"/>
      <c r="JDL77" s="596"/>
      <c r="JDM77" s="548"/>
      <c r="JDN77" s="548"/>
      <c r="JDO77" s="548"/>
      <c r="JDP77" s="548"/>
      <c r="JDQ77" s="548"/>
      <c r="JDR77" s="452"/>
      <c r="JDS77" s="596"/>
      <c r="JDT77" s="548"/>
      <c r="JDU77" s="548"/>
      <c r="JDV77" s="548"/>
      <c r="JDW77" s="548"/>
      <c r="JDX77" s="548"/>
      <c r="JDY77" s="452"/>
      <c r="JDZ77" s="596"/>
      <c r="JEA77" s="548"/>
      <c r="JEB77" s="548"/>
      <c r="JEC77" s="548"/>
      <c r="JED77" s="548"/>
      <c r="JEE77" s="548"/>
      <c r="JEF77" s="452"/>
      <c r="JEG77" s="596"/>
      <c r="JEH77" s="548"/>
      <c r="JEI77" s="548"/>
      <c r="JEJ77" s="548"/>
      <c r="JEK77" s="548"/>
      <c r="JEL77" s="548"/>
      <c r="JEM77" s="452"/>
      <c r="JEN77" s="596"/>
      <c r="JEO77" s="548"/>
      <c r="JEP77" s="548"/>
      <c r="JEQ77" s="548"/>
      <c r="JER77" s="548"/>
      <c r="JES77" s="548"/>
      <c r="JET77" s="452"/>
      <c r="JEU77" s="596"/>
      <c r="JEV77" s="548"/>
      <c r="JEW77" s="548"/>
      <c r="JEX77" s="548"/>
      <c r="JEY77" s="548"/>
      <c r="JEZ77" s="548"/>
      <c r="JFA77" s="452"/>
      <c r="JFB77" s="596"/>
      <c r="JFC77" s="548"/>
      <c r="JFD77" s="548"/>
      <c r="JFE77" s="548"/>
      <c r="JFF77" s="548"/>
      <c r="JFG77" s="548"/>
      <c r="JFH77" s="452"/>
      <c r="JFI77" s="596"/>
      <c r="JFJ77" s="548"/>
      <c r="JFK77" s="548"/>
      <c r="JFL77" s="548"/>
      <c r="JFM77" s="548"/>
      <c r="JFN77" s="548"/>
      <c r="JFO77" s="452"/>
      <c r="JFP77" s="596"/>
      <c r="JFQ77" s="548"/>
      <c r="JFR77" s="548"/>
      <c r="JFS77" s="548"/>
      <c r="JFT77" s="548"/>
      <c r="JFU77" s="548"/>
      <c r="JFV77" s="452"/>
      <c r="JFW77" s="596"/>
      <c r="JFX77" s="548"/>
      <c r="JFY77" s="548"/>
      <c r="JFZ77" s="548"/>
      <c r="JGA77" s="548"/>
      <c r="JGB77" s="548"/>
      <c r="JGC77" s="452"/>
      <c r="JGD77" s="596"/>
      <c r="JGE77" s="548"/>
      <c r="JGF77" s="548"/>
      <c r="JGG77" s="548"/>
      <c r="JGH77" s="548"/>
      <c r="JGI77" s="548"/>
      <c r="JGJ77" s="452"/>
      <c r="JGK77" s="596"/>
      <c r="JGL77" s="548"/>
      <c r="JGM77" s="548"/>
      <c r="JGN77" s="548"/>
      <c r="JGO77" s="548"/>
      <c r="JGP77" s="548"/>
      <c r="JGQ77" s="452"/>
      <c r="JGR77" s="596"/>
      <c r="JGS77" s="548"/>
      <c r="JGT77" s="548"/>
      <c r="JGU77" s="548"/>
      <c r="JGV77" s="548"/>
      <c r="JGW77" s="548"/>
      <c r="JGX77" s="452"/>
      <c r="JGY77" s="596"/>
      <c r="JGZ77" s="548"/>
      <c r="JHA77" s="548"/>
      <c r="JHB77" s="548"/>
      <c r="JHC77" s="548"/>
      <c r="JHD77" s="548"/>
      <c r="JHE77" s="452"/>
      <c r="JHF77" s="596"/>
      <c r="JHG77" s="548"/>
      <c r="JHH77" s="548"/>
      <c r="JHI77" s="548"/>
      <c r="JHJ77" s="548"/>
      <c r="JHK77" s="548"/>
      <c r="JHL77" s="452"/>
      <c r="JHM77" s="596"/>
      <c r="JHN77" s="548"/>
      <c r="JHO77" s="548"/>
      <c r="JHP77" s="548"/>
      <c r="JHQ77" s="548"/>
      <c r="JHR77" s="548"/>
      <c r="JHS77" s="452"/>
      <c r="JHT77" s="596"/>
      <c r="JHU77" s="548"/>
      <c r="JHV77" s="548"/>
      <c r="JHW77" s="548"/>
      <c r="JHX77" s="548"/>
      <c r="JHY77" s="548"/>
      <c r="JHZ77" s="452"/>
      <c r="JIA77" s="596"/>
      <c r="JIB77" s="548"/>
      <c r="JIC77" s="548"/>
      <c r="JID77" s="548"/>
      <c r="JIE77" s="548"/>
      <c r="JIF77" s="548"/>
      <c r="JIG77" s="452"/>
      <c r="JIH77" s="596"/>
      <c r="JII77" s="548"/>
      <c r="JIJ77" s="548"/>
      <c r="JIK77" s="548"/>
      <c r="JIL77" s="548"/>
      <c r="JIM77" s="548"/>
      <c r="JIN77" s="452"/>
      <c r="JIO77" s="596"/>
      <c r="JIP77" s="548"/>
      <c r="JIQ77" s="548"/>
      <c r="JIR77" s="548"/>
      <c r="JIS77" s="548"/>
      <c r="JIT77" s="548"/>
      <c r="JIU77" s="452"/>
      <c r="JIV77" s="596"/>
      <c r="JIW77" s="548"/>
      <c r="JIX77" s="548"/>
      <c r="JIY77" s="548"/>
      <c r="JIZ77" s="548"/>
      <c r="JJA77" s="548"/>
      <c r="JJB77" s="452"/>
      <c r="JJC77" s="596"/>
      <c r="JJD77" s="548"/>
      <c r="JJE77" s="548"/>
      <c r="JJF77" s="548"/>
      <c r="JJG77" s="548"/>
      <c r="JJH77" s="548"/>
      <c r="JJI77" s="452"/>
      <c r="JJJ77" s="596"/>
      <c r="JJK77" s="548"/>
      <c r="JJL77" s="548"/>
      <c r="JJM77" s="548"/>
      <c r="JJN77" s="548"/>
      <c r="JJO77" s="548"/>
      <c r="JJP77" s="452"/>
      <c r="JJQ77" s="596"/>
      <c r="JJR77" s="548"/>
      <c r="JJS77" s="548"/>
      <c r="JJT77" s="548"/>
      <c r="JJU77" s="548"/>
      <c r="JJV77" s="548"/>
      <c r="JJW77" s="452"/>
      <c r="JJX77" s="596"/>
      <c r="JJY77" s="548"/>
      <c r="JJZ77" s="548"/>
      <c r="JKA77" s="548"/>
      <c r="JKB77" s="548"/>
      <c r="JKC77" s="548"/>
      <c r="JKD77" s="452"/>
      <c r="JKE77" s="596"/>
      <c r="JKF77" s="548"/>
      <c r="JKG77" s="548"/>
      <c r="JKH77" s="548"/>
      <c r="JKI77" s="548"/>
      <c r="JKJ77" s="548"/>
      <c r="JKK77" s="452"/>
      <c r="JKL77" s="596"/>
      <c r="JKM77" s="548"/>
      <c r="JKN77" s="548"/>
      <c r="JKO77" s="548"/>
      <c r="JKP77" s="548"/>
      <c r="JKQ77" s="548"/>
      <c r="JKR77" s="452"/>
      <c r="JKS77" s="596"/>
      <c r="JKT77" s="548"/>
      <c r="JKU77" s="548"/>
      <c r="JKV77" s="548"/>
      <c r="JKW77" s="548"/>
      <c r="JKX77" s="548"/>
      <c r="JKY77" s="452"/>
      <c r="JKZ77" s="596"/>
      <c r="JLA77" s="548"/>
      <c r="JLB77" s="548"/>
      <c r="JLC77" s="548"/>
      <c r="JLD77" s="548"/>
      <c r="JLE77" s="548"/>
      <c r="JLF77" s="452"/>
      <c r="JLG77" s="596"/>
      <c r="JLH77" s="548"/>
      <c r="JLI77" s="548"/>
      <c r="JLJ77" s="548"/>
      <c r="JLK77" s="548"/>
      <c r="JLL77" s="548"/>
      <c r="JLM77" s="452"/>
      <c r="JLN77" s="596"/>
      <c r="JLO77" s="548"/>
      <c r="JLP77" s="548"/>
      <c r="JLQ77" s="548"/>
      <c r="JLR77" s="548"/>
      <c r="JLS77" s="548"/>
      <c r="JLT77" s="452"/>
      <c r="JLU77" s="596"/>
      <c r="JLV77" s="548"/>
      <c r="JLW77" s="548"/>
      <c r="JLX77" s="548"/>
      <c r="JLY77" s="548"/>
      <c r="JLZ77" s="548"/>
      <c r="JMA77" s="452"/>
      <c r="JMB77" s="596"/>
      <c r="JMC77" s="548"/>
      <c r="JMD77" s="548"/>
      <c r="JME77" s="548"/>
      <c r="JMF77" s="548"/>
      <c r="JMG77" s="548"/>
      <c r="JMH77" s="452"/>
      <c r="JMI77" s="596"/>
      <c r="JMJ77" s="548"/>
      <c r="JMK77" s="548"/>
      <c r="JML77" s="548"/>
      <c r="JMM77" s="548"/>
      <c r="JMN77" s="548"/>
      <c r="JMO77" s="452"/>
      <c r="JMP77" s="596"/>
      <c r="JMQ77" s="548"/>
      <c r="JMR77" s="548"/>
      <c r="JMS77" s="548"/>
      <c r="JMT77" s="548"/>
      <c r="JMU77" s="548"/>
      <c r="JMV77" s="452"/>
      <c r="JMW77" s="596"/>
      <c r="JMX77" s="548"/>
      <c r="JMY77" s="548"/>
      <c r="JMZ77" s="548"/>
      <c r="JNA77" s="548"/>
      <c r="JNB77" s="548"/>
      <c r="JNC77" s="452"/>
      <c r="JND77" s="596"/>
      <c r="JNE77" s="548"/>
      <c r="JNF77" s="548"/>
      <c r="JNG77" s="548"/>
      <c r="JNH77" s="548"/>
      <c r="JNI77" s="548"/>
      <c r="JNJ77" s="452"/>
      <c r="JNK77" s="596"/>
      <c r="JNL77" s="548"/>
      <c r="JNM77" s="548"/>
      <c r="JNN77" s="548"/>
      <c r="JNO77" s="548"/>
      <c r="JNP77" s="548"/>
      <c r="JNQ77" s="452"/>
      <c r="JNR77" s="596"/>
      <c r="JNS77" s="548"/>
      <c r="JNT77" s="548"/>
      <c r="JNU77" s="548"/>
      <c r="JNV77" s="548"/>
      <c r="JNW77" s="548"/>
      <c r="JNX77" s="452"/>
      <c r="JNY77" s="596"/>
      <c r="JNZ77" s="548"/>
      <c r="JOA77" s="548"/>
      <c r="JOB77" s="548"/>
      <c r="JOC77" s="548"/>
      <c r="JOD77" s="548"/>
      <c r="JOE77" s="452"/>
      <c r="JOF77" s="596"/>
      <c r="JOG77" s="548"/>
      <c r="JOH77" s="548"/>
      <c r="JOI77" s="548"/>
      <c r="JOJ77" s="548"/>
      <c r="JOK77" s="548"/>
      <c r="JOL77" s="452"/>
      <c r="JOM77" s="596"/>
      <c r="JON77" s="548"/>
      <c r="JOO77" s="548"/>
      <c r="JOP77" s="548"/>
      <c r="JOQ77" s="548"/>
      <c r="JOR77" s="548"/>
      <c r="JOS77" s="452"/>
      <c r="JOT77" s="596"/>
      <c r="JOU77" s="548"/>
      <c r="JOV77" s="548"/>
      <c r="JOW77" s="548"/>
      <c r="JOX77" s="548"/>
      <c r="JOY77" s="548"/>
      <c r="JOZ77" s="452"/>
      <c r="JPA77" s="596"/>
      <c r="JPB77" s="548"/>
      <c r="JPC77" s="548"/>
      <c r="JPD77" s="548"/>
      <c r="JPE77" s="548"/>
      <c r="JPF77" s="548"/>
      <c r="JPG77" s="452"/>
      <c r="JPH77" s="596"/>
      <c r="JPI77" s="548"/>
      <c r="JPJ77" s="548"/>
      <c r="JPK77" s="548"/>
      <c r="JPL77" s="548"/>
      <c r="JPM77" s="548"/>
      <c r="JPN77" s="452"/>
      <c r="JPO77" s="596"/>
      <c r="JPP77" s="548"/>
      <c r="JPQ77" s="548"/>
      <c r="JPR77" s="548"/>
      <c r="JPS77" s="548"/>
      <c r="JPT77" s="548"/>
      <c r="JPU77" s="452"/>
      <c r="JPV77" s="596"/>
      <c r="JPW77" s="548"/>
      <c r="JPX77" s="548"/>
      <c r="JPY77" s="548"/>
      <c r="JPZ77" s="548"/>
      <c r="JQA77" s="548"/>
      <c r="JQB77" s="452"/>
      <c r="JQC77" s="596"/>
      <c r="JQD77" s="548"/>
      <c r="JQE77" s="548"/>
      <c r="JQF77" s="548"/>
      <c r="JQG77" s="548"/>
      <c r="JQH77" s="548"/>
      <c r="JQI77" s="452"/>
      <c r="JQJ77" s="596"/>
      <c r="JQK77" s="548"/>
      <c r="JQL77" s="548"/>
      <c r="JQM77" s="548"/>
      <c r="JQN77" s="548"/>
      <c r="JQO77" s="548"/>
      <c r="JQP77" s="452"/>
      <c r="JQQ77" s="596"/>
      <c r="JQR77" s="548"/>
      <c r="JQS77" s="548"/>
      <c r="JQT77" s="548"/>
      <c r="JQU77" s="548"/>
      <c r="JQV77" s="548"/>
      <c r="JQW77" s="452"/>
      <c r="JQX77" s="596"/>
      <c r="JQY77" s="548"/>
      <c r="JQZ77" s="548"/>
      <c r="JRA77" s="548"/>
      <c r="JRB77" s="548"/>
      <c r="JRC77" s="548"/>
      <c r="JRD77" s="452"/>
      <c r="JRE77" s="596"/>
      <c r="JRF77" s="548"/>
      <c r="JRG77" s="548"/>
      <c r="JRH77" s="548"/>
      <c r="JRI77" s="548"/>
      <c r="JRJ77" s="548"/>
      <c r="JRK77" s="452"/>
      <c r="JRL77" s="596"/>
      <c r="JRM77" s="548"/>
      <c r="JRN77" s="548"/>
      <c r="JRO77" s="548"/>
      <c r="JRP77" s="548"/>
      <c r="JRQ77" s="548"/>
      <c r="JRR77" s="452"/>
      <c r="JRS77" s="596"/>
      <c r="JRT77" s="548"/>
      <c r="JRU77" s="548"/>
      <c r="JRV77" s="548"/>
      <c r="JRW77" s="548"/>
      <c r="JRX77" s="548"/>
      <c r="JRY77" s="452"/>
      <c r="JRZ77" s="596"/>
      <c r="JSA77" s="548"/>
      <c r="JSB77" s="548"/>
      <c r="JSC77" s="548"/>
      <c r="JSD77" s="548"/>
      <c r="JSE77" s="548"/>
      <c r="JSF77" s="452"/>
      <c r="JSG77" s="596"/>
      <c r="JSH77" s="548"/>
      <c r="JSI77" s="548"/>
      <c r="JSJ77" s="548"/>
      <c r="JSK77" s="548"/>
      <c r="JSL77" s="548"/>
      <c r="JSM77" s="452"/>
      <c r="JSN77" s="596"/>
      <c r="JSO77" s="548"/>
      <c r="JSP77" s="548"/>
      <c r="JSQ77" s="548"/>
      <c r="JSR77" s="548"/>
      <c r="JSS77" s="548"/>
      <c r="JST77" s="452"/>
      <c r="JSU77" s="596"/>
      <c r="JSV77" s="548"/>
      <c r="JSW77" s="548"/>
      <c r="JSX77" s="548"/>
      <c r="JSY77" s="548"/>
      <c r="JSZ77" s="548"/>
      <c r="JTA77" s="452"/>
      <c r="JTB77" s="596"/>
      <c r="JTC77" s="548"/>
      <c r="JTD77" s="548"/>
      <c r="JTE77" s="548"/>
      <c r="JTF77" s="548"/>
      <c r="JTG77" s="548"/>
      <c r="JTH77" s="452"/>
      <c r="JTI77" s="596"/>
      <c r="JTJ77" s="548"/>
      <c r="JTK77" s="548"/>
      <c r="JTL77" s="548"/>
      <c r="JTM77" s="548"/>
      <c r="JTN77" s="548"/>
      <c r="JTO77" s="452"/>
      <c r="JTP77" s="596"/>
      <c r="JTQ77" s="548"/>
      <c r="JTR77" s="548"/>
      <c r="JTS77" s="548"/>
      <c r="JTT77" s="548"/>
      <c r="JTU77" s="548"/>
      <c r="JTV77" s="452"/>
      <c r="JTW77" s="596"/>
      <c r="JTX77" s="548"/>
      <c r="JTY77" s="548"/>
      <c r="JTZ77" s="548"/>
      <c r="JUA77" s="548"/>
      <c r="JUB77" s="548"/>
      <c r="JUC77" s="452"/>
      <c r="JUD77" s="596"/>
      <c r="JUE77" s="548"/>
      <c r="JUF77" s="548"/>
      <c r="JUG77" s="548"/>
      <c r="JUH77" s="548"/>
      <c r="JUI77" s="548"/>
      <c r="JUJ77" s="452"/>
      <c r="JUK77" s="596"/>
      <c r="JUL77" s="548"/>
      <c r="JUM77" s="548"/>
      <c r="JUN77" s="548"/>
      <c r="JUO77" s="548"/>
      <c r="JUP77" s="548"/>
      <c r="JUQ77" s="452"/>
      <c r="JUR77" s="596"/>
      <c r="JUS77" s="548"/>
      <c r="JUT77" s="548"/>
      <c r="JUU77" s="548"/>
      <c r="JUV77" s="548"/>
      <c r="JUW77" s="548"/>
      <c r="JUX77" s="452"/>
      <c r="JUY77" s="596"/>
      <c r="JUZ77" s="548"/>
      <c r="JVA77" s="548"/>
      <c r="JVB77" s="548"/>
      <c r="JVC77" s="548"/>
      <c r="JVD77" s="548"/>
      <c r="JVE77" s="452"/>
      <c r="JVF77" s="596"/>
      <c r="JVG77" s="548"/>
      <c r="JVH77" s="548"/>
      <c r="JVI77" s="548"/>
      <c r="JVJ77" s="548"/>
      <c r="JVK77" s="548"/>
      <c r="JVL77" s="452"/>
      <c r="JVM77" s="596"/>
      <c r="JVN77" s="548"/>
      <c r="JVO77" s="548"/>
      <c r="JVP77" s="548"/>
      <c r="JVQ77" s="548"/>
      <c r="JVR77" s="548"/>
      <c r="JVS77" s="452"/>
      <c r="JVT77" s="596"/>
      <c r="JVU77" s="548"/>
      <c r="JVV77" s="548"/>
      <c r="JVW77" s="548"/>
      <c r="JVX77" s="548"/>
      <c r="JVY77" s="548"/>
      <c r="JVZ77" s="452"/>
      <c r="JWA77" s="596"/>
      <c r="JWB77" s="548"/>
      <c r="JWC77" s="548"/>
      <c r="JWD77" s="548"/>
      <c r="JWE77" s="548"/>
      <c r="JWF77" s="548"/>
      <c r="JWG77" s="452"/>
      <c r="JWH77" s="596"/>
      <c r="JWI77" s="548"/>
      <c r="JWJ77" s="548"/>
      <c r="JWK77" s="548"/>
      <c r="JWL77" s="548"/>
      <c r="JWM77" s="548"/>
      <c r="JWN77" s="452"/>
      <c r="JWO77" s="596"/>
      <c r="JWP77" s="548"/>
      <c r="JWQ77" s="548"/>
      <c r="JWR77" s="548"/>
      <c r="JWS77" s="548"/>
      <c r="JWT77" s="548"/>
      <c r="JWU77" s="452"/>
      <c r="JWV77" s="596"/>
      <c r="JWW77" s="548"/>
      <c r="JWX77" s="548"/>
      <c r="JWY77" s="548"/>
      <c r="JWZ77" s="548"/>
      <c r="JXA77" s="548"/>
      <c r="JXB77" s="452"/>
      <c r="JXC77" s="596"/>
      <c r="JXD77" s="548"/>
      <c r="JXE77" s="548"/>
      <c r="JXF77" s="548"/>
      <c r="JXG77" s="548"/>
      <c r="JXH77" s="548"/>
      <c r="JXI77" s="452"/>
      <c r="JXJ77" s="596"/>
      <c r="JXK77" s="548"/>
      <c r="JXL77" s="548"/>
      <c r="JXM77" s="548"/>
      <c r="JXN77" s="548"/>
      <c r="JXO77" s="548"/>
      <c r="JXP77" s="452"/>
      <c r="JXQ77" s="596"/>
      <c r="JXR77" s="548"/>
      <c r="JXS77" s="548"/>
      <c r="JXT77" s="548"/>
      <c r="JXU77" s="548"/>
      <c r="JXV77" s="548"/>
      <c r="JXW77" s="452"/>
      <c r="JXX77" s="596"/>
      <c r="JXY77" s="548"/>
      <c r="JXZ77" s="548"/>
      <c r="JYA77" s="548"/>
      <c r="JYB77" s="548"/>
      <c r="JYC77" s="548"/>
      <c r="JYD77" s="452"/>
      <c r="JYE77" s="596"/>
      <c r="JYF77" s="548"/>
      <c r="JYG77" s="548"/>
      <c r="JYH77" s="548"/>
      <c r="JYI77" s="548"/>
      <c r="JYJ77" s="548"/>
      <c r="JYK77" s="452"/>
      <c r="JYL77" s="596"/>
      <c r="JYM77" s="548"/>
      <c r="JYN77" s="548"/>
      <c r="JYO77" s="548"/>
      <c r="JYP77" s="548"/>
      <c r="JYQ77" s="548"/>
      <c r="JYR77" s="452"/>
      <c r="JYS77" s="596"/>
      <c r="JYT77" s="548"/>
      <c r="JYU77" s="548"/>
      <c r="JYV77" s="548"/>
      <c r="JYW77" s="548"/>
      <c r="JYX77" s="548"/>
      <c r="JYY77" s="452"/>
      <c r="JYZ77" s="596"/>
      <c r="JZA77" s="548"/>
      <c r="JZB77" s="548"/>
      <c r="JZC77" s="548"/>
      <c r="JZD77" s="548"/>
      <c r="JZE77" s="548"/>
      <c r="JZF77" s="452"/>
      <c r="JZG77" s="596"/>
      <c r="JZH77" s="548"/>
      <c r="JZI77" s="548"/>
      <c r="JZJ77" s="548"/>
      <c r="JZK77" s="548"/>
      <c r="JZL77" s="548"/>
      <c r="JZM77" s="452"/>
      <c r="JZN77" s="596"/>
      <c r="JZO77" s="548"/>
      <c r="JZP77" s="548"/>
      <c r="JZQ77" s="548"/>
      <c r="JZR77" s="548"/>
      <c r="JZS77" s="548"/>
      <c r="JZT77" s="452"/>
      <c r="JZU77" s="596"/>
      <c r="JZV77" s="548"/>
      <c r="JZW77" s="548"/>
      <c r="JZX77" s="548"/>
      <c r="JZY77" s="548"/>
      <c r="JZZ77" s="548"/>
      <c r="KAA77" s="452"/>
      <c r="KAB77" s="596"/>
      <c r="KAC77" s="548"/>
      <c r="KAD77" s="548"/>
      <c r="KAE77" s="548"/>
      <c r="KAF77" s="548"/>
      <c r="KAG77" s="548"/>
      <c r="KAH77" s="452"/>
      <c r="KAI77" s="596"/>
      <c r="KAJ77" s="548"/>
      <c r="KAK77" s="548"/>
      <c r="KAL77" s="548"/>
      <c r="KAM77" s="548"/>
      <c r="KAN77" s="548"/>
      <c r="KAO77" s="452"/>
      <c r="KAP77" s="596"/>
      <c r="KAQ77" s="548"/>
      <c r="KAR77" s="548"/>
      <c r="KAS77" s="548"/>
      <c r="KAT77" s="548"/>
      <c r="KAU77" s="548"/>
      <c r="KAV77" s="452"/>
      <c r="KAW77" s="596"/>
      <c r="KAX77" s="548"/>
      <c r="KAY77" s="548"/>
      <c r="KAZ77" s="548"/>
      <c r="KBA77" s="548"/>
      <c r="KBB77" s="548"/>
      <c r="KBC77" s="452"/>
      <c r="KBD77" s="596"/>
      <c r="KBE77" s="548"/>
      <c r="KBF77" s="548"/>
      <c r="KBG77" s="548"/>
      <c r="KBH77" s="548"/>
      <c r="KBI77" s="548"/>
      <c r="KBJ77" s="452"/>
      <c r="KBK77" s="596"/>
      <c r="KBL77" s="548"/>
      <c r="KBM77" s="548"/>
      <c r="KBN77" s="548"/>
      <c r="KBO77" s="548"/>
      <c r="KBP77" s="548"/>
      <c r="KBQ77" s="452"/>
      <c r="KBR77" s="596"/>
      <c r="KBS77" s="548"/>
      <c r="KBT77" s="548"/>
      <c r="KBU77" s="548"/>
      <c r="KBV77" s="548"/>
      <c r="KBW77" s="548"/>
      <c r="KBX77" s="452"/>
      <c r="KBY77" s="596"/>
      <c r="KBZ77" s="548"/>
      <c r="KCA77" s="548"/>
      <c r="KCB77" s="548"/>
      <c r="KCC77" s="548"/>
      <c r="KCD77" s="548"/>
      <c r="KCE77" s="452"/>
      <c r="KCF77" s="596"/>
      <c r="KCG77" s="548"/>
      <c r="KCH77" s="548"/>
      <c r="KCI77" s="548"/>
      <c r="KCJ77" s="548"/>
      <c r="KCK77" s="548"/>
      <c r="KCL77" s="452"/>
      <c r="KCM77" s="596"/>
      <c r="KCN77" s="548"/>
      <c r="KCO77" s="548"/>
      <c r="KCP77" s="548"/>
      <c r="KCQ77" s="548"/>
      <c r="KCR77" s="548"/>
      <c r="KCS77" s="452"/>
      <c r="KCT77" s="596"/>
      <c r="KCU77" s="548"/>
      <c r="KCV77" s="548"/>
      <c r="KCW77" s="548"/>
      <c r="KCX77" s="548"/>
      <c r="KCY77" s="548"/>
      <c r="KCZ77" s="452"/>
      <c r="KDA77" s="596"/>
      <c r="KDB77" s="548"/>
      <c r="KDC77" s="548"/>
      <c r="KDD77" s="548"/>
      <c r="KDE77" s="548"/>
      <c r="KDF77" s="548"/>
      <c r="KDG77" s="452"/>
      <c r="KDH77" s="596"/>
      <c r="KDI77" s="548"/>
      <c r="KDJ77" s="548"/>
      <c r="KDK77" s="548"/>
      <c r="KDL77" s="548"/>
      <c r="KDM77" s="548"/>
      <c r="KDN77" s="452"/>
      <c r="KDO77" s="596"/>
      <c r="KDP77" s="548"/>
      <c r="KDQ77" s="548"/>
      <c r="KDR77" s="548"/>
      <c r="KDS77" s="548"/>
      <c r="KDT77" s="548"/>
      <c r="KDU77" s="452"/>
      <c r="KDV77" s="596"/>
      <c r="KDW77" s="548"/>
      <c r="KDX77" s="548"/>
      <c r="KDY77" s="548"/>
      <c r="KDZ77" s="548"/>
      <c r="KEA77" s="548"/>
      <c r="KEB77" s="452"/>
      <c r="KEC77" s="596"/>
      <c r="KED77" s="548"/>
      <c r="KEE77" s="548"/>
      <c r="KEF77" s="548"/>
      <c r="KEG77" s="548"/>
      <c r="KEH77" s="548"/>
      <c r="KEI77" s="452"/>
      <c r="KEJ77" s="596"/>
      <c r="KEK77" s="548"/>
      <c r="KEL77" s="548"/>
      <c r="KEM77" s="548"/>
      <c r="KEN77" s="548"/>
      <c r="KEO77" s="548"/>
      <c r="KEP77" s="452"/>
      <c r="KEQ77" s="596"/>
      <c r="KER77" s="548"/>
      <c r="KES77" s="548"/>
      <c r="KET77" s="548"/>
      <c r="KEU77" s="548"/>
      <c r="KEV77" s="548"/>
      <c r="KEW77" s="452"/>
      <c r="KEX77" s="596"/>
      <c r="KEY77" s="548"/>
      <c r="KEZ77" s="548"/>
      <c r="KFA77" s="548"/>
      <c r="KFB77" s="548"/>
      <c r="KFC77" s="548"/>
      <c r="KFD77" s="452"/>
      <c r="KFE77" s="596"/>
      <c r="KFF77" s="548"/>
      <c r="KFG77" s="548"/>
      <c r="KFH77" s="548"/>
      <c r="KFI77" s="548"/>
      <c r="KFJ77" s="548"/>
      <c r="KFK77" s="452"/>
      <c r="KFL77" s="596"/>
      <c r="KFM77" s="548"/>
      <c r="KFN77" s="548"/>
      <c r="KFO77" s="548"/>
      <c r="KFP77" s="548"/>
      <c r="KFQ77" s="548"/>
      <c r="KFR77" s="452"/>
      <c r="KFS77" s="596"/>
      <c r="KFT77" s="548"/>
      <c r="KFU77" s="548"/>
      <c r="KFV77" s="548"/>
      <c r="KFW77" s="548"/>
      <c r="KFX77" s="548"/>
      <c r="KFY77" s="452"/>
      <c r="KFZ77" s="596"/>
      <c r="KGA77" s="548"/>
      <c r="KGB77" s="548"/>
      <c r="KGC77" s="548"/>
      <c r="KGD77" s="548"/>
      <c r="KGE77" s="548"/>
      <c r="KGF77" s="452"/>
      <c r="KGG77" s="596"/>
      <c r="KGH77" s="548"/>
      <c r="KGI77" s="548"/>
      <c r="KGJ77" s="548"/>
      <c r="KGK77" s="548"/>
      <c r="KGL77" s="548"/>
      <c r="KGM77" s="452"/>
      <c r="KGN77" s="596"/>
      <c r="KGO77" s="548"/>
      <c r="KGP77" s="548"/>
      <c r="KGQ77" s="548"/>
      <c r="KGR77" s="548"/>
      <c r="KGS77" s="548"/>
      <c r="KGT77" s="452"/>
      <c r="KGU77" s="596"/>
      <c r="KGV77" s="548"/>
      <c r="KGW77" s="548"/>
      <c r="KGX77" s="548"/>
      <c r="KGY77" s="548"/>
      <c r="KGZ77" s="548"/>
      <c r="KHA77" s="452"/>
      <c r="KHB77" s="596"/>
      <c r="KHC77" s="548"/>
      <c r="KHD77" s="548"/>
      <c r="KHE77" s="548"/>
      <c r="KHF77" s="548"/>
      <c r="KHG77" s="548"/>
      <c r="KHH77" s="452"/>
      <c r="KHI77" s="596"/>
      <c r="KHJ77" s="548"/>
      <c r="KHK77" s="548"/>
      <c r="KHL77" s="548"/>
      <c r="KHM77" s="548"/>
      <c r="KHN77" s="548"/>
      <c r="KHO77" s="452"/>
      <c r="KHP77" s="596"/>
      <c r="KHQ77" s="548"/>
      <c r="KHR77" s="548"/>
      <c r="KHS77" s="548"/>
      <c r="KHT77" s="548"/>
      <c r="KHU77" s="548"/>
      <c r="KHV77" s="452"/>
      <c r="KHW77" s="596"/>
      <c r="KHX77" s="548"/>
      <c r="KHY77" s="548"/>
      <c r="KHZ77" s="548"/>
      <c r="KIA77" s="548"/>
      <c r="KIB77" s="548"/>
      <c r="KIC77" s="452"/>
      <c r="KID77" s="596"/>
      <c r="KIE77" s="548"/>
      <c r="KIF77" s="548"/>
      <c r="KIG77" s="548"/>
      <c r="KIH77" s="548"/>
      <c r="KII77" s="548"/>
      <c r="KIJ77" s="452"/>
      <c r="KIK77" s="596"/>
      <c r="KIL77" s="548"/>
      <c r="KIM77" s="548"/>
      <c r="KIN77" s="548"/>
      <c r="KIO77" s="548"/>
      <c r="KIP77" s="548"/>
      <c r="KIQ77" s="452"/>
      <c r="KIR77" s="596"/>
      <c r="KIS77" s="548"/>
      <c r="KIT77" s="548"/>
      <c r="KIU77" s="548"/>
      <c r="KIV77" s="548"/>
      <c r="KIW77" s="548"/>
      <c r="KIX77" s="452"/>
      <c r="KIY77" s="596"/>
      <c r="KIZ77" s="548"/>
      <c r="KJA77" s="548"/>
      <c r="KJB77" s="548"/>
      <c r="KJC77" s="548"/>
      <c r="KJD77" s="548"/>
      <c r="KJE77" s="452"/>
      <c r="KJF77" s="596"/>
      <c r="KJG77" s="548"/>
      <c r="KJH77" s="548"/>
      <c r="KJI77" s="548"/>
      <c r="KJJ77" s="548"/>
      <c r="KJK77" s="548"/>
      <c r="KJL77" s="452"/>
      <c r="KJM77" s="596"/>
      <c r="KJN77" s="548"/>
      <c r="KJO77" s="548"/>
      <c r="KJP77" s="548"/>
      <c r="KJQ77" s="548"/>
      <c r="KJR77" s="548"/>
      <c r="KJS77" s="452"/>
      <c r="KJT77" s="596"/>
      <c r="KJU77" s="548"/>
      <c r="KJV77" s="548"/>
      <c r="KJW77" s="548"/>
      <c r="KJX77" s="548"/>
      <c r="KJY77" s="548"/>
      <c r="KJZ77" s="452"/>
      <c r="KKA77" s="596"/>
      <c r="KKB77" s="548"/>
      <c r="KKC77" s="548"/>
      <c r="KKD77" s="548"/>
      <c r="KKE77" s="548"/>
      <c r="KKF77" s="548"/>
      <c r="KKG77" s="452"/>
      <c r="KKH77" s="596"/>
      <c r="KKI77" s="548"/>
      <c r="KKJ77" s="548"/>
      <c r="KKK77" s="548"/>
      <c r="KKL77" s="548"/>
      <c r="KKM77" s="548"/>
      <c r="KKN77" s="452"/>
      <c r="KKO77" s="596"/>
      <c r="KKP77" s="548"/>
      <c r="KKQ77" s="548"/>
      <c r="KKR77" s="548"/>
      <c r="KKS77" s="548"/>
      <c r="KKT77" s="548"/>
      <c r="KKU77" s="452"/>
      <c r="KKV77" s="596"/>
      <c r="KKW77" s="548"/>
      <c r="KKX77" s="548"/>
      <c r="KKY77" s="548"/>
      <c r="KKZ77" s="548"/>
      <c r="KLA77" s="548"/>
      <c r="KLB77" s="452"/>
      <c r="KLC77" s="596"/>
      <c r="KLD77" s="548"/>
      <c r="KLE77" s="548"/>
      <c r="KLF77" s="548"/>
      <c r="KLG77" s="548"/>
      <c r="KLH77" s="548"/>
      <c r="KLI77" s="452"/>
      <c r="KLJ77" s="596"/>
      <c r="KLK77" s="548"/>
      <c r="KLL77" s="548"/>
      <c r="KLM77" s="548"/>
      <c r="KLN77" s="548"/>
      <c r="KLO77" s="548"/>
      <c r="KLP77" s="452"/>
      <c r="KLQ77" s="596"/>
      <c r="KLR77" s="548"/>
      <c r="KLS77" s="548"/>
      <c r="KLT77" s="548"/>
      <c r="KLU77" s="548"/>
      <c r="KLV77" s="548"/>
      <c r="KLW77" s="452"/>
      <c r="KLX77" s="596"/>
      <c r="KLY77" s="548"/>
      <c r="KLZ77" s="548"/>
      <c r="KMA77" s="548"/>
      <c r="KMB77" s="548"/>
      <c r="KMC77" s="548"/>
      <c r="KMD77" s="452"/>
      <c r="KME77" s="596"/>
      <c r="KMF77" s="548"/>
      <c r="KMG77" s="548"/>
      <c r="KMH77" s="548"/>
      <c r="KMI77" s="548"/>
      <c r="KMJ77" s="548"/>
      <c r="KMK77" s="452"/>
      <c r="KML77" s="596"/>
      <c r="KMM77" s="548"/>
      <c r="KMN77" s="548"/>
      <c r="KMO77" s="548"/>
      <c r="KMP77" s="548"/>
      <c r="KMQ77" s="548"/>
      <c r="KMR77" s="452"/>
      <c r="KMS77" s="596"/>
      <c r="KMT77" s="548"/>
      <c r="KMU77" s="548"/>
      <c r="KMV77" s="548"/>
      <c r="KMW77" s="548"/>
      <c r="KMX77" s="548"/>
      <c r="KMY77" s="452"/>
      <c r="KMZ77" s="596"/>
      <c r="KNA77" s="548"/>
      <c r="KNB77" s="548"/>
      <c r="KNC77" s="548"/>
      <c r="KND77" s="548"/>
      <c r="KNE77" s="548"/>
      <c r="KNF77" s="452"/>
      <c r="KNG77" s="596"/>
      <c r="KNH77" s="548"/>
      <c r="KNI77" s="548"/>
      <c r="KNJ77" s="548"/>
      <c r="KNK77" s="548"/>
      <c r="KNL77" s="548"/>
      <c r="KNM77" s="452"/>
      <c r="KNN77" s="596"/>
      <c r="KNO77" s="548"/>
      <c r="KNP77" s="548"/>
      <c r="KNQ77" s="548"/>
      <c r="KNR77" s="548"/>
      <c r="KNS77" s="548"/>
      <c r="KNT77" s="452"/>
      <c r="KNU77" s="596"/>
      <c r="KNV77" s="548"/>
      <c r="KNW77" s="548"/>
      <c r="KNX77" s="548"/>
      <c r="KNY77" s="548"/>
      <c r="KNZ77" s="548"/>
      <c r="KOA77" s="452"/>
      <c r="KOB77" s="596"/>
      <c r="KOC77" s="548"/>
      <c r="KOD77" s="548"/>
      <c r="KOE77" s="548"/>
      <c r="KOF77" s="548"/>
      <c r="KOG77" s="548"/>
      <c r="KOH77" s="452"/>
      <c r="KOI77" s="596"/>
      <c r="KOJ77" s="548"/>
      <c r="KOK77" s="548"/>
      <c r="KOL77" s="548"/>
      <c r="KOM77" s="548"/>
      <c r="KON77" s="548"/>
      <c r="KOO77" s="452"/>
      <c r="KOP77" s="596"/>
      <c r="KOQ77" s="548"/>
      <c r="KOR77" s="548"/>
      <c r="KOS77" s="548"/>
      <c r="KOT77" s="548"/>
      <c r="KOU77" s="548"/>
      <c r="KOV77" s="452"/>
      <c r="KOW77" s="596"/>
      <c r="KOX77" s="548"/>
      <c r="KOY77" s="548"/>
      <c r="KOZ77" s="548"/>
      <c r="KPA77" s="548"/>
      <c r="KPB77" s="548"/>
      <c r="KPC77" s="452"/>
      <c r="KPD77" s="596"/>
      <c r="KPE77" s="548"/>
      <c r="KPF77" s="548"/>
      <c r="KPG77" s="548"/>
      <c r="KPH77" s="548"/>
      <c r="KPI77" s="548"/>
      <c r="KPJ77" s="452"/>
      <c r="KPK77" s="596"/>
      <c r="KPL77" s="548"/>
      <c r="KPM77" s="548"/>
      <c r="KPN77" s="548"/>
      <c r="KPO77" s="548"/>
      <c r="KPP77" s="548"/>
      <c r="KPQ77" s="452"/>
      <c r="KPR77" s="596"/>
      <c r="KPS77" s="548"/>
      <c r="KPT77" s="548"/>
      <c r="KPU77" s="548"/>
      <c r="KPV77" s="548"/>
      <c r="KPW77" s="548"/>
      <c r="KPX77" s="452"/>
      <c r="KPY77" s="596"/>
      <c r="KPZ77" s="548"/>
      <c r="KQA77" s="548"/>
      <c r="KQB77" s="548"/>
      <c r="KQC77" s="548"/>
      <c r="KQD77" s="548"/>
      <c r="KQE77" s="452"/>
      <c r="KQF77" s="596"/>
      <c r="KQG77" s="548"/>
      <c r="KQH77" s="548"/>
      <c r="KQI77" s="548"/>
      <c r="KQJ77" s="548"/>
      <c r="KQK77" s="548"/>
      <c r="KQL77" s="452"/>
      <c r="KQM77" s="596"/>
      <c r="KQN77" s="548"/>
      <c r="KQO77" s="548"/>
      <c r="KQP77" s="548"/>
      <c r="KQQ77" s="548"/>
      <c r="KQR77" s="548"/>
      <c r="KQS77" s="452"/>
      <c r="KQT77" s="596"/>
      <c r="KQU77" s="548"/>
      <c r="KQV77" s="548"/>
      <c r="KQW77" s="548"/>
      <c r="KQX77" s="548"/>
      <c r="KQY77" s="548"/>
      <c r="KQZ77" s="452"/>
      <c r="KRA77" s="596"/>
      <c r="KRB77" s="548"/>
      <c r="KRC77" s="548"/>
      <c r="KRD77" s="548"/>
      <c r="KRE77" s="548"/>
      <c r="KRF77" s="548"/>
      <c r="KRG77" s="452"/>
      <c r="KRH77" s="596"/>
      <c r="KRI77" s="548"/>
      <c r="KRJ77" s="548"/>
      <c r="KRK77" s="548"/>
      <c r="KRL77" s="548"/>
      <c r="KRM77" s="548"/>
      <c r="KRN77" s="452"/>
      <c r="KRO77" s="596"/>
      <c r="KRP77" s="548"/>
      <c r="KRQ77" s="548"/>
      <c r="KRR77" s="548"/>
      <c r="KRS77" s="548"/>
      <c r="KRT77" s="548"/>
      <c r="KRU77" s="452"/>
      <c r="KRV77" s="596"/>
      <c r="KRW77" s="548"/>
      <c r="KRX77" s="548"/>
      <c r="KRY77" s="548"/>
      <c r="KRZ77" s="548"/>
      <c r="KSA77" s="548"/>
      <c r="KSB77" s="452"/>
      <c r="KSC77" s="596"/>
      <c r="KSD77" s="548"/>
      <c r="KSE77" s="548"/>
      <c r="KSF77" s="548"/>
      <c r="KSG77" s="548"/>
      <c r="KSH77" s="548"/>
      <c r="KSI77" s="452"/>
      <c r="KSJ77" s="596"/>
      <c r="KSK77" s="548"/>
      <c r="KSL77" s="548"/>
      <c r="KSM77" s="548"/>
      <c r="KSN77" s="548"/>
      <c r="KSO77" s="548"/>
      <c r="KSP77" s="452"/>
      <c r="KSQ77" s="596"/>
      <c r="KSR77" s="548"/>
      <c r="KSS77" s="548"/>
      <c r="KST77" s="548"/>
      <c r="KSU77" s="548"/>
      <c r="KSV77" s="548"/>
      <c r="KSW77" s="452"/>
      <c r="KSX77" s="596"/>
      <c r="KSY77" s="548"/>
      <c r="KSZ77" s="548"/>
      <c r="KTA77" s="548"/>
      <c r="KTB77" s="548"/>
      <c r="KTC77" s="548"/>
      <c r="KTD77" s="452"/>
      <c r="KTE77" s="596"/>
      <c r="KTF77" s="548"/>
      <c r="KTG77" s="548"/>
      <c r="KTH77" s="548"/>
      <c r="KTI77" s="548"/>
      <c r="KTJ77" s="548"/>
      <c r="KTK77" s="452"/>
      <c r="KTL77" s="596"/>
      <c r="KTM77" s="548"/>
      <c r="KTN77" s="548"/>
      <c r="KTO77" s="548"/>
      <c r="KTP77" s="548"/>
      <c r="KTQ77" s="548"/>
      <c r="KTR77" s="452"/>
      <c r="KTS77" s="596"/>
      <c r="KTT77" s="548"/>
      <c r="KTU77" s="548"/>
      <c r="KTV77" s="548"/>
      <c r="KTW77" s="548"/>
      <c r="KTX77" s="548"/>
      <c r="KTY77" s="452"/>
      <c r="KTZ77" s="596"/>
      <c r="KUA77" s="548"/>
      <c r="KUB77" s="548"/>
      <c r="KUC77" s="548"/>
      <c r="KUD77" s="548"/>
      <c r="KUE77" s="548"/>
      <c r="KUF77" s="452"/>
      <c r="KUG77" s="596"/>
      <c r="KUH77" s="548"/>
      <c r="KUI77" s="548"/>
      <c r="KUJ77" s="548"/>
      <c r="KUK77" s="548"/>
      <c r="KUL77" s="548"/>
      <c r="KUM77" s="452"/>
      <c r="KUN77" s="596"/>
      <c r="KUO77" s="548"/>
      <c r="KUP77" s="548"/>
      <c r="KUQ77" s="548"/>
      <c r="KUR77" s="548"/>
      <c r="KUS77" s="548"/>
      <c r="KUT77" s="452"/>
      <c r="KUU77" s="596"/>
      <c r="KUV77" s="548"/>
      <c r="KUW77" s="548"/>
      <c r="KUX77" s="548"/>
      <c r="KUY77" s="548"/>
      <c r="KUZ77" s="548"/>
      <c r="KVA77" s="452"/>
      <c r="KVB77" s="596"/>
      <c r="KVC77" s="548"/>
      <c r="KVD77" s="548"/>
      <c r="KVE77" s="548"/>
      <c r="KVF77" s="548"/>
      <c r="KVG77" s="548"/>
      <c r="KVH77" s="452"/>
      <c r="KVI77" s="596"/>
      <c r="KVJ77" s="548"/>
      <c r="KVK77" s="548"/>
      <c r="KVL77" s="548"/>
      <c r="KVM77" s="548"/>
      <c r="KVN77" s="548"/>
      <c r="KVO77" s="452"/>
      <c r="KVP77" s="596"/>
      <c r="KVQ77" s="548"/>
      <c r="KVR77" s="548"/>
      <c r="KVS77" s="548"/>
      <c r="KVT77" s="548"/>
      <c r="KVU77" s="548"/>
      <c r="KVV77" s="452"/>
      <c r="KVW77" s="596"/>
      <c r="KVX77" s="548"/>
      <c r="KVY77" s="548"/>
      <c r="KVZ77" s="548"/>
      <c r="KWA77" s="548"/>
      <c r="KWB77" s="548"/>
      <c r="KWC77" s="452"/>
      <c r="KWD77" s="596"/>
      <c r="KWE77" s="548"/>
      <c r="KWF77" s="548"/>
      <c r="KWG77" s="548"/>
      <c r="KWH77" s="548"/>
      <c r="KWI77" s="548"/>
      <c r="KWJ77" s="452"/>
      <c r="KWK77" s="596"/>
      <c r="KWL77" s="548"/>
      <c r="KWM77" s="548"/>
      <c r="KWN77" s="548"/>
      <c r="KWO77" s="548"/>
      <c r="KWP77" s="548"/>
      <c r="KWQ77" s="452"/>
      <c r="KWR77" s="596"/>
      <c r="KWS77" s="548"/>
      <c r="KWT77" s="548"/>
      <c r="KWU77" s="548"/>
      <c r="KWV77" s="548"/>
      <c r="KWW77" s="548"/>
      <c r="KWX77" s="452"/>
      <c r="KWY77" s="596"/>
      <c r="KWZ77" s="548"/>
      <c r="KXA77" s="548"/>
      <c r="KXB77" s="548"/>
      <c r="KXC77" s="548"/>
      <c r="KXD77" s="548"/>
      <c r="KXE77" s="452"/>
      <c r="KXF77" s="596"/>
      <c r="KXG77" s="548"/>
      <c r="KXH77" s="548"/>
      <c r="KXI77" s="548"/>
      <c r="KXJ77" s="548"/>
      <c r="KXK77" s="548"/>
      <c r="KXL77" s="452"/>
      <c r="KXM77" s="596"/>
      <c r="KXN77" s="548"/>
      <c r="KXO77" s="548"/>
      <c r="KXP77" s="548"/>
      <c r="KXQ77" s="548"/>
      <c r="KXR77" s="548"/>
      <c r="KXS77" s="452"/>
      <c r="KXT77" s="596"/>
      <c r="KXU77" s="548"/>
      <c r="KXV77" s="548"/>
      <c r="KXW77" s="548"/>
      <c r="KXX77" s="548"/>
      <c r="KXY77" s="548"/>
      <c r="KXZ77" s="452"/>
      <c r="KYA77" s="596"/>
      <c r="KYB77" s="548"/>
      <c r="KYC77" s="548"/>
      <c r="KYD77" s="548"/>
      <c r="KYE77" s="548"/>
      <c r="KYF77" s="548"/>
      <c r="KYG77" s="452"/>
      <c r="KYH77" s="596"/>
      <c r="KYI77" s="548"/>
      <c r="KYJ77" s="548"/>
      <c r="KYK77" s="548"/>
      <c r="KYL77" s="548"/>
      <c r="KYM77" s="548"/>
      <c r="KYN77" s="452"/>
      <c r="KYO77" s="596"/>
      <c r="KYP77" s="548"/>
      <c r="KYQ77" s="548"/>
      <c r="KYR77" s="548"/>
      <c r="KYS77" s="548"/>
      <c r="KYT77" s="548"/>
      <c r="KYU77" s="452"/>
      <c r="KYV77" s="596"/>
      <c r="KYW77" s="548"/>
      <c r="KYX77" s="548"/>
      <c r="KYY77" s="548"/>
      <c r="KYZ77" s="548"/>
      <c r="KZA77" s="548"/>
      <c r="KZB77" s="452"/>
      <c r="KZC77" s="596"/>
      <c r="KZD77" s="548"/>
      <c r="KZE77" s="548"/>
      <c r="KZF77" s="548"/>
      <c r="KZG77" s="548"/>
      <c r="KZH77" s="548"/>
      <c r="KZI77" s="452"/>
      <c r="KZJ77" s="596"/>
      <c r="KZK77" s="548"/>
      <c r="KZL77" s="548"/>
      <c r="KZM77" s="548"/>
      <c r="KZN77" s="548"/>
      <c r="KZO77" s="548"/>
      <c r="KZP77" s="452"/>
      <c r="KZQ77" s="596"/>
      <c r="KZR77" s="548"/>
      <c r="KZS77" s="548"/>
      <c r="KZT77" s="548"/>
      <c r="KZU77" s="548"/>
      <c r="KZV77" s="548"/>
      <c r="KZW77" s="452"/>
      <c r="KZX77" s="596"/>
      <c r="KZY77" s="548"/>
      <c r="KZZ77" s="548"/>
      <c r="LAA77" s="548"/>
      <c r="LAB77" s="548"/>
      <c r="LAC77" s="548"/>
      <c r="LAD77" s="452"/>
      <c r="LAE77" s="596"/>
      <c r="LAF77" s="548"/>
      <c r="LAG77" s="548"/>
      <c r="LAH77" s="548"/>
      <c r="LAI77" s="548"/>
      <c r="LAJ77" s="548"/>
      <c r="LAK77" s="452"/>
      <c r="LAL77" s="596"/>
      <c r="LAM77" s="548"/>
      <c r="LAN77" s="548"/>
      <c r="LAO77" s="548"/>
      <c r="LAP77" s="548"/>
      <c r="LAQ77" s="548"/>
      <c r="LAR77" s="452"/>
      <c r="LAS77" s="596"/>
      <c r="LAT77" s="548"/>
      <c r="LAU77" s="548"/>
      <c r="LAV77" s="548"/>
      <c r="LAW77" s="548"/>
      <c r="LAX77" s="548"/>
      <c r="LAY77" s="452"/>
      <c r="LAZ77" s="596"/>
      <c r="LBA77" s="548"/>
      <c r="LBB77" s="548"/>
      <c r="LBC77" s="548"/>
      <c r="LBD77" s="548"/>
      <c r="LBE77" s="548"/>
      <c r="LBF77" s="452"/>
      <c r="LBG77" s="596"/>
      <c r="LBH77" s="548"/>
      <c r="LBI77" s="548"/>
      <c r="LBJ77" s="548"/>
      <c r="LBK77" s="548"/>
      <c r="LBL77" s="548"/>
      <c r="LBM77" s="452"/>
      <c r="LBN77" s="596"/>
      <c r="LBO77" s="548"/>
      <c r="LBP77" s="548"/>
      <c r="LBQ77" s="548"/>
      <c r="LBR77" s="548"/>
      <c r="LBS77" s="548"/>
      <c r="LBT77" s="452"/>
      <c r="LBU77" s="596"/>
      <c r="LBV77" s="548"/>
      <c r="LBW77" s="548"/>
      <c r="LBX77" s="548"/>
      <c r="LBY77" s="548"/>
      <c r="LBZ77" s="548"/>
      <c r="LCA77" s="452"/>
      <c r="LCB77" s="596"/>
      <c r="LCC77" s="548"/>
      <c r="LCD77" s="548"/>
      <c r="LCE77" s="548"/>
      <c r="LCF77" s="548"/>
      <c r="LCG77" s="548"/>
      <c r="LCH77" s="452"/>
      <c r="LCI77" s="596"/>
      <c r="LCJ77" s="548"/>
      <c r="LCK77" s="548"/>
      <c r="LCL77" s="548"/>
      <c r="LCM77" s="548"/>
      <c r="LCN77" s="548"/>
      <c r="LCO77" s="452"/>
      <c r="LCP77" s="596"/>
      <c r="LCQ77" s="548"/>
      <c r="LCR77" s="548"/>
      <c r="LCS77" s="548"/>
      <c r="LCT77" s="548"/>
      <c r="LCU77" s="548"/>
      <c r="LCV77" s="452"/>
      <c r="LCW77" s="596"/>
      <c r="LCX77" s="548"/>
      <c r="LCY77" s="548"/>
      <c r="LCZ77" s="548"/>
      <c r="LDA77" s="548"/>
      <c r="LDB77" s="548"/>
      <c r="LDC77" s="452"/>
      <c r="LDD77" s="596"/>
      <c r="LDE77" s="548"/>
      <c r="LDF77" s="548"/>
      <c r="LDG77" s="548"/>
      <c r="LDH77" s="548"/>
      <c r="LDI77" s="548"/>
      <c r="LDJ77" s="452"/>
      <c r="LDK77" s="596"/>
      <c r="LDL77" s="548"/>
      <c r="LDM77" s="548"/>
      <c r="LDN77" s="548"/>
      <c r="LDO77" s="548"/>
      <c r="LDP77" s="548"/>
      <c r="LDQ77" s="452"/>
      <c r="LDR77" s="596"/>
      <c r="LDS77" s="548"/>
      <c r="LDT77" s="548"/>
      <c r="LDU77" s="548"/>
      <c r="LDV77" s="548"/>
      <c r="LDW77" s="548"/>
      <c r="LDX77" s="452"/>
      <c r="LDY77" s="596"/>
      <c r="LDZ77" s="548"/>
      <c r="LEA77" s="548"/>
      <c r="LEB77" s="548"/>
      <c r="LEC77" s="548"/>
      <c r="LED77" s="548"/>
      <c r="LEE77" s="452"/>
      <c r="LEF77" s="596"/>
      <c r="LEG77" s="548"/>
      <c r="LEH77" s="548"/>
      <c r="LEI77" s="548"/>
      <c r="LEJ77" s="548"/>
      <c r="LEK77" s="548"/>
      <c r="LEL77" s="452"/>
      <c r="LEM77" s="596"/>
      <c r="LEN77" s="548"/>
      <c r="LEO77" s="548"/>
      <c r="LEP77" s="548"/>
      <c r="LEQ77" s="548"/>
      <c r="LER77" s="548"/>
      <c r="LES77" s="452"/>
      <c r="LET77" s="596"/>
      <c r="LEU77" s="548"/>
      <c r="LEV77" s="548"/>
      <c r="LEW77" s="548"/>
      <c r="LEX77" s="548"/>
      <c r="LEY77" s="548"/>
      <c r="LEZ77" s="452"/>
      <c r="LFA77" s="596"/>
      <c r="LFB77" s="548"/>
      <c r="LFC77" s="548"/>
      <c r="LFD77" s="548"/>
      <c r="LFE77" s="548"/>
      <c r="LFF77" s="548"/>
      <c r="LFG77" s="452"/>
      <c r="LFH77" s="596"/>
      <c r="LFI77" s="548"/>
      <c r="LFJ77" s="548"/>
      <c r="LFK77" s="548"/>
      <c r="LFL77" s="548"/>
      <c r="LFM77" s="548"/>
      <c r="LFN77" s="452"/>
      <c r="LFO77" s="596"/>
      <c r="LFP77" s="548"/>
      <c r="LFQ77" s="548"/>
      <c r="LFR77" s="548"/>
      <c r="LFS77" s="548"/>
      <c r="LFT77" s="548"/>
      <c r="LFU77" s="452"/>
      <c r="LFV77" s="596"/>
      <c r="LFW77" s="548"/>
      <c r="LFX77" s="548"/>
      <c r="LFY77" s="548"/>
      <c r="LFZ77" s="548"/>
      <c r="LGA77" s="548"/>
      <c r="LGB77" s="452"/>
      <c r="LGC77" s="596"/>
      <c r="LGD77" s="548"/>
      <c r="LGE77" s="548"/>
      <c r="LGF77" s="548"/>
      <c r="LGG77" s="548"/>
      <c r="LGH77" s="548"/>
      <c r="LGI77" s="452"/>
      <c r="LGJ77" s="596"/>
      <c r="LGK77" s="548"/>
      <c r="LGL77" s="548"/>
      <c r="LGM77" s="548"/>
      <c r="LGN77" s="548"/>
      <c r="LGO77" s="548"/>
      <c r="LGP77" s="452"/>
      <c r="LGQ77" s="596"/>
      <c r="LGR77" s="548"/>
      <c r="LGS77" s="548"/>
      <c r="LGT77" s="548"/>
      <c r="LGU77" s="548"/>
      <c r="LGV77" s="548"/>
      <c r="LGW77" s="452"/>
      <c r="LGX77" s="596"/>
      <c r="LGY77" s="548"/>
      <c r="LGZ77" s="548"/>
      <c r="LHA77" s="548"/>
      <c r="LHB77" s="548"/>
      <c r="LHC77" s="548"/>
      <c r="LHD77" s="452"/>
      <c r="LHE77" s="596"/>
      <c r="LHF77" s="548"/>
      <c r="LHG77" s="548"/>
      <c r="LHH77" s="548"/>
      <c r="LHI77" s="548"/>
      <c r="LHJ77" s="548"/>
      <c r="LHK77" s="452"/>
      <c r="LHL77" s="596"/>
      <c r="LHM77" s="548"/>
      <c r="LHN77" s="548"/>
      <c r="LHO77" s="548"/>
      <c r="LHP77" s="548"/>
      <c r="LHQ77" s="548"/>
      <c r="LHR77" s="452"/>
      <c r="LHS77" s="596"/>
      <c r="LHT77" s="548"/>
      <c r="LHU77" s="548"/>
      <c r="LHV77" s="548"/>
      <c r="LHW77" s="548"/>
      <c r="LHX77" s="548"/>
      <c r="LHY77" s="452"/>
      <c r="LHZ77" s="596"/>
      <c r="LIA77" s="548"/>
      <c r="LIB77" s="548"/>
      <c r="LIC77" s="548"/>
      <c r="LID77" s="548"/>
      <c r="LIE77" s="548"/>
      <c r="LIF77" s="452"/>
      <c r="LIG77" s="596"/>
      <c r="LIH77" s="548"/>
      <c r="LII77" s="548"/>
      <c r="LIJ77" s="548"/>
      <c r="LIK77" s="548"/>
      <c r="LIL77" s="548"/>
      <c r="LIM77" s="452"/>
      <c r="LIN77" s="596"/>
      <c r="LIO77" s="548"/>
      <c r="LIP77" s="548"/>
      <c r="LIQ77" s="548"/>
      <c r="LIR77" s="548"/>
      <c r="LIS77" s="548"/>
      <c r="LIT77" s="452"/>
      <c r="LIU77" s="596"/>
      <c r="LIV77" s="548"/>
      <c r="LIW77" s="548"/>
      <c r="LIX77" s="548"/>
      <c r="LIY77" s="548"/>
      <c r="LIZ77" s="548"/>
      <c r="LJA77" s="452"/>
      <c r="LJB77" s="596"/>
      <c r="LJC77" s="548"/>
      <c r="LJD77" s="548"/>
      <c r="LJE77" s="548"/>
      <c r="LJF77" s="548"/>
      <c r="LJG77" s="548"/>
      <c r="LJH77" s="452"/>
      <c r="LJI77" s="596"/>
      <c r="LJJ77" s="548"/>
      <c r="LJK77" s="548"/>
      <c r="LJL77" s="548"/>
      <c r="LJM77" s="548"/>
      <c r="LJN77" s="548"/>
      <c r="LJO77" s="452"/>
      <c r="LJP77" s="596"/>
      <c r="LJQ77" s="548"/>
      <c r="LJR77" s="548"/>
      <c r="LJS77" s="548"/>
      <c r="LJT77" s="548"/>
      <c r="LJU77" s="548"/>
      <c r="LJV77" s="452"/>
      <c r="LJW77" s="596"/>
      <c r="LJX77" s="548"/>
      <c r="LJY77" s="548"/>
      <c r="LJZ77" s="548"/>
      <c r="LKA77" s="548"/>
      <c r="LKB77" s="548"/>
      <c r="LKC77" s="452"/>
      <c r="LKD77" s="596"/>
      <c r="LKE77" s="548"/>
      <c r="LKF77" s="548"/>
      <c r="LKG77" s="548"/>
      <c r="LKH77" s="548"/>
      <c r="LKI77" s="548"/>
      <c r="LKJ77" s="452"/>
      <c r="LKK77" s="596"/>
      <c r="LKL77" s="548"/>
      <c r="LKM77" s="548"/>
      <c r="LKN77" s="548"/>
      <c r="LKO77" s="548"/>
      <c r="LKP77" s="548"/>
      <c r="LKQ77" s="452"/>
      <c r="LKR77" s="596"/>
      <c r="LKS77" s="548"/>
      <c r="LKT77" s="548"/>
      <c r="LKU77" s="548"/>
      <c r="LKV77" s="548"/>
      <c r="LKW77" s="548"/>
      <c r="LKX77" s="452"/>
      <c r="LKY77" s="596"/>
      <c r="LKZ77" s="548"/>
      <c r="LLA77" s="548"/>
      <c r="LLB77" s="548"/>
      <c r="LLC77" s="548"/>
      <c r="LLD77" s="548"/>
      <c r="LLE77" s="452"/>
      <c r="LLF77" s="596"/>
      <c r="LLG77" s="548"/>
      <c r="LLH77" s="548"/>
      <c r="LLI77" s="548"/>
      <c r="LLJ77" s="548"/>
      <c r="LLK77" s="548"/>
      <c r="LLL77" s="452"/>
      <c r="LLM77" s="596"/>
      <c r="LLN77" s="548"/>
      <c r="LLO77" s="548"/>
      <c r="LLP77" s="548"/>
      <c r="LLQ77" s="548"/>
      <c r="LLR77" s="548"/>
      <c r="LLS77" s="452"/>
      <c r="LLT77" s="596"/>
      <c r="LLU77" s="548"/>
      <c r="LLV77" s="548"/>
      <c r="LLW77" s="548"/>
      <c r="LLX77" s="548"/>
      <c r="LLY77" s="548"/>
      <c r="LLZ77" s="452"/>
      <c r="LMA77" s="596"/>
      <c r="LMB77" s="548"/>
      <c r="LMC77" s="548"/>
      <c r="LMD77" s="548"/>
      <c r="LME77" s="548"/>
      <c r="LMF77" s="548"/>
      <c r="LMG77" s="452"/>
      <c r="LMH77" s="596"/>
      <c r="LMI77" s="548"/>
      <c r="LMJ77" s="548"/>
      <c r="LMK77" s="548"/>
      <c r="LML77" s="548"/>
      <c r="LMM77" s="548"/>
      <c r="LMN77" s="452"/>
      <c r="LMO77" s="596"/>
      <c r="LMP77" s="548"/>
      <c r="LMQ77" s="548"/>
      <c r="LMR77" s="548"/>
      <c r="LMS77" s="548"/>
      <c r="LMT77" s="548"/>
      <c r="LMU77" s="452"/>
      <c r="LMV77" s="596"/>
      <c r="LMW77" s="548"/>
      <c r="LMX77" s="548"/>
      <c r="LMY77" s="548"/>
      <c r="LMZ77" s="548"/>
      <c r="LNA77" s="548"/>
      <c r="LNB77" s="452"/>
      <c r="LNC77" s="596"/>
      <c r="LND77" s="548"/>
      <c r="LNE77" s="548"/>
      <c r="LNF77" s="548"/>
      <c r="LNG77" s="548"/>
      <c r="LNH77" s="548"/>
      <c r="LNI77" s="452"/>
      <c r="LNJ77" s="596"/>
      <c r="LNK77" s="548"/>
      <c r="LNL77" s="548"/>
      <c r="LNM77" s="548"/>
      <c r="LNN77" s="548"/>
      <c r="LNO77" s="548"/>
      <c r="LNP77" s="452"/>
      <c r="LNQ77" s="596"/>
      <c r="LNR77" s="548"/>
      <c r="LNS77" s="548"/>
      <c r="LNT77" s="548"/>
      <c r="LNU77" s="548"/>
      <c r="LNV77" s="548"/>
      <c r="LNW77" s="452"/>
      <c r="LNX77" s="596"/>
      <c r="LNY77" s="548"/>
      <c r="LNZ77" s="548"/>
      <c r="LOA77" s="548"/>
      <c r="LOB77" s="548"/>
      <c r="LOC77" s="548"/>
      <c r="LOD77" s="452"/>
      <c r="LOE77" s="596"/>
      <c r="LOF77" s="548"/>
      <c r="LOG77" s="548"/>
      <c r="LOH77" s="548"/>
      <c r="LOI77" s="548"/>
      <c r="LOJ77" s="548"/>
      <c r="LOK77" s="452"/>
      <c r="LOL77" s="596"/>
      <c r="LOM77" s="548"/>
      <c r="LON77" s="548"/>
      <c r="LOO77" s="548"/>
      <c r="LOP77" s="548"/>
      <c r="LOQ77" s="548"/>
      <c r="LOR77" s="452"/>
      <c r="LOS77" s="596"/>
      <c r="LOT77" s="548"/>
      <c r="LOU77" s="548"/>
      <c r="LOV77" s="548"/>
      <c r="LOW77" s="548"/>
      <c r="LOX77" s="548"/>
      <c r="LOY77" s="452"/>
      <c r="LOZ77" s="596"/>
      <c r="LPA77" s="548"/>
      <c r="LPB77" s="548"/>
      <c r="LPC77" s="548"/>
      <c r="LPD77" s="548"/>
      <c r="LPE77" s="548"/>
      <c r="LPF77" s="452"/>
      <c r="LPG77" s="596"/>
      <c r="LPH77" s="548"/>
      <c r="LPI77" s="548"/>
      <c r="LPJ77" s="548"/>
      <c r="LPK77" s="548"/>
      <c r="LPL77" s="548"/>
      <c r="LPM77" s="452"/>
      <c r="LPN77" s="596"/>
      <c r="LPO77" s="548"/>
      <c r="LPP77" s="548"/>
      <c r="LPQ77" s="548"/>
      <c r="LPR77" s="548"/>
      <c r="LPS77" s="548"/>
      <c r="LPT77" s="452"/>
      <c r="LPU77" s="596"/>
      <c r="LPV77" s="548"/>
      <c r="LPW77" s="548"/>
      <c r="LPX77" s="548"/>
      <c r="LPY77" s="548"/>
      <c r="LPZ77" s="548"/>
      <c r="LQA77" s="452"/>
      <c r="LQB77" s="596"/>
      <c r="LQC77" s="548"/>
      <c r="LQD77" s="548"/>
      <c r="LQE77" s="548"/>
      <c r="LQF77" s="548"/>
      <c r="LQG77" s="548"/>
      <c r="LQH77" s="452"/>
      <c r="LQI77" s="596"/>
      <c r="LQJ77" s="548"/>
      <c r="LQK77" s="548"/>
      <c r="LQL77" s="548"/>
      <c r="LQM77" s="548"/>
      <c r="LQN77" s="548"/>
      <c r="LQO77" s="452"/>
      <c r="LQP77" s="596"/>
      <c r="LQQ77" s="548"/>
      <c r="LQR77" s="548"/>
      <c r="LQS77" s="548"/>
      <c r="LQT77" s="548"/>
      <c r="LQU77" s="548"/>
      <c r="LQV77" s="452"/>
      <c r="LQW77" s="596"/>
      <c r="LQX77" s="548"/>
      <c r="LQY77" s="548"/>
      <c r="LQZ77" s="548"/>
      <c r="LRA77" s="548"/>
      <c r="LRB77" s="548"/>
      <c r="LRC77" s="452"/>
      <c r="LRD77" s="596"/>
      <c r="LRE77" s="548"/>
      <c r="LRF77" s="548"/>
      <c r="LRG77" s="548"/>
      <c r="LRH77" s="548"/>
      <c r="LRI77" s="548"/>
      <c r="LRJ77" s="452"/>
      <c r="LRK77" s="596"/>
      <c r="LRL77" s="548"/>
      <c r="LRM77" s="548"/>
      <c r="LRN77" s="548"/>
      <c r="LRO77" s="548"/>
      <c r="LRP77" s="548"/>
      <c r="LRQ77" s="452"/>
      <c r="LRR77" s="596"/>
      <c r="LRS77" s="548"/>
      <c r="LRT77" s="548"/>
      <c r="LRU77" s="548"/>
      <c r="LRV77" s="548"/>
      <c r="LRW77" s="548"/>
      <c r="LRX77" s="452"/>
      <c r="LRY77" s="596"/>
      <c r="LRZ77" s="548"/>
      <c r="LSA77" s="548"/>
      <c r="LSB77" s="548"/>
      <c r="LSC77" s="548"/>
      <c r="LSD77" s="548"/>
      <c r="LSE77" s="452"/>
      <c r="LSF77" s="596"/>
      <c r="LSG77" s="548"/>
      <c r="LSH77" s="548"/>
      <c r="LSI77" s="548"/>
      <c r="LSJ77" s="548"/>
      <c r="LSK77" s="548"/>
      <c r="LSL77" s="452"/>
      <c r="LSM77" s="596"/>
      <c r="LSN77" s="548"/>
      <c r="LSO77" s="548"/>
      <c r="LSP77" s="548"/>
      <c r="LSQ77" s="548"/>
      <c r="LSR77" s="548"/>
      <c r="LSS77" s="452"/>
      <c r="LST77" s="596"/>
      <c r="LSU77" s="548"/>
      <c r="LSV77" s="548"/>
      <c r="LSW77" s="548"/>
      <c r="LSX77" s="548"/>
      <c r="LSY77" s="548"/>
      <c r="LSZ77" s="452"/>
      <c r="LTA77" s="596"/>
      <c r="LTB77" s="548"/>
      <c r="LTC77" s="548"/>
      <c r="LTD77" s="548"/>
      <c r="LTE77" s="548"/>
      <c r="LTF77" s="548"/>
      <c r="LTG77" s="452"/>
      <c r="LTH77" s="596"/>
      <c r="LTI77" s="548"/>
      <c r="LTJ77" s="548"/>
      <c r="LTK77" s="548"/>
      <c r="LTL77" s="548"/>
      <c r="LTM77" s="548"/>
      <c r="LTN77" s="452"/>
      <c r="LTO77" s="596"/>
      <c r="LTP77" s="548"/>
      <c r="LTQ77" s="548"/>
      <c r="LTR77" s="548"/>
      <c r="LTS77" s="548"/>
      <c r="LTT77" s="548"/>
      <c r="LTU77" s="452"/>
      <c r="LTV77" s="596"/>
      <c r="LTW77" s="548"/>
      <c r="LTX77" s="548"/>
      <c r="LTY77" s="548"/>
      <c r="LTZ77" s="548"/>
      <c r="LUA77" s="548"/>
      <c r="LUB77" s="452"/>
      <c r="LUC77" s="596"/>
      <c r="LUD77" s="548"/>
      <c r="LUE77" s="548"/>
      <c r="LUF77" s="548"/>
      <c r="LUG77" s="548"/>
      <c r="LUH77" s="548"/>
      <c r="LUI77" s="452"/>
      <c r="LUJ77" s="596"/>
      <c r="LUK77" s="548"/>
      <c r="LUL77" s="548"/>
      <c r="LUM77" s="548"/>
      <c r="LUN77" s="548"/>
      <c r="LUO77" s="548"/>
      <c r="LUP77" s="452"/>
      <c r="LUQ77" s="596"/>
      <c r="LUR77" s="548"/>
      <c r="LUS77" s="548"/>
      <c r="LUT77" s="548"/>
      <c r="LUU77" s="548"/>
      <c r="LUV77" s="548"/>
      <c r="LUW77" s="452"/>
      <c r="LUX77" s="596"/>
      <c r="LUY77" s="548"/>
      <c r="LUZ77" s="548"/>
      <c r="LVA77" s="548"/>
      <c r="LVB77" s="548"/>
      <c r="LVC77" s="548"/>
      <c r="LVD77" s="452"/>
      <c r="LVE77" s="596"/>
      <c r="LVF77" s="548"/>
      <c r="LVG77" s="548"/>
      <c r="LVH77" s="548"/>
      <c r="LVI77" s="548"/>
      <c r="LVJ77" s="548"/>
      <c r="LVK77" s="452"/>
      <c r="LVL77" s="596"/>
      <c r="LVM77" s="548"/>
      <c r="LVN77" s="548"/>
      <c r="LVO77" s="548"/>
      <c r="LVP77" s="548"/>
      <c r="LVQ77" s="548"/>
      <c r="LVR77" s="452"/>
      <c r="LVS77" s="596"/>
      <c r="LVT77" s="548"/>
      <c r="LVU77" s="548"/>
      <c r="LVV77" s="548"/>
      <c r="LVW77" s="548"/>
      <c r="LVX77" s="548"/>
      <c r="LVY77" s="452"/>
      <c r="LVZ77" s="596"/>
      <c r="LWA77" s="548"/>
      <c r="LWB77" s="548"/>
      <c r="LWC77" s="548"/>
      <c r="LWD77" s="548"/>
      <c r="LWE77" s="548"/>
      <c r="LWF77" s="452"/>
      <c r="LWG77" s="596"/>
      <c r="LWH77" s="548"/>
      <c r="LWI77" s="548"/>
      <c r="LWJ77" s="548"/>
      <c r="LWK77" s="548"/>
      <c r="LWL77" s="548"/>
      <c r="LWM77" s="452"/>
      <c r="LWN77" s="596"/>
      <c r="LWO77" s="548"/>
      <c r="LWP77" s="548"/>
      <c r="LWQ77" s="548"/>
      <c r="LWR77" s="548"/>
      <c r="LWS77" s="548"/>
      <c r="LWT77" s="452"/>
      <c r="LWU77" s="596"/>
      <c r="LWV77" s="548"/>
      <c r="LWW77" s="548"/>
      <c r="LWX77" s="548"/>
      <c r="LWY77" s="548"/>
      <c r="LWZ77" s="548"/>
      <c r="LXA77" s="452"/>
      <c r="LXB77" s="596"/>
      <c r="LXC77" s="548"/>
      <c r="LXD77" s="548"/>
      <c r="LXE77" s="548"/>
      <c r="LXF77" s="548"/>
      <c r="LXG77" s="548"/>
      <c r="LXH77" s="452"/>
      <c r="LXI77" s="596"/>
      <c r="LXJ77" s="548"/>
      <c r="LXK77" s="548"/>
      <c r="LXL77" s="548"/>
      <c r="LXM77" s="548"/>
      <c r="LXN77" s="548"/>
      <c r="LXO77" s="452"/>
      <c r="LXP77" s="596"/>
      <c r="LXQ77" s="548"/>
      <c r="LXR77" s="548"/>
      <c r="LXS77" s="548"/>
      <c r="LXT77" s="548"/>
      <c r="LXU77" s="548"/>
      <c r="LXV77" s="452"/>
      <c r="LXW77" s="596"/>
      <c r="LXX77" s="548"/>
      <c r="LXY77" s="548"/>
      <c r="LXZ77" s="548"/>
      <c r="LYA77" s="548"/>
      <c r="LYB77" s="548"/>
      <c r="LYC77" s="452"/>
      <c r="LYD77" s="596"/>
      <c r="LYE77" s="548"/>
      <c r="LYF77" s="548"/>
      <c r="LYG77" s="548"/>
      <c r="LYH77" s="548"/>
      <c r="LYI77" s="548"/>
      <c r="LYJ77" s="452"/>
      <c r="LYK77" s="596"/>
      <c r="LYL77" s="548"/>
      <c r="LYM77" s="548"/>
      <c r="LYN77" s="548"/>
      <c r="LYO77" s="548"/>
      <c r="LYP77" s="548"/>
      <c r="LYQ77" s="452"/>
      <c r="LYR77" s="596"/>
      <c r="LYS77" s="548"/>
      <c r="LYT77" s="548"/>
      <c r="LYU77" s="548"/>
      <c r="LYV77" s="548"/>
      <c r="LYW77" s="548"/>
      <c r="LYX77" s="452"/>
      <c r="LYY77" s="596"/>
      <c r="LYZ77" s="548"/>
      <c r="LZA77" s="548"/>
      <c r="LZB77" s="548"/>
      <c r="LZC77" s="548"/>
      <c r="LZD77" s="548"/>
      <c r="LZE77" s="452"/>
      <c r="LZF77" s="596"/>
      <c r="LZG77" s="548"/>
      <c r="LZH77" s="548"/>
      <c r="LZI77" s="548"/>
      <c r="LZJ77" s="548"/>
      <c r="LZK77" s="548"/>
      <c r="LZL77" s="452"/>
      <c r="LZM77" s="596"/>
      <c r="LZN77" s="548"/>
      <c r="LZO77" s="548"/>
      <c r="LZP77" s="548"/>
      <c r="LZQ77" s="548"/>
      <c r="LZR77" s="548"/>
      <c r="LZS77" s="452"/>
      <c r="LZT77" s="596"/>
      <c r="LZU77" s="548"/>
      <c r="LZV77" s="548"/>
      <c r="LZW77" s="548"/>
      <c r="LZX77" s="548"/>
      <c r="LZY77" s="548"/>
      <c r="LZZ77" s="452"/>
      <c r="MAA77" s="596"/>
      <c r="MAB77" s="548"/>
      <c r="MAC77" s="548"/>
      <c r="MAD77" s="548"/>
      <c r="MAE77" s="548"/>
      <c r="MAF77" s="548"/>
      <c r="MAG77" s="452"/>
      <c r="MAH77" s="596"/>
      <c r="MAI77" s="548"/>
      <c r="MAJ77" s="548"/>
      <c r="MAK77" s="548"/>
      <c r="MAL77" s="548"/>
      <c r="MAM77" s="548"/>
      <c r="MAN77" s="452"/>
      <c r="MAO77" s="596"/>
      <c r="MAP77" s="548"/>
      <c r="MAQ77" s="548"/>
      <c r="MAR77" s="548"/>
      <c r="MAS77" s="548"/>
      <c r="MAT77" s="548"/>
      <c r="MAU77" s="452"/>
      <c r="MAV77" s="596"/>
      <c r="MAW77" s="548"/>
      <c r="MAX77" s="548"/>
      <c r="MAY77" s="548"/>
      <c r="MAZ77" s="548"/>
      <c r="MBA77" s="548"/>
      <c r="MBB77" s="452"/>
      <c r="MBC77" s="596"/>
      <c r="MBD77" s="548"/>
      <c r="MBE77" s="548"/>
      <c r="MBF77" s="548"/>
      <c r="MBG77" s="548"/>
      <c r="MBH77" s="548"/>
      <c r="MBI77" s="452"/>
      <c r="MBJ77" s="596"/>
      <c r="MBK77" s="548"/>
      <c r="MBL77" s="548"/>
      <c r="MBM77" s="548"/>
      <c r="MBN77" s="548"/>
      <c r="MBO77" s="548"/>
      <c r="MBP77" s="452"/>
      <c r="MBQ77" s="596"/>
      <c r="MBR77" s="548"/>
      <c r="MBS77" s="548"/>
      <c r="MBT77" s="548"/>
      <c r="MBU77" s="548"/>
      <c r="MBV77" s="548"/>
      <c r="MBW77" s="452"/>
      <c r="MBX77" s="596"/>
      <c r="MBY77" s="548"/>
      <c r="MBZ77" s="548"/>
      <c r="MCA77" s="548"/>
      <c r="MCB77" s="548"/>
      <c r="MCC77" s="548"/>
      <c r="MCD77" s="452"/>
      <c r="MCE77" s="596"/>
      <c r="MCF77" s="548"/>
      <c r="MCG77" s="548"/>
      <c r="MCH77" s="548"/>
      <c r="MCI77" s="548"/>
      <c r="MCJ77" s="548"/>
      <c r="MCK77" s="452"/>
      <c r="MCL77" s="596"/>
      <c r="MCM77" s="548"/>
      <c r="MCN77" s="548"/>
      <c r="MCO77" s="548"/>
      <c r="MCP77" s="548"/>
      <c r="MCQ77" s="548"/>
      <c r="MCR77" s="452"/>
      <c r="MCS77" s="596"/>
      <c r="MCT77" s="548"/>
      <c r="MCU77" s="548"/>
      <c r="MCV77" s="548"/>
      <c r="MCW77" s="548"/>
      <c r="MCX77" s="548"/>
      <c r="MCY77" s="452"/>
      <c r="MCZ77" s="596"/>
      <c r="MDA77" s="548"/>
      <c r="MDB77" s="548"/>
      <c r="MDC77" s="548"/>
      <c r="MDD77" s="548"/>
      <c r="MDE77" s="548"/>
      <c r="MDF77" s="452"/>
      <c r="MDG77" s="596"/>
      <c r="MDH77" s="548"/>
      <c r="MDI77" s="548"/>
      <c r="MDJ77" s="548"/>
      <c r="MDK77" s="548"/>
      <c r="MDL77" s="548"/>
      <c r="MDM77" s="452"/>
      <c r="MDN77" s="596"/>
      <c r="MDO77" s="548"/>
      <c r="MDP77" s="548"/>
      <c r="MDQ77" s="548"/>
      <c r="MDR77" s="548"/>
      <c r="MDS77" s="548"/>
      <c r="MDT77" s="452"/>
      <c r="MDU77" s="596"/>
      <c r="MDV77" s="548"/>
      <c r="MDW77" s="548"/>
      <c r="MDX77" s="548"/>
      <c r="MDY77" s="548"/>
      <c r="MDZ77" s="548"/>
      <c r="MEA77" s="452"/>
      <c r="MEB77" s="596"/>
      <c r="MEC77" s="548"/>
      <c r="MED77" s="548"/>
      <c r="MEE77" s="548"/>
      <c r="MEF77" s="548"/>
      <c r="MEG77" s="548"/>
      <c r="MEH77" s="452"/>
      <c r="MEI77" s="596"/>
      <c r="MEJ77" s="548"/>
      <c r="MEK77" s="548"/>
      <c r="MEL77" s="548"/>
      <c r="MEM77" s="548"/>
      <c r="MEN77" s="548"/>
      <c r="MEO77" s="452"/>
      <c r="MEP77" s="596"/>
      <c r="MEQ77" s="548"/>
      <c r="MER77" s="548"/>
      <c r="MES77" s="548"/>
      <c r="MET77" s="548"/>
      <c r="MEU77" s="548"/>
      <c r="MEV77" s="452"/>
      <c r="MEW77" s="596"/>
      <c r="MEX77" s="548"/>
      <c r="MEY77" s="548"/>
      <c r="MEZ77" s="548"/>
      <c r="MFA77" s="548"/>
      <c r="MFB77" s="548"/>
      <c r="MFC77" s="452"/>
      <c r="MFD77" s="596"/>
      <c r="MFE77" s="548"/>
      <c r="MFF77" s="548"/>
      <c r="MFG77" s="548"/>
      <c r="MFH77" s="548"/>
      <c r="MFI77" s="548"/>
      <c r="MFJ77" s="452"/>
      <c r="MFK77" s="596"/>
      <c r="MFL77" s="548"/>
      <c r="MFM77" s="548"/>
      <c r="MFN77" s="548"/>
      <c r="MFO77" s="548"/>
      <c r="MFP77" s="548"/>
      <c r="MFQ77" s="452"/>
      <c r="MFR77" s="596"/>
      <c r="MFS77" s="548"/>
      <c r="MFT77" s="548"/>
      <c r="MFU77" s="548"/>
      <c r="MFV77" s="548"/>
      <c r="MFW77" s="548"/>
      <c r="MFX77" s="452"/>
      <c r="MFY77" s="596"/>
      <c r="MFZ77" s="548"/>
      <c r="MGA77" s="548"/>
      <c r="MGB77" s="548"/>
      <c r="MGC77" s="548"/>
      <c r="MGD77" s="548"/>
      <c r="MGE77" s="452"/>
      <c r="MGF77" s="596"/>
      <c r="MGG77" s="548"/>
      <c r="MGH77" s="548"/>
      <c r="MGI77" s="548"/>
      <c r="MGJ77" s="548"/>
      <c r="MGK77" s="548"/>
      <c r="MGL77" s="452"/>
      <c r="MGM77" s="596"/>
      <c r="MGN77" s="548"/>
      <c r="MGO77" s="548"/>
      <c r="MGP77" s="548"/>
      <c r="MGQ77" s="548"/>
      <c r="MGR77" s="548"/>
      <c r="MGS77" s="452"/>
      <c r="MGT77" s="596"/>
      <c r="MGU77" s="548"/>
      <c r="MGV77" s="548"/>
      <c r="MGW77" s="548"/>
      <c r="MGX77" s="548"/>
      <c r="MGY77" s="548"/>
      <c r="MGZ77" s="452"/>
      <c r="MHA77" s="596"/>
      <c r="MHB77" s="548"/>
      <c r="MHC77" s="548"/>
      <c r="MHD77" s="548"/>
      <c r="MHE77" s="548"/>
      <c r="MHF77" s="548"/>
      <c r="MHG77" s="452"/>
      <c r="MHH77" s="596"/>
      <c r="MHI77" s="548"/>
      <c r="MHJ77" s="548"/>
      <c r="MHK77" s="548"/>
      <c r="MHL77" s="548"/>
      <c r="MHM77" s="548"/>
      <c r="MHN77" s="452"/>
      <c r="MHO77" s="596"/>
      <c r="MHP77" s="548"/>
      <c r="MHQ77" s="548"/>
      <c r="MHR77" s="548"/>
      <c r="MHS77" s="548"/>
      <c r="MHT77" s="548"/>
      <c r="MHU77" s="452"/>
      <c r="MHV77" s="596"/>
      <c r="MHW77" s="548"/>
      <c r="MHX77" s="548"/>
      <c r="MHY77" s="548"/>
      <c r="MHZ77" s="548"/>
      <c r="MIA77" s="548"/>
      <c r="MIB77" s="452"/>
      <c r="MIC77" s="596"/>
      <c r="MID77" s="548"/>
      <c r="MIE77" s="548"/>
      <c r="MIF77" s="548"/>
      <c r="MIG77" s="548"/>
      <c r="MIH77" s="548"/>
      <c r="MII77" s="452"/>
      <c r="MIJ77" s="596"/>
      <c r="MIK77" s="548"/>
      <c r="MIL77" s="548"/>
      <c r="MIM77" s="548"/>
      <c r="MIN77" s="548"/>
      <c r="MIO77" s="548"/>
      <c r="MIP77" s="452"/>
      <c r="MIQ77" s="596"/>
      <c r="MIR77" s="548"/>
      <c r="MIS77" s="548"/>
      <c r="MIT77" s="548"/>
      <c r="MIU77" s="548"/>
      <c r="MIV77" s="548"/>
      <c r="MIW77" s="452"/>
      <c r="MIX77" s="596"/>
      <c r="MIY77" s="548"/>
      <c r="MIZ77" s="548"/>
      <c r="MJA77" s="548"/>
      <c r="MJB77" s="548"/>
      <c r="MJC77" s="548"/>
      <c r="MJD77" s="452"/>
      <c r="MJE77" s="596"/>
      <c r="MJF77" s="548"/>
      <c r="MJG77" s="548"/>
      <c r="MJH77" s="548"/>
      <c r="MJI77" s="548"/>
      <c r="MJJ77" s="548"/>
      <c r="MJK77" s="452"/>
      <c r="MJL77" s="596"/>
      <c r="MJM77" s="548"/>
      <c r="MJN77" s="548"/>
      <c r="MJO77" s="548"/>
      <c r="MJP77" s="548"/>
      <c r="MJQ77" s="548"/>
      <c r="MJR77" s="452"/>
      <c r="MJS77" s="596"/>
      <c r="MJT77" s="548"/>
      <c r="MJU77" s="548"/>
      <c r="MJV77" s="548"/>
      <c r="MJW77" s="548"/>
      <c r="MJX77" s="548"/>
      <c r="MJY77" s="452"/>
      <c r="MJZ77" s="596"/>
      <c r="MKA77" s="548"/>
      <c r="MKB77" s="548"/>
      <c r="MKC77" s="548"/>
      <c r="MKD77" s="548"/>
      <c r="MKE77" s="548"/>
      <c r="MKF77" s="452"/>
      <c r="MKG77" s="596"/>
      <c r="MKH77" s="548"/>
      <c r="MKI77" s="548"/>
      <c r="MKJ77" s="548"/>
      <c r="MKK77" s="548"/>
      <c r="MKL77" s="548"/>
      <c r="MKM77" s="452"/>
      <c r="MKN77" s="596"/>
      <c r="MKO77" s="548"/>
      <c r="MKP77" s="548"/>
      <c r="MKQ77" s="548"/>
      <c r="MKR77" s="548"/>
      <c r="MKS77" s="548"/>
      <c r="MKT77" s="452"/>
      <c r="MKU77" s="596"/>
      <c r="MKV77" s="548"/>
      <c r="MKW77" s="548"/>
      <c r="MKX77" s="548"/>
      <c r="MKY77" s="548"/>
      <c r="MKZ77" s="548"/>
      <c r="MLA77" s="452"/>
      <c r="MLB77" s="596"/>
      <c r="MLC77" s="548"/>
      <c r="MLD77" s="548"/>
      <c r="MLE77" s="548"/>
      <c r="MLF77" s="548"/>
      <c r="MLG77" s="548"/>
      <c r="MLH77" s="452"/>
      <c r="MLI77" s="596"/>
      <c r="MLJ77" s="548"/>
      <c r="MLK77" s="548"/>
      <c r="MLL77" s="548"/>
      <c r="MLM77" s="548"/>
      <c r="MLN77" s="548"/>
      <c r="MLO77" s="452"/>
      <c r="MLP77" s="596"/>
      <c r="MLQ77" s="548"/>
      <c r="MLR77" s="548"/>
      <c r="MLS77" s="548"/>
      <c r="MLT77" s="548"/>
      <c r="MLU77" s="548"/>
      <c r="MLV77" s="452"/>
      <c r="MLW77" s="596"/>
      <c r="MLX77" s="548"/>
      <c r="MLY77" s="548"/>
      <c r="MLZ77" s="548"/>
      <c r="MMA77" s="548"/>
      <c r="MMB77" s="548"/>
      <c r="MMC77" s="452"/>
      <c r="MMD77" s="596"/>
      <c r="MME77" s="548"/>
      <c r="MMF77" s="548"/>
      <c r="MMG77" s="548"/>
      <c r="MMH77" s="548"/>
      <c r="MMI77" s="548"/>
      <c r="MMJ77" s="452"/>
      <c r="MMK77" s="596"/>
      <c r="MML77" s="548"/>
      <c r="MMM77" s="548"/>
      <c r="MMN77" s="548"/>
      <c r="MMO77" s="548"/>
      <c r="MMP77" s="548"/>
      <c r="MMQ77" s="452"/>
      <c r="MMR77" s="596"/>
      <c r="MMS77" s="548"/>
      <c r="MMT77" s="548"/>
      <c r="MMU77" s="548"/>
      <c r="MMV77" s="548"/>
      <c r="MMW77" s="548"/>
      <c r="MMX77" s="452"/>
      <c r="MMY77" s="596"/>
      <c r="MMZ77" s="548"/>
      <c r="MNA77" s="548"/>
      <c r="MNB77" s="548"/>
      <c r="MNC77" s="548"/>
      <c r="MND77" s="548"/>
      <c r="MNE77" s="452"/>
      <c r="MNF77" s="596"/>
      <c r="MNG77" s="548"/>
      <c r="MNH77" s="548"/>
      <c r="MNI77" s="548"/>
      <c r="MNJ77" s="548"/>
      <c r="MNK77" s="548"/>
      <c r="MNL77" s="452"/>
      <c r="MNM77" s="596"/>
      <c r="MNN77" s="548"/>
      <c r="MNO77" s="548"/>
      <c r="MNP77" s="548"/>
      <c r="MNQ77" s="548"/>
      <c r="MNR77" s="548"/>
      <c r="MNS77" s="452"/>
      <c r="MNT77" s="596"/>
      <c r="MNU77" s="548"/>
      <c r="MNV77" s="548"/>
      <c r="MNW77" s="548"/>
      <c r="MNX77" s="548"/>
      <c r="MNY77" s="548"/>
      <c r="MNZ77" s="452"/>
      <c r="MOA77" s="596"/>
      <c r="MOB77" s="548"/>
      <c r="MOC77" s="548"/>
      <c r="MOD77" s="548"/>
      <c r="MOE77" s="548"/>
      <c r="MOF77" s="548"/>
      <c r="MOG77" s="452"/>
      <c r="MOH77" s="596"/>
      <c r="MOI77" s="548"/>
      <c r="MOJ77" s="548"/>
      <c r="MOK77" s="548"/>
      <c r="MOL77" s="548"/>
      <c r="MOM77" s="548"/>
      <c r="MON77" s="452"/>
      <c r="MOO77" s="596"/>
      <c r="MOP77" s="548"/>
      <c r="MOQ77" s="548"/>
      <c r="MOR77" s="548"/>
      <c r="MOS77" s="548"/>
      <c r="MOT77" s="548"/>
      <c r="MOU77" s="452"/>
      <c r="MOV77" s="596"/>
      <c r="MOW77" s="548"/>
      <c r="MOX77" s="548"/>
      <c r="MOY77" s="548"/>
      <c r="MOZ77" s="548"/>
      <c r="MPA77" s="548"/>
      <c r="MPB77" s="452"/>
      <c r="MPC77" s="596"/>
      <c r="MPD77" s="548"/>
      <c r="MPE77" s="548"/>
      <c r="MPF77" s="548"/>
      <c r="MPG77" s="548"/>
      <c r="MPH77" s="548"/>
      <c r="MPI77" s="452"/>
      <c r="MPJ77" s="596"/>
      <c r="MPK77" s="548"/>
      <c r="MPL77" s="548"/>
      <c r="MPM77" s="548"/>
      <c r="MPN77" s="548"/>
      <c r="MPO77" s="548"/>
      <c r="MPP77" s="452"/>
      <c r="MPQ77" s="596"/>
      <c r="MPR77" s="548"/>
      <c r="MPS77" s="548"/>
      <c r="MPT77" s="548"/>
      <c r="MPU77" s="548"/>
      <c r="MPV77" s="548"/>
      <c r="MPW77" s="452"/>
      <c r="MPX77" s="596"/>
      <c r="MPY77" s="548"/>
      <c r="MPZ77" s="548"/>
      <c r="MQA77" s="548"/>
      <c r="MQB77" s="548"/>
      <c r="MQC77" s="548"/>
      <c r="MQD77" s="452"/>
      <c r="MQE77" s="596"/>
      <c r="MQF77" s="548"/>
      <c r="MQG77" s="548"/>
      <c r="MQH77" s="548"/>
      <c r="MQI77" s="548"/>
      <c r="MQJ77" s="548"/>
      <c r="MQK77" s="452"/>
      <c r="MQL77" s="596"/>
      <c r="MQM77" s="548"/>
      <c r="MQN77" s="548"/>
      <c r="MQO77" s="548"/>
      <c r="MQP77" s="548"/>
      <c r="MQQ77" s="548"/>
      <c r="MQR77" s="452"/>
      <c r="MQS77" s="596"/>
      <c r="MQT77" s="548"/>
      <c r="MQU77" s="548"/>
      <c r="MQV77" s="548"/>
      <c r="MQW77" s="548"/>
      <c r="MQX77" s="548"/>
      <c r="MQY77" s="452"/>
      <c r="MQZ77" s="596"/>
      <c r="MRA77" s="548"/>
      <c r="MRB77" s="548"/>
      <c r="MRC77" s="548"/>
      <c r="MRD77" s="548"/>
      <c r="MRE77" s="548"/>
      <c r="MRF77" s="452"/>
      <c r="MRG77" s="596"/>
      <c r="MRH77" s="548"/>
      <c r="MRI77" s="548"/>
      <c r="MRJ77" s="548"/>
      <c r="MRK77" s="548"/>
      <c r="MRL77" s="548"/>
      <c r="MRM77" s="452"/>
      <c r="MRN77" s="596"/>
      <c r="MRO77" s="548"/>
      <c r="MRP77" s="548"/>
      <c r="MRQ77" s="548"/>
      <c r="MRR77" s="548"/>
      <c r="MRS77" s="548"/>
      <c r="MRT77" s="452"/>
      <c r="MRU77" s="596"/>
      <c r="MRV77" s="548"/>
      <c r="MRW77" s="548"/>
      <c r="MRX77" s="548"/>
      <c r="MRY77" s="548"/>
      <c r="MRZ77" s="548"/>
      <c r="MSA77" s="452"/>
      <c r="MSB77" s="596"/>
      <c r="MSC77" s="548"/>
      <c r="MSD77" s="548"/>
      <c r="MSE77" s="548"/>
      <c r="MSF77" s="548"/>
      <c r="MSG77" s="548"/>
      <c r="MSH77" s="452"/>
      <c r="MSI77" s="596"/>
      <c r="MSJ77" s="548"/>
      <c r="MSK77" s="548"/>
      <c r="MSL77" s="548"/>
      <c r="MSM77" s="548"/>
      <c r="MSN77" s="548"/>
      <c r="MSO77" s="452"/>
      <c r="MSP77" s="596"/>
      <c r="MSQ77" s="548"/>
      <c r="MSR77" s="548"/>
      <c r="MSS77" s="548"/>
      <c r="MST77" s="548"/>
      <c r="MSU77" s="548"/>
      <c r="MSV77" s="452"/>
      <c r="MSW77" s="596"/>
      <c r="MSX77" s="548"/>
      <c r="MSY77" s="548"/>
      <c r="MSZ77" s="548"/>
      <c r="MTA77" s="548"/>
      <c r="MTB77" s="548"/>
      <c r="MTC77" s="452"/>
      <c r="MTD77" s="596"/>
      <c r="MTE77" s="548"/>
      <c r="MTF77" s="548"/>
      <c r="MTG77" s="548"/>
      <c r="MTH77" s="548"/>
      <c r="MTI77" s="548"/>
      <c r="MTJ77" s="452"/>
      <c r="MTK77" s="596"/>
      <c r="MTL77" s="548"/>
      <c r="MTM77" s="548"/>
      <c r="MTN77" s="548"/>
      <c r="MTO77" s="548"/>
      <c r="MTP77" s="548"/>
      <c r="MTQ77" s="452"/>
      <c r="MTR77" s="596"/>
      <c r="MTS77" s="548"/>
      <c r="MTT77" s="548"/>
      <c r="MTU77" s="548"/>
      <c r="MTV77" s="548"/>
      <c r="MTW77" s="548"/>
      <c r="MTX77" s="452"/>
      <c r="MTY77" s="596"/>
      <c r="MTZ77" s="548"/>
      <c r="MUA77" s="548"/>
      <c r="MUB77" s="548"/>
      <c r="MUC77" s="548"/>
      <c r="MUD77" s="548"/>
      <c r="MUE77" s="452"/>
      <c r="MUF77" s="596"/>
      <c r="MUG77" s="548"/>
      <c r="MUH77" s="548"/>
      <c r="MUI77" s="548"/>
      <c r="MUJ77" s="548"/>
      <c r="MUK77" s="548"/>
      <c r="MUL77" s="452"/>
      <c r="MUM77" s="596"/>
      <c r="MUN77" s="548"/>
      <c r="MUO77" s="548"/>
      <c r="MUP77" s="548"/>
      <c r="MUQ77" s="548"/>
      <c r="MUR77" s="548"/>
      <c r="MUS77" s="452"/>
      <c r="MUT77" s="596"/>
      <c r="MUU77" s="548"/>
      <c r="MUV77" s="548"/>
      <c r="MUW77" s="548"/>
      <c r="MUX77" s="548"/>
      <c r="MUY77" s="548"/>
      <c r="MUZ77" s="452"/>
      <c r="MVA77" s="596"/>
      <c r="MVB77" s="548"/>
      <c r="MVC77" s="548"/>
      <c r="MVD77" s="548"/>
      <c r="MVE77" s="548"/>
      <c r="MVF77" s="548"/>
      <c r="MVG77" s="452"/>
      <c r="MVH77" s="596"/>
      <c r="MVI77" s="548"/>
      <c r="MVJ77" s="548"/>
      <c r="MVK77" s="548"/>
      <c r="MVL77" s="548"/>
      <c r="MVM77" s="548"/>
      <c r="MVN77" s="452"/>
      <c r="MVO77" s="596"/>
      <c r="MVP77" s="548"/>
      <c r="MVQ77" s="548"/>
      <c r="MVR77" s="548"/>
      <c r="MVS77" s="548"/>
      <c r="MVT77" s="548"/>
      <c r="MVU77" s="452"/>
      <c r="MVV77" s="596"/>
      <c r="MVW77" s="548"/>
      <c r="MVX77" s="548"/>
      <c r="MVY77" s="548"/>
      <c r="MVZ77" s="548"/>
      <c r="MWA77" s="548"/>
      <c r="MWB77" s="452"/>
      <c r="MWC77" s="596"/>
      <c r="MWD77" s="548"/>
      <c r="MWE77" s="548"/>
      <c r="MWF77" s="548"/>
      <c r="MWG77" s="548"/>
      <c r="MWH77" s="548"/>
      <c r="MWI77" s="452"/>
      <c r="MWJ77" s="596"/>
      <c r="MWK77" s="548"/>
      <c r="MWL77" s="548"/>
      <c r="MWM77" s="548"/>
      <c r="MWN77" s="548"/>
      <c r="MWO77" s="548"/>
      <c r="MWP77" s="452"/>
      <c r="MWQ77" s="596"/>
      <c r="MWR77" s="548"/>
      <c r="MWS77" s="548"/>
      <c r="MWT77" s="548"/>
      <c r="MWU77" s="548"/>
      <c r="MWV77" s="548"/>
      <c r="MWW77" s="452"/>
      <c r="MWX77" s="596"/>
      <c r="MWY77" s="548"/>
      <c r="MWZ77" s="548"/>
      <c r="MXA77" s="548"/>
      <c r="MXB77" s="548"/>
      <c r="MXC77" s="548"/>
      <c r="MXD77" s="452"/>
      <c r="MXE77" s="596"/>
      <c r="MXF77" s="548"/>
      <c r="MXG77" s="548"/>
      <c r="MXH77" s="548"/>
      <c r="MXI77" s="548"/>
      <c r="MXJ77" s="548"/>
      <c r="MXK77" s="452"/>
      <c r="MXL77" s="596"/>
      <c r="MXM77" s="548"/>
      <c r="MXN77" s="548"/>
      <c r="MXO77" s="548"/>
      <c r="MXP77" s="548"/>
      <c r="MXQ77" s="548"/>
      <c r="MXR77" s="452"/>
      <c r="MXS77" s="596"/>
      <c r="MXT77" s="548"/>
      <c r="MXU77" s="548"/>
      <c r="MXV77" s="548"/>
      <c r="MXW77" s="548"/>
      <c r="MXX77" s="548"/>
      <c r="MXY77" s="452"/>
      <c r="MXZ77" s="596"/>
      <c r="MYA77" s="548"/>
      <c r="MYB77" s="548"/>
      <c r="MYC77" s="548"/>
      <c r="MYD77" s="548"/>
      <c r="MYE77" s="548"/>
      <c r="MYF77" s="452"/>
      <c r="MYG77" s="596"/>
      <c r="MYH77" s="548"/>
      <c r="MYI77" s="548"/>
      <c r="MYJ77" s="548"/>
      <c r="MYK77" s="548"/>
      <c r="MYL77" s="548"/>
      <c r="MYM77" s="452"/>
      <c r="MYN77" s="596"/>
      <c r="MYO77" s="548"/>
      <c r="MYP77" s="548"/>
      <c r="MYQ77" s="548"/>
      <c r="MYR77" s="548"/>
      <c r="MYS77" s="548"/>
      <c r="MYT77" s="452"/>
      <c r="MYU77" s="596"/>
      <c r="MYV77" s="548"/>
      <c r="MYW77" s="548"/>
      <c r="MYX77" s="548"/>
      <c r="MYY77" s="548"/>
      <c r="MYZ77" s="548"/>
      <c r="MZA77" s="452"/>
      <c r="MZB77" s="596"/>
      <c r="MZC77" s="548"/>
      <c r="MZD77" s="548"/>
      <c r="MZE77" s="548"/>
      <c r="MZF77" s="548"/>
      <c r="MZG77" s="548"/>
      <c r="MZH77" s="452"/>
      <c r="MZI77" s="596"/>
      <c r="MZJ77" s="548"/>
      <c r="MZK77" s="548"/>
      <c r="MZL77" s="548"/>
      <c r="MZM77" s="548"/>
      <c r="MZN77" s="548"/>
      <c r="MZO77" s="452"/>
      <c r="MZP77" s="596"/>
      <c r="MZQ77" s="548"/>
      <c r="MZR77" s="548"/>
      <c r="MZS77" s="548"/>
      <c r="MZT77" s="548"/>
      <c r="MZU77" s="548"/>
      <c r="MZV77" s="452"/>
      <c r="MZW77" s="596"/>
      <c r="MZX77" s="548"/>
      <c r="MZY77" s="548"/>
      <c r="MZZ77" s="548"/>
      <c r="NAA77" s="548"/>
      <c r="NAB77" s="548"/>
      <c r="NAC77" s="452"/>
      <c r="NAD77" s="596"/>
      <c r="NAE77" s="548"/>
      <c r="NAF77" s="548"/>
      <c r="NAG77" s="548"/>
      <c r="NAH77" s="548"/>
      <c r="NAI77" s="548"/>
      <c r="NAJ77" s="452"/>
      <c r="NAK77" s="596"/>
      <c r="NAL77" s="548"/>
      <c r="NAM77" s="548"/>
      <c r="NAN77" s="548"/>
      <c r="NAO77" s="548"/>
      <c r="NAP77" s="548"/>
      <c r="NAQ77" s="452"/>
      <c r="NAR77" s="596"/>
      <c r="NAS77" s="548"/>
      <c r="NAT77" s="548"/>
      <c r="NAU77" s="548"/>
      <c r="NAV77" s="548"/>
      <c r="NAW77" s="548"/>
      <c r="NAX77" s="452"/>
      <c r="NAY77" s="596"/>
      <c r="NAZ77" s="548"/>
      <c r="NBA77" s="548"/>
      <c r="NBB77" s="548"/>
      <c r="NBC77" s="548"/>
      <c r="NBD77" s="548"/>
      <c r="NBE77" s="452"/>
      <c r="NBF77" s="596"/>
      <c r="NBG77" s="548"/>
      <c r="NBH77" s="548"/>
      <c r="NBI77" s="548"/>
      <c r="NBJ77" s="548"/>
      <c r="NBK77" s="548"/>
      <c r="NBL77" s="452"/>
      <c r="NBM77" s="596"/>
      <c r="NBN77" s="548"/>
      <c r="NBO77" s="548"/>
      <c r="NBP77" s="548"/>
      <c r="NBQ77" s="548"/>
      <c r="NBR77" s="548"/>
      <c r="NBS77" s="452"/>
      <c r="NBT77" s="596"/>
      <c r="NBU77" s="548"/>
      <c r="NBV77" s="548"/>
      <c r="NBW77" s="548"/>
      <c r="NBX77" s="548"/>
      <c r="NBY77" s="548"/>
      <c r="NBZ77" s="452"/>
      <c r="NCA77" s="596"/>
      <c r="NCB77" s="548"/>
      <c r="NCC77" s="548"/>
      <c r="NCD77" s="548"/>
      <c r="NCE77" s="548"/>
      <c r="NCF77" s="548"/>
      <c r="NCG77" s="452"/>
      <c r="NCH77" s="596"/>
      <c r="NCI77" s="548"/>
      <c r="NCJ77" s="548"/>
      <c r="NCK77" s="548"/>
      <c r="NCL77" s="548"/>
      <c r="NCM77" s="548"/>
      <c r="NCN77" s="452"/>
      <c r="NCO77" s="596"/>
      <c r="NCP77" s="548"/>
      <c r="NCQ77" s="548"/>
      <c r="NCR77" s="548"/>
      <c r="NCS77" s="548"/>
      <c r="NCT77" s="548"/>
      <c r="NCU77" s="452"/>
      <c r="NCV77" s="596"/>
      <c r="NCW77" s="548"/>
      <c r="NCX77" s="548"/>
      <c r="NCY77" s="548"/>
      <c r="NCZ77" s="548"/>
      <c r="NDA77" s="548"/>
      <c r="NDB77" s="452"/>
      <c r="NDC77" s="596"/>
      <c r="NDD77" s="548"/>
      <c r="NDE77" s="548"/>
      <c r="NDF77" s="548"/>
      <c r="NDG77" s="548"/>
      <c r="NDH77" s="548"/>
      <c r="NDI77" s="452"/>
      <c r="NDJ77" s="596"/>
      <c r="NDK77" s="548"/>
      <c r="NDL77" s="548"/>
      <c r="NDM77" s="548"/>
      <c r="NDN77" s="548"/>
      <c r="NDO77" s="548"/>
      <c r="NDP77" s="452"/>
      <c r="NDQ77" s="596"/>
      <c r="NDR77" s="548"/>
      <c r="NDS77" s="548"/>
      <c r="NDT77" s="548"/>
      <c r="NDU77" s="548"/>
      <c r="NDV77" s="548"/>
      <c r="NDW77" s="452"/>
      <c r="NDX77" s="596"/>
      <c r="NDY77" s="548"/>
      <c r="NDZ77" s="548"/>
      <c r="NEA77" s="548"/>
      <c r="NEB77" s="548"/>
      <c r="NEC77" s="548"/>
      <c r="NED77" s="452"/>
      <c r="NEE77" s="596"/>
      <c r="NEF77" s="548"/>
      <c r="NEG77" s="548"/>
      <c r="NEH77" s="548"/>
      <c r="NEI77" s="548"/>
      <c r="NEJ77" s="548"/>
      <c r="NEK77" s="452"/>
      <c r="NEL77" s="596"/>
      <c r="NEM77" s="548"/>
      <c r="NEN77" s="548"/>
      <c r="NEO77" s="548"/>
      <c r="NEP77" s="548"/>
      <c r="NEQ77" s="548"/>
      <c r="NER77" s="452"/>
      <c r="NES77" s="596"/>
      <c r="NET77" s="548"/>
      <c r="NEU77" s="548"/>
      <c r="NEV77" s="548"/>
      <c r="NEW77" s="548"/>
      <c r="NEX77" s="548"/>
      <c r="NEY77" s="452"/>
      <c r="NEZ77" s="596"/>
      <c r="NFA77" s="548"/>
      <c r="NFB77" s="548"/>
      <c r="NFC77" s="548"/>
      <c r="NFD77" s="548"/>
      <c r="NFE77" s="548"/>
      <c r="NFF77" s="452"/>
      <c r="NFG77" s="596"/>
      <c r="NFH77" s="548"/>
      <c r="NFI77" s="548"/>
      <c r="NFJ77" s="548"/>
      <c r="NFK77" s="548"/>
      <c r="NFL77" s="548"/>
      <c r="NFM77" s="452"/>
      <c r="NFN77" s="596"/>
      <c r="NFO77" s="548"/>
      <c r="NFP77" s="548"/>
      <c r="NFQ77" s="548"/>
      <c r="NFR77" s="548"/>
      <c r="NFS77" s="548"/>
      <c r="NFT77" s="452"/>
      <c r="NFU77" s="596"/>
      <c r="NFV77" s="548"/>
      <c r="NFW77" s="548"/>
      <c r="NFX77" s="548"/>
      <c r="NFY77" s="548"/>
      <c r="NFZ77" s="548"/>
      <c r="NGA77" s="452"/>
      <c r="NGB77" s="596"/>
      <c r="NGC77" s="548"/>
      <c r="NGD77" s="548"/>
      <c r="NGE77" s="548"/>
      <c r="NGF77" s="548"/>
      <c r="NGG77" s="548"/>
      <c r="NGH77" s="452"/>
      <c r="NGI77" s="596"/>
      <c r="NGJ77" s="548"/>
      <c r="NGK77" s="548"/>
      <c r="NGL77" s="548"/>
      <c r="NGM77" s="548"/>
      <c r="NGN77" s="548"/>
      <c r="NGO77" s="452"/>
      <c r="NGP77" s="596"/>
      <c r="NGQ77" s="548"/>
      <c r="NGR77" s="548"/>
      <c r="NGS77" s="548"/>
      <c r="NGT77" s="548"/>
      <c r="NGU77" s="548"/>
      <c r="NGV77" s="452"/>
      <c r="NGW77" s="596"/>
      <c r="NGX77" s="548"/>
      <c r="NGY77" s="548"/>
      <c r="NGZ77" s="548"/>
      <c r="NHA77" s="548"/>
      <c r="NHB77" s="548"/>
      <c r="NHC77" s="452"/>
      <c r="NHD77" s="596"/>
      <c r="NHE77" s="548"/>
      <c r="NHF77" s="548"/>
      <c r="NHG77" s="548"/>
      <c r="NHH77" s="548"/>
      <c r="NHI77" s="548"/>
      <c r="NHJ77" s="452"/>
      <c r="NHK77" s="596"/>
      <c r="NHL77" s="548"/>
      <c r="NHM77" s="548"/>
      <c r="NHN77" s="548"/>
      <c r="NHO77" s="548"/>
      <c r="NHP77" s="548"/>
      <c r="NHQ77" s="452"/>
      <c r="NHR77" s="596"/>
      <c r="NHS77" s="548"/>
      <c r="NHT77" s="548"/>
      <c r="NHU77" s="548"/>
      <c r="NHV77" s="548"/>
      <c r="NHW77" s="548"/>
      <c r="NHX77" s="452"/>
      <c r="NHY77" s="596"/>
      <c r="NHZ77" s="548"/>
      <c r="NIA77" s="548"/>
      <c r="NIB77" s="548"/>
      <c r="NIC77" s="548"/>
      <c r="NID77" s="548"/>
      <c r="NIE77" s="452"/>
      <c r="NIF77" s="596"/>
      <c r="NIG77" s="548"/>
      <c r="NIH77" s="548"/>
      <c r="NII77" s="548"/>
      <c r="NIJ77" s="548"/>
      <c r="NIK77" s="548"/>
      <c r="NIL77" s="452"/>
      <c r="NIM77" s="596"/>
      <c r="NIN77" s="548"/>
      <c r="NIO77" s="548"/>
      <c r="NIP77" s="548"/>
      <c r="NIQ77" s="548"/>
      <c r="NIR77" s="548"/>
      <c r="NIS77" s="452"/>
      <c r="NIT77" s="596"/>
      <c r="NIU77" s="548"/>
      <c r="NIV77" s="548"/>
      <c r="NIW77" s="548"/>
      <c r="NIX77" s="548"/>
      <c r="NIY77" s="548"/>
      <c r="NIZ77" s="452"/>
      <c r="NJA77" s="596"/>
      <c r="NJB77" s="548"/>
      <c r="NJC77" s="548"/>
      <c r="NJD77" s="548"/>
      <c r="NJE77" s="548"/>
      <c r="NJF77" s="548"/>
      <c r="NJG77" s="452"/>
      <c r="NJH77" s="596"/>
      <c r="NJI77" s="548"/>
      <c r="NJJ77" s="548"/>
      <c r="NJK77" s="548"/>
      <c r="NJL77" s="548"/>
      <c r="NJM77" s="548"/>
      <c r="NJN77" s="452"/>
      <c r="NJO77" s="596"/>
      <c r="NJP77" s="548"/>
      <c r="NJQ77" s="548"/>
      <c r="NJR77" s="548"/>
      <c r="NJS77" s="548"/>
      <c r="NJT77" s="548"/>
      <c r="NJU77" s="452"/>
      <c r="NJV77" s="596"/>
      <c r="NJW77" s="548"/>
      <c r="NJX77" s="548"/>
      <c r="NJY77" s="548"/>
      <c r="NJZ77" s="548"/>
      <c r="NKA77" s="548"/>
      <c r="NKB77" s="452"/>
      <c r="NKC77" s="596"/>
      <c r="NKD77" s="548"/>
      <c r="NKE77" s="548"/>
      <c r="NKF77" s="548"/>
      <c r="NKG77" s="548"/>
      <c r="NKH77" s="548"/>
      <c r="NKI77" s="452"/>
      <c r="NKJ77" s="596"/>
      <c r="NKK77" s="548"/>
      <c r="NKL77" s="548"/>
      <c r="NKM77" s="548"/>
      <c r="NKN77" s="548"/>
      <c r="NKO77" s="548"/>
      <c r="NKP77" s="452"/>
      <c r="NKQ77" s="596"/>
      <c r="NKR77" s="548"/>
      <c r="NKS77" s="548"/>
      <c r="NKT77" s="548"/>
      <c r="NKU77" s="548"/>
      <c r="NKV77" s="548"/>
      <c r="NKW77" s="452"/>
      <c r="NKX77" s="596"/>
      <c r="NKY77" s="548"/>
      <c r="NKZ77" s="548"/>
      <c r="NLA77" s="548"/>
      <c r="NLB77" s="548"/>
      <c r="NLC77" s="548"/>
      <c r="NLD77" s="452"/>
      <c r="NLE77" s="596"/>
      <c r="NLF77" s="548"/>
      <c r="NLG77" s="548"/>
      <c r="NLH77" s="548"/>
      <c r="NLI77" s="548"/>
      <c r="NLJ77" s="548"/>
      <c r="NLK77" s="452"/>
      <c r="NLL77" s="596"/>
      <c r="NLM77" s="548"/>
      <c r="NLN77" s="548"/>
      <c r="NLO77" s="548"/>
      <c r="NLP77" s="548"/>
      <c r="NLQ77" s="548"/>
      <c r="NLR77" s="452"/>
      <c r="NLS77" s="596"/>
      <c r="NLT77" s="548"/>
      <c r="NLU77" s="548"/>
      <c r="NLV77" s="548"/>
      <c r="NLW77" s="548"/>
      <c r="NLX77" s="548"/>
      <c r="NLY77" s="452"/>
      <c r="NLZ77" s="596"/>
      <c r="NMA77" s="548"/>
      <c r="NMB77" s="548"/>
      <c r="NMC77" s="548"/>
      <c r="NMD77" s="548"/>
      <c r="NME77" s="548"/>
      <c r="NMF77" s="452"/>
      <c r="NMG77" s="596"/>
      <c r="NMH77" s="548"/>
      <c r="NMI77" s="548"/>
      <c r="NMJ77" s="548"/>
      <c r="NMK77" s="548"/>
      <c r="NML77" s="548"/>
      <c r="NMM77" s="452"/>
      <c r="NMN77" s="596"/>
      <c r="NMO77" s="548"/>
      <c r="NMP77" s="548"/>
      <c r="NMQ77" s="548"/>
      <c r="NMR77" s="548"/>
      <c r="NMS77" s="548"/>
      <c r="NMT77" s="452"/>
      <c r="NMU77" s="596"/>
      <c r="NMV77" s="548"/>
      <c r="NMW77" s="548"/>
      <c r="NMX77" s="548"/>
      <c r="NMY77" s="548"/>
      <c r="NMZ77" s="548"/>
      <c r="NNA77" s="452"/>
      <c r="NNB77" s="596"/>
      <c r="NNC77" s="548"/>
      <c r="NND77" s="548"/>
      <c r="NNE77" s="548"/>
      <c r="NNF77" s="548"/>
      <c r="NNG77" s="548"/>
      <c r="NNH77" s="452"/>
      <c r="NNI77" s="596"/>
      <c r="NNJ77" s="548"/>
      <c r="NNK77" s="548"/>
      <c r="NNL77" s="548"/>
      <c r="NNM77" s="548"/>
      <c r="NNN77" s="548"/>
      <c r="NNO77" s="452"/>
      <c r="NNP77" s="596"/>
      <c r="NNQ77" s="548"/>
      <c r="NNR77" s="548"/>
      <c r="NNS77" s="548"/>
      <c r="NNT77" s="548"/>
      <c r="NNU77" s="548"/>
      <c r="NNV77" s="452"/>
      <c r="NNW77" s="596"/>
      <c r="NNX77" s="548"/>
      <c r="NNY77" s="548"/>
      <c r="NNZ77" s="548"/>
      <c r="NOA77" s="548"/>
      <c r="NOB77" s="548"/>
      <c r="NOC77" s="452"/>
      <c r="NOD77" s="596"/>
      <c r="NOE77" s="548"/>
      <c r="NOF77" s="548"/>
      <c r="NOG77" s="548"/>
      <c r="NOH77" s="548"/>
      <c r="NOI77" s="548"/>
      <c r="NOJ77" s="452"/>
      <c r="NOK77" s="596"/>
      <c r="NOL77" s="548"/>
      <c r="NOM77" s="548"/>
      <c r="NON77" s="548"/>
      <c r="NOO77" s="548"/>
      <c r="NOP77" s="548"/>
      <c r="NOQ77" s="452"/>
      <c r="NOR77" s="596"/>
      <c r="NOS77" s="548"/>
      <c r="NOT77" s="548"/>
      <c r="NOU77" s="548"/>
      <c r="NOV77" s="548"/>
      <c r="NOW77" s="548"/>
      <c r="NOX77" s="452"/>
      <c r="NOY77" s="596"/>
      <c r="NOZ77" s="548"/>
      <c r="NPA77" s="548"/>
      <c r="NPB77" s="548"/>
      <c r="NPC77" s="548"/>
      <c r="NPD77" s="548"/>
      <c r="NPE77" s="452"/>
      <c r="NPF77" s="596"/>
      <c r="NPG77" s="548"/>
      <c r="NPH77" s="548"/>
      <c r="NPI77" s="548"/>
      <c r="NPJ77" s="548"/>
      <c r="NPK77" s="548"/>
      <c r="NPL77" s="452"/>
      <c r="NPM77" s="596"/>
      <c r="NPN77" s="548"/>
      <c r="NPO77" s="548"/>
      <c r="NPP77" s="548"/>
      <c r="NPQ77" s="548"/>
      <c r="NPR77" s="548"/>
      <c r="NPS77" s="452"/>
      <c r="NPT77" s="596"/>
      <c r="NPU77" s="548"/>
      <c r="NPV77" s="548"/>
      <c r="NPW77" s="548"/>
      <c r="NPX77" s="548"/>
      <c r="NPY77" s="548"/>
      <c r="NPZ77" s="452"/>
      <c r="NQA77" s="596"/>
      <c r="NQB77" s="548"/>
      <c r="NQC77" s="548"/>
      <c r="NQD77" s="548"/>
      <c r="NQE77" s="548"/>
      <c r="NQF77" s="548"/>
      <c r="NQG77" s="452"/>
      <c r="NQH77" s="596"/>
      <c r="NQI77" s="548"/>
      <c r="NQJ77" s="548"/>
      <c r="NQK77" s="548"/>
      <c r="NQL77" s="548"/>
      <c r="NQM77" s="548"/>
      <c r="NQN77" s="452"/>
      <c r="NQO77" s="596"/>
      <c r="NQP77" s="548"/>
      <c r="NQQ77" s="548"/>
      <c r="NQR77" s="548"/>
      <c r="NQS77" s="548"/>
      <c r="NQT77" s="548"/>
      <c r="NQU77" s="452"/>
      <c r="NQV77" s="596"/>
      <c r="NQW77" s="548"/>
      <c r="NQX77" s="548"/>
      <c r="NQY77" s="548"/>
      <c r="NQZ77" s="548"/>
      <c r="NRA77" s="548"/>
      <c r="NRB77" s="452"/>
      <c r="NRC77" s="596"/>
      <c r="NRD77" s="548"/>
      <c r="NRE77" s="548"/>
      <c r="NRF77" s="548"/>
      <c r="NRG77" s="548"/>
      <c r="NRH77" s="548"/>
      <c r="NRI77" s="452"/>
      <c r="NRJ77" s="596"/>
      <c r="NRK77" s="548"/>
      <c r="NRL77" s="548"/>
      <c r="NRM77" s="548"/>
      <c r="NRN77" s="548"/>
      <c r="NRO77" s="548"/>
      <c r="NRP77" s="452"/>
      <c r="NRQ77" s="596"/>
      <c r="NRR77" s="548"/>
      <c r="NRS77" s="548"/>
      <c r="NRT77" s="548"/>
      <c r="NRU77" s="548"/>
      <c r="NRV77" s="548"/>
      <c r="NRW77" s="452"/>
      <c r="NRX77" s="596"/>
      <c r="NRY77" s="548"/>
      <c r="NRZ77" s="548"/>
      <c r="NSA77" s="548"/>
      <c r="NSB77" s="548"/>
      <c r="NSC77" s="548"/>
      <c r="NSD77" s="452"/>
      <c r="NSE77" s="596"/>
      <c r="NSF77" s="548"/>
      <c r="NSG77" s="548"/>
      <c r="NSH77" s="548"/>
      <c r="NSI77" s="548"/>
      <c r="NSJ77" s="548"/>
      <c r="NSK77" s="452"/>
      <c r="NSL77" s="596"/>
      <c r="NSM77" s="548"/>
      <c r="NSN77" s="548"/>
      <c r="NSO77" s="548"/>
      <c r="NSP77" s="548"/>
      <c r="NSQ77" s="548"/>
      <c r="NSR77" s="452"/>
      <c r="NSS77" s="596"/>
      <c r="NST77" s="548"/>
      <c r="NSU77" s="548"/>
      <c r="NSV77" s="548"/>
      <c r="NSW77" s="548"/>
      <c r="NSX77" s="548"/>
      <c r="NSY77" s="452"/>
      <c r="NSZ77" s="596"/>
      <c r="NTA77" s="548"/>
      <c r="NTB77" s="548"/>
      <c r="NTC77" s="548"/>
      <c r="NTD77" s="548"/>
      <c r="NTE77" s="548"/>
      <c r="NTF77" s="452"/>
      <c r="NTG77" s="596"/>
      <c r="NTH77" s="548"/>
      <c r="NTI77" s="548"/>
      <c r="NTJ77" s="548"/>
      <c r="NTK77" s="548"/>
      <c r="NTL77" s="548"/>
      <c r="NTM77" s="452"/>
      <c r="NTN77" s="596"/>
      <c r="NTO77" s="548"/>
      <c r="NTP77" s="548"/>
      <c r="NTQ77" s="548"/>
      <c r="NTR77" s="548"/>
      <c r="NTS77" s="548"/>
      <c r="NTT77" s="452"/>
      <c r="NTU77" s="596"/>
      <c r="NTV77" s="548"/>
      <c r="NTW77" s="548"/>
      <c r="NTX77" s="548"/>
      <c r="NTY77" s="548"/>
      <c r="NTZ77" s="548"/>
      <c r="NUA77" s="452"/>
      <c r="NUB77" s="596"/>
      <c r="NUC77" s="548"/>
      <c r="NUD77" s="548"/>
      <c r="NUE77" s="548"/>
      <c r="NUF77" s="548"/>
      <c r="NUG77" s="548"/>
      <c r="NUH77" s="452"/>
      <c r="NUI77" s="596"/>
      <c r="NUJ77" s="548"/>
      <c r="NUK77" s="548"/>
      <c r="NUL77" s="548"/>
      <c r="NUM77" s="548"/>
      <c r="NUN77" s="548"/>
      <c r="NUO77" s="452"/>
      <c r="NUP77" s="596"/>
      <c r="NUQ77" s="548"/>
      <c r="NUR77" s="548"/>
      <c r="NUS77" s="548"/>
      <c r="NUT77" s="548"/>
      <c r="NUU77" s="548"/>
      <c r="NUV77" s="452"/>
      <c r="NUW77" s="596"/>
      <c r="NUX77" s="548"/>
      <c r="NUY77" s="548"/>
      <c r="NUZ77" s="548"/>
      <c r="NVA77" s="548"/>
      <c r="NVB77" s="548"/>
      <c r="NVC77" s="452"/>
      <c r="NVD77" s="596"/>
      <c r="NVE77" s="548"/>
      <c r="NVF77" s="548"/>
      <c r="NVG77" s="548"/>
      <c r="NVH77" s="548"/>
      <c r="NVI77" s="548"/>
      <c r="NVJ77" s="452"/>
      <c r="NVK77" s="596"/>
      <c r="NVL77" s="548"/>
      <c r="NVM77" s="548"/>
      <c r="NVN77" s="548"/>
      <c r="NVO77" s="548"/>
      <c r="NVP77" s="548"/>
      <c r="NVQ77" s="452"/>
      <c r="NVR77" s="596"/>
      <c r="NVS77" s="548"/>
      <c r="NVT77" s="548"/>
      <c r="NVU77" s="548"/>
      <c r="NVV77" s="548"/>
      <c r="NVW77" s="548"/>
      <c r="NVX77" s="452"/>
      <c r="NVY77" s="596"/>
      <c r="NVZ77" s="548"/>
      <c r="NWA77" s="548"/>
      <c r="NWB77" s="548"/>
      <c r="NWC77" s="548"/>
      <c r="NWD77" s="548"/>
      <c r="NWE77" s="452"/>
      <c r="NWF77" s="596"/>
      <c r="NWG77" s="548"/>
      <c r="NWH77" s="548"/>
      <c r="NWI77" s="548"/>
      <c r="NWJ77" s="548"/>
      <c r="NWK77" s="548"/>
      <c r="NWL77" s="452"/>
      <c r="NWM77" s="596"/>
      <c r="NWN77" s="548"/>
      <c r="NWO77" s="548"/>
      <c r="NWP77" s="548"/>
      <c r="NWQ77" s="548"/>
      <c r="NWR77" s="548"/>
      <c r="NWS77" s="452"/>
      <c r="NWT77" s="596"/>
      <c r="NWU77" s="548"/>
      <c r="NWV77" s="548"/>
      <c r="NWW77" s="548"/>
      <c r="NWX77" s="548"/>
      <c r="NWY77" s="548"/>
      <c r="NWZ77" s="452"/>
      <c r="NXA77" s="596"/>
      <c r="NXB77" s="548"/>
      <c r="NXC77" s="548"/>
      <c r="NXD77" s="548"/>
      <c r="NXE77" s="548"/>
      <c r="NXF77" s="548"/>
      <c r="NXG77" s="452"/>
      <c r="NXH77" s="596"/>
      <c r="NXI77" s="548"/>
      <c r="NXJ77" s="548"/>
      <c r="NXK77" s="548"/>
      <c r="NXL77" s="548"/>
      <c r="NXM77" s="548"/>
      <c r="NXN77" s="452"/>
      <c r="NXO77" s="596"/>
      <c r="NXP77" s="548"/>
      <c r="NXQ77" s="548"/>
      <c r="NXR77" s="548"/>
      <c r="NXS77" s="548"/>
      <c r="NXT77" s="548"/>
      <c r="NXU77" s="452"/>
      <c r="NXV77" s="596"/>
      <c r="NXW77" s="548"/>
      <c r="NXX77" s="548"/>
      <c r="NXY77" s="548"/>
      <c r="NXZ77" s="548"/>
      <c r="NYA77" s="548"/>
      <c r="NYB77" s="452"/>
      <c r="NYC77" s="596"/>
      <c r="NYD77" s="548"/>
      <c r="NYE77" s="548"/>
      <c r="NYF77" s="548"/>
      <c r="NYG77" s="548"/>
      <c r="NYH77" s="548"/>
      <c r="NYI77" s="452"/>
      <c r="NYJ77" s="596"/>
      <c r="NYK77" s="548"/>
      <c r="NYL77" s="548"/>
      <c r="NYM77" s="548"/>
      <c r="NYN77" s="548"/>
      <c r="NYO77" s="548"/>
      <c r="NYP77" s="452"/>
      <c r="NYQ77" s="596"/>
      <c r="NYR77" s="548"/>
      <c r="NYS77" s="548"/>
      <c r="NYT77" s="548"/>
      <c r="NYU77" s="548"/>
      <c r="NYV77" s="548"/>
      <c r="NYW77" s="452"/>
      <c r="NYX77" s="596"/>
      <c r="NYY77" s="548"/>
      <c r="NYZ77" s="548"/>
      <c r="NZA77" s="548"/>
      <c r="NZB77" s="548"/>
      <c r="NZC77" s="548"/>
      <c r="NZD77" s="452"/>
      <c r="NZE77" s="596"/>
      <c r="NZF77" s="548"/>
      <c r="NZG77" s="548"/>
      <c r="NZH77" s="548"/>
      <c r="NZI77" s="548"/>
      <c r="NZJ77" s="548"/>
      <c r="NZK77" s="452"/>
      <c r="NZL77" s="596"/>
      <c r="NZM77" s="548"/>
      <c r="NZN77" s="548"/>
      <c r="NZO77" s="548"/>
      <c r="NZP77" s="548"/>
      <c r="NZQ77" s="548"/>
      <c r="NZR77" s="452"/>
      <c r="NZS77" s="596"/>
      <c r="NZT77" s="548"/>
      <c r="NZU77" s="548"/>
      <c r="NZV77" s="548"/>
      <c r="NZW77" s="548"/>
      <c r="NZX77" s="548"/>
      <c r="NZY77" s="452"/>
      <c r="NZZ77" s="596"/>
      <c r="OAA77" s="548"/>
      <c r="OAB77" s="548"/>
      <c r="OAC77" s="548"/>
      <c r="OAD77" s="548"/>
      <c r="OAE77" s="548"/>
      <c r="OAF77" s="452"/>
      <c r="OAG77" s="596"/>
      <c r="OAH77" s="548"/>
      <c r="OAI77" s="548"/>
      <c r="OAJ77" s="548"/>
      <c r="OAK77" s="548"/>
      <c r="OAL77" s="548"/>
      <c r="OAM77" s="452"/>
      <c r="OAN77" s="596"/>
      <c r="OAO77" s="548"/>
      <c r="OAP77" s="548"/>
      <c r="OAQ77" s="548"/>
      <c r="OAR77" s="548"/>
      <c r="OAS77" s="548"/>
      <c r="OAT77" s="452"/>
      <c r="OAU77" s="596"/>
      <c r="OAV77" s="548"/>
      <c r="OAW77" s="548"/>
      <c r="OAX77" s="548"/>
      <c r="OAY77" s="548"/>
      <c r="OAZ77" s="548"/>
      <c r="OBA77" s="452"/>
      <c r="OBB77" s="596"/>
      <c r="OBC77" s="548"/>
      <c r="OBD77" s="548"/>
      <c r="OBE77" s="548"/>
      <c r="OBF77" s="548"/>
      <c r="OBG77" s="548"/>
      <c r="OBH77" s="452"/>
      <c r="OBI77" s="596"/>
      <c r="OBJ77" s="548"/>
      <c r="OBK77" s="548"/>
      <c r="OBL77" s="548"/>
      <c r="OBM77" s="548"/>
      <c r="OBN77" s="548"/>
      <c r="OBO77" s="452"/>
      <c r="OBP77" s="596"/>
      <c r="OBQ77" s="548"/>
      <c r="OBR77" s="548"/>
      <c r="OBS77" s="548"/>
      <c r="OBT77" s="548"/>
      <c r="OBU77" s="548"/>
      <c r="OBV77" s="452"/>
      <c r="OBW77" s="596"/>
      <c r="OBX77" s="548"/>
      <c r="OBY77" s="548"/>
      <c r="OBZ77" s="548"/>
      <c r="OCA77" s="548"/>
      <c r="OCB77" s="548"/>
      <c r="OCC77" s="452"/>
      <c r="OCD77" s="596"/>
      <c r="OCE77" s="548"/>
      <c r="OCF77" s="548"/>
      <c r="OCG77" s="548"/>
      <c r="OCH77" s="548"/>
      <c r="OCI77" s="548"/>
      <c r="OCJ77" s="452"/>
      <c r="OCK77" s="596"/>
      <c r="OCL77" s="548"/>
      <c r="OCM77" s="548"/>
      <c r="OCN77" s="548"/>
      <c r="OCO77" s="548"/>
      <c r="OCP77" s="548"/>
      <c r="OCQ77" s="452"/>
      <c r="OCR77" s="596"/>
      <c r="OCS77" s="548"/>
      <c r="OCT77" s="548"/>
      <c r="OCU77" s="548"/>
      <c r="OCV77" s="548"/>
      <c r="OCW77" s="548"/>
      <c r="OCX77" s="452"/>
      <c r="OCY77" s="596"/>
      <c r="OCZ77" s="548"/>
      <c r="ODA77" s="548"/>
      <c r="ODB77" s="548"/>
      <c r="ODC77" s="548"/>
      <c r="ODD77" s="548"/>
      <c r="ODE77" s="452"/>
      <c r="ODF77" s="596"/>
      <c r="ODG77" s="548"/>
      <c r="ODH77" s="548"/>
      <c r="ODI77" s="548"/>
      <c r="ODJ77" s="548"/>
      <c r="ODK77" s="548"/>
      <c r="ODL77" s="452"/>
      <c r="ODM77" s="596"/>
      <c r="ODN77" s="548"/>
      <c r="ODO77" s="548"/>
      <c r="ODP77" s="548"/>
      <c r="ODQ77" s="548"/>
      <c r="ODR77" s="548"/>
      <c r="ODS77" s="452"/>
      <c r="ODT77" s="596"/>
      <c r="ODU77" s="548"/>
      <c r="ODV77" s="548"/>
      <c r="ODW77" s="548"/>
      <c r="ODX77" s="548"/>
      <c r="ODY77" s="548"/>
      <c r="ODZ77" s="452"/>
      <c r="OEA77" s="596"/>
      <c r="OEB77" s="548"/>
      <c r="OEC77" s="548"/>
      <c r="OED77" s="548"/>
      <c r="OEE77" s="548"/>
      <c r="OEF77" s="548"/>
      <c r="OEG77" s="452"/>
      <c r="OEH77" s="596"/>
      <c r="OEI77" s="548"/>
      <c r="OEJ77" s="548"/>
      <c r="OEK77" s="548"/>
      <c r="OEL77" s="548"/>
      <c r="OEM77" s="548"/>
      <c r="OEN77" s="452"/>
      <c r="OEO77" s="596"/>
      <c r="OEP77" s="548"/>
      <c r="OEQ77" s="548"/>
      <c r="OER77" s="548"/>
      <c r="OES77" s="548"/>
      <c r="OET77" s="548"/>
      <c r="OEU77" s="452"/>
      <c r="OEV77" s="596"/>
      <c r="OEW77" s="548"/>
      <c r="OEX77" s="548"/>
      <c r="OEY77" s="548"/>
      <c r="OEZ77" s="548"/>
      <c r="OFA77" s="548"/>
      <c r="OFB77" s="452"/>
      <c r="OFC77" s="596"/>
      <c r="OFD77" s="548"/>
      <c r="OFE77" s="548"/>
      <c r="OFF77" s="548"/>
      <c r="OFG77" s="548"/>
      <c r="OFH77" s="548"/>
      <c r="OFI77" s="452"/>
      <c r="OFJ77" s="596"/>
      <c r="OFK77" s="548"/>
      <c r="OFL77" s="548"/>
      <c r="OFM77" s="548"/>
      <c r="OFN77" s="548"/>
      <c r="OFO77" s="548"/>
      <c r="OFP77" s="452"/>
      <c r="OFQ77" s="596"/>
      <c r="OFR77" s="548"/>
      <c r="OFS77" s="548"/>
      <c r="OFT77" s="548"/>
      <c r="OFU77" s="548"/>
      <c r="OFV77" s="548"/>
      <c r="OFW77" s="452"/>
      <c r="OFX77" s="596"/>
      <c r="OFY77" s="548"/>
      <c r="OFZ77" s="548"/>
      <c r="OGA77" s="548"/>
      <c r="OGB77" s="548"/>
      <c r="OGC77" s="548"/>
      <c r="OGD77" s="452"/>
      <c r="OGE77" s="596"/>
      <c r="OGF77" s="548"/>
      <c r="OGG77" s="548"/>
      <c r="OGH77" s="548"/>
      <c r="OGI77" s="548"/>
      <c r="OGJ77" s="548"/>
      <c r="OGK77" s="452"/>
      <c r="OGL77" s="596"/>
      <c r="OGM77" s="548"/>
      <c r="OGN77" s="548"/>
      <c r="OGO77" s="548"/>
      <c r="OGP77" s="548"/>
      <c r="OGQ77" s="548"/>
      <c r="OGR77" s="452"/>
      <c r="OGS77" s="596"/>
      <c r="OGT77" s="548"/>
      <c r="OGU77" s="548"/>
      <c r="OGV77" s="548"/>
      <c r="OGW77" s="548"/>
      <c r="OGX77" s="548"/>
      <c r="OGY77" s="452"/>
      <c r="OGZ77" s="596"/>
      <c r="OHA77" s="548"/>
      <c r="OHB77" s="548"/>
      <c r="OHC77" s="548"/>
      <c r="OHD77" s="548"/>
      <c r="OHE77" s="548"/>
      <c r="OHF77" s="452"/>
      <c r="OHG77" s="596"/>
      <c r="OHH77" s="548"/>
      <c r="OHI77" s="548"/>
      <c r="OHJ77" s="548"/>
      <c r="OHK77" s="548"/>
      <c r="OHL77" s="548"/>
      <c r="OHM77" s="452"/>
      <c r="OHN77" s="596"/>
      <c r="OHO77" s="548"/>
      <c r="OHP77" s="548"/>
      <c r="OHQ77" s="548"/>
      <c r="OHR77" s="548"/>
      <c r="OHS77" s="548"/>
      <c r="OHT77" s="452"/>
      <c r="OHU77" s="596"/>
      <c r="OHV77" s="548"/>
      <c r="OHW77" s="548"/>
      <c r="OHX77" s="548"/>
      <c r="OHY77" s="548"/>
      <c r="OHZ77" s="548"/>
      <c r="OIA77" s="452"/>
      <c r="OIB77" s="596"/>
      <c r="OIC77" s="548"/>
      <c r="OID77" s="548"/>
      <c r="OIE77" s="548"/>
      <c r="OIF77" s="548"/>
      <c r="OIG77" s="548"/>
      <c r="OIH77" s="452"/>
      <c r="OII77" s="596"/>
      <c r="OIJ77" s="548"/>
      <c r="OIK77" s="548"/>
      <c r="OIL77" s="548"/>
      <c r="OIM77" s="548"/>
      <c r="OIN77" s="548"/>
      <c r="OIO77" s="452"/>
      <c r="OIP77" s="596"/>
      <c r="OIQ77" s="548"/>
      <c r="OIR77" s="548"/>
      <c r="OIS77" s="548"/>
      <c r="OIT77" s="548"/>
      <c r="OIU77" s="548"/>
      <c r="OIV77" s="452"/>
      <c r="OIW77" s="596"/>
      <c r="OIX77" s="548"/>
      <c r="OIY77" s="548"/>
      <c r="OIZ77" s="548"/>
      <c r="OJA77" s="548"/>
      <c r="OJB77" s="548"/>
      <c r="OJC77" s="452"/>
      <c r="OJD77" s="596"/>
      <c r="OJE77" s="548"/>
      <c r="OJF77" s="548"/>
      <c r="OJG77" s="548"/>
      <c r="OJH77" s="548"/>
      <c r="OJI77" s="548"/>
      <c r="OJJ77" s="452"/>
      <c r="OJK77" s="596"/>
      <c r="OJL77" s="548"/>
      <c r="OJM77" s="548"/>
      <c r="OJN77" s="548"/>
      <c r="OJO77" s="548"/>
      <c r="OJP77" s="548"/>
      <c r="OJQ77" s="452"/>
      <c r="OJR77" s="596"/>
      <c r="OJS77" s="548"/>
      <c r="OJT77" s="548"/>
      <c r="OJU77" s="548"/>
      <c r="OJV77" s="548"/>
      <c r="OJW77" s="548"/>
      <c r="OJX77" s="452"/>
      <c r="OJY77" s="596"/>
      <c r="OJZ77" s="548"/>
      <c r="OKA77" s="548"/>
      <c r="OKB77" s="548"/>
      <c r="OKC77" s="548"/>
      <c r="OKD77" s="548"/>
      <c r="OKE77" s="452"/>
      <c r="OKF77" s="596"/>
      <c r="OKG77" s="548"/>
      <c r="OKH77" s="548"/>
      <c r="OKI77" s="548"/>
      <c r="OKJ77" s="548"/>
      <c r="OKK77" s="548"/>
      <c r="OKL77" s="452"/>
      <c r="OKM77" s="596"/>
      <c r="OKN77" s="548"/>
      <c r="OKO77" s="548"/>
      <c r="OKP77" s="548"/>
      <c r="OKQ77" s="548"/>
      <c r="OKR77" s="548"/>
      <c r="OKS77" s="452"/>
      <c r="OKT77" s="596"/>
      <c r="OKU77" s="548"/>
      <c r="OKV77" s="548"/>
      <c r="OKW77" s="548"/>
      <c r="OKX77" s="548"/>
      <c r="OKY77" s="548"/>
      <c r="OKZ77" s="452"/>
      <c r="OLA77" s="596"/>
      <c r="OLB77" s="548"/>
      <c r="OLC77" s="548"/>
      <c r="OLD77" s="548"/>
      <c r="OLE77" s="548"/>
      <c r="OLF77" s="548"/>
      <c r="OLG77" s="452"/>
      <c r="OLH77" s="596"/>
      <c r="OLI77" s="548"/>
      <c r="OLJ77" s="548"/>
      <c r="OLK77" s="548"/>
      <c r="OLL77" s="548"/>
      <c r="OLM77" s="548"/>
      <c r="OLN77" s="452"/>
      <c r="OLO77" s="596"/>
      <c r="OLP77" s="548"/>
      <c r="OLQ77" s="548"/>
      <c r="OLR77" s="548"/>
      <c r="OLS77" s="548"/>
      <c r="OLT77" s="548"/>
      <c r="OLU77" s="452"/>
      <c r="OLV77" s="596"/>
      <c r="OLW77" s="548"/>
      <c r="OLX77" s="548"/>
      <c r="OLY77" s="548"/>
      <c r="OLZ77" s="548"/>
      <c r="OMA77" s="548"/>
      <c r="OMB77" s="452"/>
      <c r="OMC77" s="596"/>
      <c r="OMD77" s="548"/>
      <c r="OME77" s="548"/>
      <c r="OMF77" s="548"/>
      <c r="OMG77" s="548"/>
      <c r="OMH77" s="548"/>
      <c r="OMI77" s="452"/>
      <c r="OMJ77" s="596"/>
      <c r="OMK77" s="548"/>
      <c r="OML77" s="548"/>
      <c r="OMM77" s="548"/>
      <c r="OMN77" s="548"/>
      <c r="OMO77" s="548"/>
      <c r="OMP77" s="452"/>
      <c r="OMQ77" s="596"/>
      <c r="OMR77" s="548"/>
      <c r="OMS77" s="548"/>
      <c r="OMT77" s="548"/>
      <c r="OMU77" s="548"/>
      <c r="OMV77" s="548"/>
      <c r="OMW77" s="452"/>
      <c r="OMX77" s="596"/>
      <c r="OMY77" s="548"/>
      <c r="OMZ77" s="548"/>
      <c r="ONA77" s="548"/>
      <c r="ONB77" s="548"/>
      <c r="ONC77" s="548"/>
      <c r="OND77" s="452"/>
      <c r="ONE77" s="596"/>
      <c r="ONF77" s="548"/>
      <c r="ONG77" s="548"/>
      <c r="ONH77" s="548"/>
      <c r="ONI77" s="548"/>
      <c r="ONJ77" s="548"/>
      <c r="ONK77" s="452"/>
      <c r="ONL77" s="596"/>
      <c r="ONM77" s="548"/>
      <c r="ONN77" s="548"/>
      <c r="ONO77" s="548"/>
      <c r="ONP77" s="548"/>
      <c r="ONQ77" s="548"/>
      <c r="ONR77" s="452"/>
      <c r="ONS77" s="596"/>
      <c r="ONT77" s="548"/>
      <c r="ONU77" s="548"/>
      <c r="ONV77" s="548"/>
      <c r="ONW77" s="548"/>
      <c r="ONX77" s="548"/>
      <c r="ONY77" s="452"/>
      <c r="ONZ77" s="596"/>
      <c r="OOA77" s="548"/>
      <c r="OOB77" s="548"/>
      <c r="OOC77" s="548"/>
      <c r="OOD77" s="548"/>
      <c r="OOE77" s="548"/>
      <c r="OOF77" s="452"/>
      <c r="OOG77" s="596"/>
      <c r="OOH77" s="548"/>
      <c r="OOI77" s="548"/>
      <c r="OOJ77" s="548"/>
      <c r="OOK77" s="548"/>
      <c r="OOL77" s="548"/>
      <c r="OOM77" s="452"/>
      <c r="OON77" s="596"/>
      <c r="OOO77" s="548"/>
      <c r="OOP77" s="548"/>
      <c r="OOQ77" s="548"/>
      <c r="OOR77" s="548"/>
      <c r="OOS77" s="548"/>
      <c r="OOT77" s="452"/>
      <c r="OOU77" s="596"/>
      <c r="OOV77" s="548"/>
      <c r="OOW77" s="548"/>
      <c r="OOX77" s="548"/>
      <c r="OOY77" s="548"/>
      <c r="OOZ77" s="548"/>
      <c r="OPA77" s="452"/>
      <c r="OPB77" s="596"/>
      <c r="OPC77" s="548"/>
      <c r="OPD77" s="548"/>
      <c r="OPE77" s="548"/>
      <c r="OPF77" s="548"/>
      <c r="OPG77" s="548"/>
      <c r="OPH77" s="452"/>
      <c r="OPI77" s="596"/>
      <c r="OPJ77" s="548"/>
      <c r="OPK77" s="548"/>
      <c r="OPL77" s="548"/>
      <c r="OPM77" s="548"/>
      <c r="OPN77" s="548"/>
      <c r="OPO77" s="452"/>
      <c r="OPP77" s="596"/>
      <c r="OPQ77" s="548"/>
      <c r="OPR77" s="548"/>
      <c r="OPS77" s="548"/>
      <c r="OPT77" s="548"/>
      <c r="OPU77" s="548"/>
      <c r="OPV77" s="452"/>
      <c r="OPW77" s="596"/>
      <c r="OPX77" s="548"/>
      <c r="OPY77" s="548"/>
      <c r="OPZ77" s="548"/>
      <c r="OQA77" s="548"/>
      <c r="OQB77" s="548"/>
      <c r="OQC77" s="452"/>
      <c r="OQD77" s="596"/>
      <c r="OQE77" s="548"/>
      <c r="OQF77" s="548"/>
      <c r="OQG77" s="548"/>
      <c r="OQH77" s="548"/>
      <c r="OQI77" s="548"/>
      <c r="OQJ77" s="452"/>
      <c r="OQK77" s="596"/>
      <c r="OQL77" s="548"/>
      <c r="OQM77" s="548"/>
      <c r="OQN77" s="548"/>
      <c r="OQO77" s="548"/>
      <c r="OQP77" s="548"/>
      <c r="OQQ77" s="452"/>
      <c r="OQR77" s="596"/>
      <c r="OQS77" s="548"/>
      <c r="OQT77" s="548"/>
      <c r="OQU77" s="548"/>
      <c r="OQV77" s="548"/>
      <c r="OQW77" s="548"/>
      <c r="OQX77" s="452"/>
      <c r="OQY77" s="596"/>
      <c r="OQZ77" s="548"/>
      <c r="ORA77" s="548"/>
      <c r="ORB77" s="548"/>
      <c r="ORC77" s="548"/>
      <c r="ORD77" s="548"/>
      <c r="ORE77" s="452"/>
      <c r="ORF77" s="596"/>
      <c r="ORG77" s="548"/>
      <c r="ORH77" s="548"/>
      <c r="ORI77" s="548"/>
      <c r="ORJ77" s="548"/>
      <c r="ORK77" s="548"/>
      <c r="ORL77" s="452"/>
      <c r="ORM77" s="596"/>
      <c r="ORN77" s="548"/>
      <c r="ORO77" s="548"/>
      <c r="ORP77" s="548"/>
      <c r="ORQ77" s="548"/>
      <c r="ORR77" s="548"/>
      <c r="ORS77" s="452"/>
      <c r="ORT77" s="596"/>
      <c r="ORU77" s="548"/>
      <c r="ORV77" s="548"/>
      <c r="ORW77" s="548"/>
      <c r="ORX77" s="548"/>
      <c r="ORY77" s="548"/>
      <c r="ORZ77" s="452"/>
      <c r="OSA77" s="596"/>
      <c r="OSB77" s="548"/>
      <c r="OSC77" s="548"/>
      <c r="OSD77" s="548"/>
      <c r="OSE77" s="548"/>
      <c r="OSF77" s="548"/>
      <c r="OSG77" s="452"/>
      <c r="OSH77" s="596"/>
      <c r="OSI77" s="548"/>
      <c r="OSJ77" s="548"/>
      <c r="OSK77" s="548"/>
      <c r="OSL77" s="548"/>
      <c r="OSM77" s="548"/>
      <c r="OSN77" s="452"/>
      <c r="OSO77" s="596"/>
      <c r="OSP77" s="548"/>
      <c r="OSQ77" s="548"/>
      <c r="OSR77" s="548"/>
      <c r="OSS77" s="548"/>
      <c r="OST77" s="548"/>
      <c r="OSU77" s="452"/>
      <c r="OSV77" s="596"/>
      <c r="OSW77" s="548"/>
      <c r="OSX77" s="548"/>
      <c r="OSY77" s="548"/>
      <c r="OSZ77" s="548"/>
      <c r="OTA77" s="548"/>
      <c r="OTB77" s="452"/>
      <c r="OTC77" s="596"/>
      <c r="OTD77" s="548"/>
      <c r="OTE77" s="548"/>
      <c r="OTF77" s="548"/>
      <c r="OTG77" s="548"/>
      <c r="OTH77" s="548"/>
      <c r="OTI77" s="452"/>
      <c r="OTJ77" s="596"/>
      <c r="OTK77" s="548"/>
      <c r="OTL77" s="548"/>
      <c r="OTM77" s="548"/>
      <c r="OTN77" s="548"/>
      <c r="OTO77" s="548"/>
      <c r="OTP77" s="452"/>
      <c r="OTQ77" s="596"/>
      <c r="OTR77" s="548"/>
      <c r="OTS77" s="548"/>
      <c r="OTT77" s="548"/>
      <c r="OTU77" s="548"/>
      <c r="OTV77" s="548"/>
      <c r="OTW77" s="452"/>
      <c r="OTX77" s="596"/>
      <c r="OTY77" s="548"/>
      <c r="OTZ77" s="548"/>
      <c r="OUA77" s="548"/>
      <c r="OUB77" s="548"/>
      <c r="OUC77" s="548"/>
      <c r="OUD77" s="452"/>
      <c r="OUE77" s="596"/>
      <c r="OUF77" s="548"/>
      <c r="OUG77" s="548"/>
      <c r="OUH77" s="548"/>
      <c r="OUI77" s="548"/>
      <c r="OUJ77" s="548"/>
      <c r="OUK77" s="452"/>
      <c r="OUL77" s="596"/>
      <c r="OUM77" s="548"/>
      <c r="OUN77" s="548"/>
      <c r="OUO77" s="548"/>
      <c r="OUP77" s="548"/>
      <c r="OUQ77" s="548"/>
      <c r="OUR77" s="452"/>
      <c r="OUS77" s="596"/>
      <c r="OUT77" s="548"/>
      <c r="OUU77" s="548"/>
      <c r="OUV77" s="548"/>
      <c r="OUW77" s="548"/>
      <c r="OUX77" s="548"/>
      <c r="OUY77" s="452"/>
      <c r="OUZ77" s="596"/>
      <c r="OVA77" s="548"/>
      <c r="OVB77" s="548"/>
      <c r="OVC77" s="548"/>
      <c r="OVD77" s="548"/>
      <c r="OVE77" s="548"/>
      <c r="OVF77" s="452"/>
      <c r="OVG77" s="596"/>
      <c r="OVH77" s="548"/>
      <c r="OVI77" s="548"/>
      <c r="OVJ77" s="548"/>
      <c r="OVK77" s="548"/>
      <c r="OVL77" s="548"/>
      <c r="OVM77" s="452"/>
      <c r="OVN77" s="596"/>
      <c r="OVO77" s="548"/>
      <c r="OVP77" s="548"/>
      <c r="OVQ77" s="548"/>
      <c r="OVR77" s="548"/>
      <c r="OVS77" s="548"/>
      <c r="OVT77" s="452"/>
      <c r="OVU77" s="596"/>
      <c r="OVV77" s="548"/>
      <c r="OVW77" s="548"/>
      <c r="OVX77" s="548"/>
      <c r="OVY77" s="548"/>
      <c r="OVZ77" s="548"/>
      <c r="OWA77" s="452"/>
      <c r="OWB77" s="596"/>
      <c r="OWC77" s="548"/>
      <c r="OWD77" s="548"/>
      <c r="OWE77" s="548"/>
      <c r="OWF77" s="548"/>
      <c r="OWG77" s="548"/>
      <c r="OWH77" s="452"/>
      <c r="OWI77" s="596"/>
      <c r="OWJ77" s="548"/>
      <c r="OWK77" s="548"/>
      <c r="OWL77" s="548"/>
      <c r="OWM77" s="548"/>
      <c r="OWN77" s="548"/>
      <c r="OWO77" s="452"/>
      <c r="OWP77" s="596"/>
      <c r="OWQ77" s="548"/>
      <c r="OWR77" s="548"/>
      <c r="OWS77" s="548"/>
      <c r="OWT77" s="548"/>
      <c r="OWU77" s="548"/>
      <c r="OWV77" s="452"/>
      <c r="OWW77" s="596"/>
      <c r="OWX77" s="548"/>
      <c r="OWY77" s="548"/>
      <c r="OWZ77" s="548"/>
      <c r="OXA77" s="548"/>
      <c r="OXB77" s="548"/>
      <c r="OXC77" s="452"/>
      <c r="OXD77" s="596"/>
      <c r="OXE77" s="548"/>
      <c r="OXF77" s="548"/>
      <c r="OXG77" s="548"/>
      <c r="OXH77" s="548"/>
      <c r="OXI77" s="548"/>
      <c r="OXJ77" s="452"/>
      <c r="OXK77" s="596"/>
      <c r="OXL77" s="548"/>
      <c r="OXM77" s="548"/>
      <c r="OXN77" s="548"/>
      <c r="OXO77" s="548"/>
      <c r="OXP77" s="548"/>
      <c r="OXQ77" s="452"/>
      <c r="OXR77" s="596"/>
      <c r="OXS77" s="548"/>
      <c r="OXT77" s="548"/>
      <c r="OXU77" s="548"/>
      <c r="OXV77" s="548"/>
      <c r="OXW77" s="548"/>
      <c r="OXX77" s="452"/>
      <c r="OXY77" s="596"/>
      <c r="OXZ77" s="548"/>
      <c r="OYA77" s="548"/>
      <c r="OYB77" s="548"/>
      <c r="OYC77" s="548"/>
      <c r="OYD77" s="548"/>
      <c r="OYE77" s="452"/>
      <c r="OYF77" s="596"/>
      <c r="OYG77" s="548"/>
      <c r="OYH77" s="548"/>
      <c r="OYI77" s="548"/>
      <c r="OYJ77" s="548"/>
      <c r="OYK77" s="548"/>
      <c r="OYL77" s="452"/>
      <c r="OYM77" s="596"/>
      <c r="OYN77" s="548"/>
      <c r="OYO77" s="548"/>
      <c r="OYP77" s="548"/>
      <c r="OYQ77" s="548"/>
      <c r="OYR77" s="548"/>
      <c r="OYS77" s="452"/>
      <c r="OYT77" s="596"/>
      <c r="OYU77" s="548"/>
      <c r="OYV77" s="548"/>
      <c r="OYW77" s="548"/>
      <c r="OYX77" s="548"/>
      <c r="OYY77" s="548"/>
      <c r="OYZ77" s="452"/>
      <c r="OZA77" s="596"/>
      <c r="OZB77" s="548"/>
      <c r="OZC77" s="548"/>
      <c r="OZD77" s="548"/>
      <c r="OZE77" s="548"/>
      <c r="OZF77" s="548"/>
      <c r="OZG77" s="452"/>
      <c r="OZH77" s="596"/>
      <c r="OZI77" s="548"/>
      <c r="OZJ77" s="548"/>
      <c r="OZK77" s="548"/>
      <c r="OZL77" s="548"/>
      <c r="OZM77" s="548"/>
      <c r="OZN77" s="452"/>
      <c r="OZO77" s="596"/>
      <c r="OZP77" s="548"/>
      <c r="OZQ77" s="548"/>
      <c r="OZR77" s="548"/>
      <c r="OZS77" s="548"/>
      <c r="OZT77" s="548"/>
      <c r="OZU77" s="452"/>
      <c r="OZV77" s="596"/>
      <c r="OZW77" s="548"/>
      <c r="OZX77" s="548"/>
      <c r="OZY77" s="548"/>
      <c r="OZZ77" s="548"/>
      <c r="PAA77" s="548"/>
      <c r="PAB77" s="452"/>
      <c r="PAC77" s="596"/>
      <c r="PAD77" s="548"/>
      <c r="PAE77" s="548"/>
      <c r="PAF77" s="548"/>
      <c r="PAG77" s="548"/>
      <c r="PAH77" s="548"/>
      <c r="PAI77" s="452"/>
      <c r="PAJ77" s="596"/>
      <c r="PAK77" s="548"/>
      <c r="PAL77" s="548"/>
      <c r="PAM77" s="548"/>
      <c r="PAN77" s="548"/>
      <c r="PAO77" s="548"/>
      <c r="PAP77" s="452"/>
      <c r="PAQ77" s="596"/>
      <c r="PAR77" s="548"/>
      <c r="PAS77" s="548"/>
      <c r="PAT77" s="548"/>
      <c r="PAU77" s="548"/>
      <c r="PAV77" s="548"/>
      <c r="PAW77" s="452"/>
      <c r="PAX77" s="596"/>
      <c r="PAY77" s="548"/>
      <c r="PAZ77" s="548"/>
      <c r="PBA77" s="548"/>
      <c r="PBB77" s="548"/>
      <c r="PBC77" s="548"/>
      <c r="PBD77" s="452"/>
      <c r="PBE77" s="596"/>
      <c r="PBF77" s="548"/>
      <c r="PBG77" s="548"/>
      <c r="PBH77" s="548"/>
      <c r="PBI77" s="548"/>
      <c r="PBJ77" s="548"/>
      <c r="PBK77" s="452"/>
      <c r="PBL77" s="596"/>
      <c r="PBM77" s="548"/>
      <c r="PBN77" s="548"/>
      <c r="PBO77" s="548"/>
      <c r="PBP77" s="548"/>
      <c r="PBQ77" s="548"/>
      <c r="PBR77" s="452"/>
      <c r="PBS77" s="596"/>
      <c r="PBT77" s="548"/>
      <c r="PBU77" s="548"/>
      <c r="PBV77" s="548"/>
      <c r="PBW77" s="548"/>
      <c r="PBX77" s="548"/>
      <c r="PBY77" s="452"/>
      <c r="PBZ77" s="596"/>
      <c r="PCA77" s="548"/>
      <c r="PCB77" s="548"/>
      <c r="PCC77" s="548"/>
      <c r="PCD77" s="548"/>
      <c r="PCE77" s="548"/>
      <c r="PCF77" s="452"/>
      <c r="PCG77" s="596"/>
      <c r="PCH77" s="548"/>
      <c r="PCI77" s="548"/>
      <c r="PCJ77" s="548"/>
      <c r="PCK77" s="548"/>
      <c r="PCL77" s="548"/>
      <c r="PCM77" s="452"/>
      <c r="PCN77" s="596"/>
      <c r="PCO77" s="548"/>
      <c r="PCP77" s="548"/>
      <c r="PCQ77" s="548"/>
      <c r="PCR77" s="548"/>
      <c r="PCS77" s="548"/>
      <c r="PCT77" s="452"/>
      <c r="PCU77" s="596"/>
      <c r="PCV77" s="548"/>
      <c r="PCW77" s="548"/>
      <c r="PCX77" s="548"/>
      <c r="PCY77" s="548"/>
      <c r="PCZ77" s="548"/>
      <c r="PDA77" s="452"/>
      <c r="PDB77" s="596"/>
      <c r="PDC77" s="548"/>
      <c r="PDD77" s="548"/>
      <c r="PDE77" s="548"/>
      <c r="PDF77" s="548"/>
      <c r="PDG77" s="548"/>
      <c r="PDH77" s="452"/>
      <c r="PDI77" s="596"/>
      <c r="PDJ77" s="548"/>
      <c r="PDK77" s="548"/>
      <c r="PDL77" s="548"/>
      <c r="PDM77" s="548"/>
      <c r="PDN77" s="548"/>
      <c r="PDO77" s="452"/>
      <c r="PDP77" s="596"/>
      <c r="PDQ77" s="548"/>
      <c r="PDR77" s="548"/>
      <c r="PDS77" s="548"/>
      <c r="PDT77" s="548"/>
      <c r="PDU77" s="548"/>
      <c r="PDV77" s="452"/>
      <c r="PDW77" s="596"/>
      <c r="PDX77" s="548"/>
      <c r="PDY77" s="548"/>
      <c r="PDZ77" s="548"/>
      <c r="PEA77" s="548"/>
      <c r="PEB77" s="548"/>
      <c r="PEC77" s="452"/>
      <c r="PED77" s="596"/>
      <c r="PEE77" s="548"/>
      <c r="PEF77" s="548"/>
      <c r="PEG77" s="548"/>
      <c r="PEH77" s="548"/>
      <c r="PEI77" s="548"/>
      <c r="PEJ77" s="452"/>
      <c r="PEK77" s="596"/>
      <c r="PEL77" s="548"/>
      <c r="PEM77" s="548"/>
      <c r="PEN77" s="548"/>
      <c r="PEO77" s="548"/>
      <c r="PEP77" s="548"/>
      <c r="PEQ77" s="452"/>
      <c r="PER77" s="596"/>
      <c r="PES77" s="548"/>
      <c r="PET77" s="548"/>
      <c r="PEU77" s="548"/>
      <c r="PEV77" s="548"/>
      <c r="PEW77" s="548"/>
      <c r="PEX77" s="452"/>
      <c r="PEY77" s="596"/>
      <c r="PEZ77" s="548"/>
      <c r="PFA77" s="548"/>
      <c r="PFB77" s="548"/>
      <c r="PFC77" s="548"/>
      <c r="PFD77" s="548"/>
      <c r="PFE77" s="452"/>
      <c r="PFF77" s="596"/>
      <c r="PFG77" s="548"/>
      <c r="PFH77" s="548"/>
      <c r="PFI77" s="548"/>
      <c r="PFJ77" s="548"/>
      <c r="PFK77" s="548"/>
      <c r="PFL77" s="452"/>
      <c r="PFM77" s="596"/>
      <c r="PFN77" s="548"/>
      <c r="PFO77" s="548"/>
      <c r="PFP77" s="548"/>
      <c r="PFQ77" s="548"/>
      <c r="PFR77" s="548"/>
      <c r="PFS77" s="452"/>
      <c r="PFT77" s="596"/>
      <c r="PFU77" s="548"/>
      <c r="PFV77" s="548"/>
      <c r="PFW77" s="548"/>
      <c r="PFX77" s="548"/>
      <c r="PFY77" s="548"/>
      <c r="PFZ77" s="452"/>
      <c r="PGA77" s="596"/>
      <c r="PGB77" s="548"/>
      <c r="PGC77" s="548"/>
      <c r="PGD77" s="548"/>
      <c r="PGE77" s="548"/>
      <c r="PGF77" s="548"/>
      <c r="PGG77" s="452"/>
      <c r="PGH77" s="596"/>
      <c r="PGI77" s="548"/>
      <c r="PGJ77" s="548"/>
      <c r="PGK77" s="548"/>
      <c r="PGL77" s="548"/>
      <c r="PGM77" s="548"/>
      <c r="PGN77" s="452"/>
      <c r="PGO77" s="596"/>
      <c r="PGP77" s="548"/>
      <c r="PGQ77" s="548"/>
      <c r="PGR77" s="548"/>
      <c r="PGS77" s="548"/>
      <c r="PGT77" s="548"/>
      <c r="PGU77" s="452"/>
      <c r="PGV77" s="596"/>
      <c r="PGW77" s="548"/>
      <c r="PGX77" s="548"/>
      <c r="PGY77" s="548"/>
      <c r="PGZ77" s="548"/>
      <c r="PHA77" s="548"/>
      <c r="PHB77" s="452"/>
      <c r="PHC77" s="596"/>
      <c r="PHD77" s="548"/>
      <c r="PHE77" s="548"/>
      <c r="PHF77" s="548"/>
      <c r="PHG77" s="548"/>
      <c r="PHH77" s="548"/>
      <c r="PHI77" s="452"/>
      <c r="PHJ77" s="596"/>
      <c r="PHK77" s="548"/>
      <c r="PHL77" s="548"/>
      <c r="PHM77" s="548"/>
      <c r="PHN77" s="548"/>
      <c r="PHO77" s="548"/>
      <c r="PHP77" s="452"/>
      <c r="PHQ77" s="596"/>
      <c r="PHR77" s="548"/>
      <c r="PHS77" s="548"/>
      <c r="PHT77" s="548"/>
      <c r="PHU77" s="548"/>
      <c r="PHV77" s="548"/>
      <c r="PHW77" s="452"/>
      <c r="PHX77" s="596"/>
      <c r="PHY77" s="548"/>
      <c r="PHZ77" s="548"/>
      <c r="PIA77" s="548"/>
      <c r="PIB77" s="548"/>
      <c r="PIC77" s="548"/>
      <c r="PID77" s="452"/>
      <c r="PIE77" s="596"/>
      <c r="PIF77" s="548"/>
      <c r="PIG77" s="548"/>
      <c r="PIH77" s="548"/>
      <c r="PII77" s="548"/>
      <c r="PIJ77" s="548"/>
      <c r="PIK77" s="452"/>
      <c r="PIL77" s="596"/>
      <c r="PIM77" s="548"/>
      <c r="PIN77" s="548"/>
      <c r="PIO77" s="548"/>
      <c r="PIP77" s="548"/>
      <c r="PIQ77" s="548"/>
      <c r="PIR77" s="452"/>
      <c r="PIS77" s="596"/>
      <c r="PIT77" s="548"/>
      <c r="PIU77" s="548"/>
      <c r="PIV77" s="548"/>
      <c r="PIW77" s="548"/>
      <c r="PIX77" s="548"/>
      <c r="PIY77" s="452"/>
      <c r="PIZ77" s="596"/>
      <c r="PJA77" s="548"/>
      <c r="PJB77" s="548"/>
      <c r="PJC77" s="548"/>
      <c r="PJD77" s="548"/>
      <c r="PJE77" s="548"/>
      <c r="PJF77" s="452"/>
      <c r="PJG77" s="596"/>
      <c r="PJH77" s="548"/>
      <c r="PJI77" s="548"/>
      <c r="PJJ77" s="548"/>
      <c r="PJK77" s="548"/>
      <c r="PJL77" s="548"/>
      <c r="PJM77" s="452"/>
      <c r="PJN77" s="596"/>
      <c r="PJO77" s="548"/>
      <c r="PJP77" s="548"/>
      <c r="PJQ77" s="548"/>
      <c r="PJR77" s="548"/>
      <c r="PJS77" s="548"/>
      <c r="PJT77" s="452"/>
      <c r="PJU77" s="596"/>
      <c r="PJV77" s="548"/>
      <c r="PJW77" s="548"/>
      <c r="PJX77" s="548"/>
      <c r="PJY77" s="548"/>
      <c r="PJZ77" s="548"/>
      <c r="PKA77" s="452"/>
      <c r="PKB77" s="596"/>
      <c r="PKC77" s="548"/>
      <c r="PKD77" s="548"/>
      <c r="PKE77" s="548"/>
      <c r="PKF77" s="548"/>
      <c r="PKG77" s="548"/>
      <c r="PKH77" s="452"/>
      <c r="PKI77" s="596"/>
      <c r="PKJ77" s="548"/>
      <c r="PKK77" s="548"/>
      <c r="PKL77" s="548"/>
      <c r="PKM77" s="548"/>
      <c r="PKN77" s="548"/>
      <c r="PKO77" s="452"/>
      <c r="PKP77" s="596"/>
      <c r="PKQ77" s="548"/>
      <c r="PKR77" s="548"/>
      <c r="PKS77" s="548"/>
      <c r="PKT77" s="548"/>
      <c r="PKU77" s="548"/>
      <c r="PKV77" s="452"/>
      <c r="PKW77" s="596"/>
      <c r="PKX77" s="548"/>
      <c r="PKY77" s="548"/>
      <c r="PKZ77" s="548"/>
      <c r="PLA77" s="548"/>
      <c r="PLB77" s="548"/>
      <c r="PLC77" s="452"/>
      <c r="PLD77" s="596"/>
      <c r="PLE77" s="548"/>
      <c r="PLF77" s="548"/>
      <c r="PLG77" s="548"/>
      <c r="PLH77" s="548"/>
      <c r="PLI77" s="548"/>
      <c r="PLJ77" s="452"/>
      <c r="PLK77" s="596"/>
      <c r="PLL77" s="548"/>
      <c r="PLM77" s="548"/>
      <c r="PLN77" s="548"/>
      <c r="PLO77" s="548"/>
      <c r="PLP77" s="548"/>
      <c r="PLQ77" s="452"/>
      <c r="PLR77" s="596"/>
      <c r="PLS77" s="548"/>
      <c r="PLT77" s="548"/>
      <c r="PLU77" s="548"/>
      <c r="PLV77" s="548"/>
      <c r="PLW77" s="548"/>
      <c r="PLX77" s="452"/>
      <c r="PLY77" s="596"/>
      <c r="PLZ77" s="548"/>
      <c r="PMA77" s="548"/>
      <c r="PMB77" s="548"/>
      <c r="PMC77" s="548"/>
      <c r="PMD77" s="548"/>
      <c r="PME77" s="452"/>
      <c r="PMF77" s="596"/>
      <c r="PMG77" s="548"/>
      <c r="PMH77" s="548"/>
      <c r="PMI77" s="548"/>
      <c r="PMJ77" s="548"/>
      <c r="PMK77" s="548"/>
      <c r="PML77" s="452"/>
      <c r="PMM77" s="596"/>
      <c r="PMN77" s="548"/>
      <c r="PMO77" s="548"/>
      <c r="PMP77" s="548"/>
      <c r="PMQ77" s="548"/>
      <c r="PMR77" s="548"/>
      <c r="PMS77" s="452"/>
      <c r="PMT77" s="596"/>
      <c r="PMU77" s="548"/>
      <c r="PMV77" s="548"/>
      <c r="PMW77" s="548"/>
      <c r="PMX77" s="548"/>
      <c r="PMY77" s="548"/>
      <c r="PMZ77" s="452"/>
      <c r="PNA77" s="596"/>
      <c r="PNB77" s="548"/>
      <c r="PNC77" s="548"/>
      <c r="PND77" s="548"/>
      <c r="PNE77" s="548"/>
      <c r="PNF77" s="548"/>
      <c r="PNG77" s="452"/>
      <c r="PNH77" s="596"/>
      <c r="PNI77" s="548"/>
      <c r="PNJ77" s="548"/>
      <c r="PNK77" s="548"/>
      <c r="PNL77" s="548"/>
      <c r="PNM77" s="548"/>
      <c r="PNN77" s="452"/>
      <c r="PNO77" s="596"/>
      <c r="PNP77" s="548"/>
      <c r="PNQ77" s="548"/>
      <c r="PNR77" s="548"/>
      <c r="PNS77" s="548"/>
      <c r="PNT77" s="548"/>
      <c r="PNU77" s="452"/>
      <c r="PNV77" s="596"/>
      <c r="PNW77" s="548"/>
      <c r="PNX77" s="548"/>
      <c r="PNY77" s="548"/>
      <c r="PNZ77" s="548"/>
      <c r="POA77" s="548"/>
      <c r="POB77" s="452"/>
      <c r="POC77" s="596"/>
      <c r="POD77" s="548"/>
      <c r="POE77" s="548"/>
      <c r="POF77" s="548"/>
      <c r="POG77" s="548"/>
      <c r="POH77" s="548"/>
      <c r="POI77" s="452"/>
      <c r="POJ77" s="596"/>
      <c r="POK77" s="548"/>
      <c r="POL77" s="548"/>
      <c r="POM77" s="548"/>
      <c r="PON77" s="548"/>
      <c r="POO77" s="548"/>
      <c r="POP77" s="452"/>
      <c r="POQ77" s="596"/>
      <c r="POR77" s="548"/>
      <c r="POS77" s="548"/>
      <c r="POT77" s="548"/>
      <c r="POU77" s="548"/>
      <c r="POV77" s="548"/>
      <c r="POW77" s="452"/>
      <c r="POX77" s="596"/>
      <c r="POY77" s="548"/>
      <c r="POZ77" s="548"/>
      <c r="PPA77" s="548"/>
      <c r="PPB77" s="548"/>
      <c r="PPC77" s="548"/>
      <c r="PPD77" s="452"/>
      <c r="PPE77" s="596"/>
      <c r="PPF77" s="548"/>
      <c r="PPG77" s="548"/>
      <c r="PPH77" s="548"/>
      <c r="PPI77" s="548"/>
      <c r="PPJ77" s="548"/>
      <c r="PPK77" s="452"/>
      <c r="PPL77" s="596"/>
      <c r="PPM77" s="548"/>
      <c r="PPN77" s="548"/>
      <c r="PPO77" s="548"/>
      <c r="PPP77" s="548"/>
      <c r="PPQ77" s="548"/>
      <c r="PPR77" s="452"/>
      <c r="PPS77" s="596"/>
      <c r="PPT77" s="548"/>
      <c r="PPU77" s="548"/>
      <c r="PPV77" s="548"/>
      <c r="PPW77" s="548"/>
      <c r="PPX77" s="548"/>
      <c r="PPY77" s="452"/>
      <c r="PPZ77" s="596"/>
      <c r="PQA77" s="548"/>
      <c r="PQB77" s="548"/>
      <c r="PQC77" s="548"/>
      <c r="PQD77" s="548"/>
      <c r="PQE77" s="548"/>
      <c r="PQF77" s="452"/>
      <c r="PQG77" s="596"/>
      <c r="PQH77" s="548"/>
      <c r="PQI77" s="548"/>
      <c r="PQJ77" s="548"/>
      <c r="PQK77" s="548"/>
      <c r="PQL77" s="548"/>
      <c r="PQM77" s="452"/>
      <c r="PQN77" s="596"/>
      <c r="PQO77" s="548"/>
      <c r="PQP77" s="548"/>
      <c r="PQQ77" s="548"/>
      <c r="PQR77" s="548"/>
      <c r="PQS77" s="548"/>
      <c r="PQT77" s="452"/>
      <c r="PQU77" s="596"/>
      <c r="PQV77" s="548"/>
      <c r="PQW77" s="548"/>
      <c r="PQX77" s="548"/>
      <c r="PQY77" s="548"/>
      <c r="PQZ77" s="548"/>
      <c r="PRA77" s="452"/>
      <c r="PRB77" s="596"/>
      <c r="PRC77" s="548"/>
      <c r="PRD77" s="548"/>
      <c r="PRE77" s="548"/>
      <c r="PRF77" s="548"/>
      <c r="PRG77" s="548"/>
      <c r="PRH77" s="452"/>
      <c r="PRI77" s="596"/>
      <c r="PRJ77" s="548"/>
      <c r="PRK77" s="548"/>
      <c r="PRL77" s="548"/>
      <c r="PRM77" s="548"/>
      <c r="PRN77" s="548"/>
      <c r="PRO77" s="452"/>
      <c r="PRP77" s="596"/>
      <c r="PRQ77" s="548"/>
      <c r="PRR77" s="548"/>
      <c r="PRS77" s="548"/>
      <c r="PRT77" s="548"/>
      <c r="PRU77" s="548"/>
      <c r="PRV77" s="452"/>
      <c r="PRW77" s="596"/>
      <c r="PRX77" s="548"/>
      <c r="PRY77" s="548"/>
      <c r="PRZ77" s="548"/>
      <c r="PSA77" s="548"/>
      <c r="PSB77" s="548"/>
      <c r="PSC77" s="452"/>
      <c r="PSD77" s="596"/>
      <c r="PSE77" s="548"/>
      <c r="PSF77" s="548"/>
      <c r="PSG77" s="548"/>
      <c r="PSH77" s="548"/>
      <c r="PSI77" s="548"/>
      <c r="PSJ77" s="452"/>
      <c r="PSK77" s="596"/>
      <c r="PSL77" s="548"/>
      <c r="PSM77" s="548"/>
      <c r="PSN77" s="548"/>
      <c r="PSO77" s="548"/>
      <c r="PSP77" s="548"/>
      <c r="PSQ77" s="452"/>
      <c r="PSR77" s="596"/>
      <c r="PSS77" s="548"/>
      <c r="PST77" s="548"/>
      <c r="PSU77" s="548"/>
      <c r="PSV77" s="548"/>
      <c r="PSW77" s="548"/>
      <c r="PSX77" s="452"/>
      <c r="PSY77" s="596"/>
      <c r="PSZ77" s="548"/>
      <c r="PTA77" s="548"/>
      <c r="PTB77" s="548"/>
      <c r="PTC77" s="548"/>
      <c r="PTD77" s="548"/>
      <c r="PTE77" s="452"/>
      <c r="PTF77" s="596"/>
      <c r="PTG77" s="548"/>
      <c r="PTH77" s="548"/>
      <c r="PTI77" s="548"/>
      <c r="PTJ77" s="548"/>
      <c r="PTK77" s="548"/>
      <c r="PTL77" s="452"/>
      <c r="PTM77" s="596"/>
      <c r="PTN77" s="548"/>
      <c r="PTO77" s="548"/>
      <c r="PTP77" s="548"/>
      <c r="PTQ77" s="548"/>
      <c r="PTR77" s="548"/>
      <c r="PTS77" s="452"/>
      <c r="PTT77" s="596"/>
      <c r="PTU77" s="548"/>
      <c r="PTV77" s="548"/>
      <c r="PTW77" s="548"/>
      <c r="PTX77" s="548"/>
      <c r="PTY77" s="548"/>
      <c r="PTZ77" s="452"/>
      <c r="PUA77" s="596"/>
      <c r="PUB77" s="548"/>
      <c r="PUC77" s="548"/>
      <c r="PUD77" s="548"/>
      <c r="PUE77" s="548"/>
      <c r="PUF77" s="548"/>
      <c r="PUG77" s="452"/>
      <c r="PUH77" s="596"/>
      <c r="PUI77" s="548"/>
      <c r="PUJ77" s="548"/>
      <c r="PUK77" s="548"/>
      <c r="PUL77" s="548"/>
      <c r="PUM77" s="548"/>
      <c r="PUN77" s="452"/>
      <c r="PUO77" s="596"/>
      <c r="PUP77" s="548"/>
      <c r="PUQ77" s="548"/>
      <c r="PUR77" s="548"/>
      <c r="PUS77" s="548"/>
      <c r="PUT77" s="548"/>
      <c r="PUU77" s="452"/>
      <c r="PUV77" s="596"/>
      <c r="PUW77" s="548"/>
      <c r="PUX77" s="548"/>
      <c r="PUY77" s="548"/>
      <c r="PUZ77" s="548"/>
      <c r="PVA77" s="548"/>
      <c r="PVB77" s="452"/>
      <c r="PVC77" s="596"/>
      <c r="PVD77" s="548"/>
      <c r="PVE77" s="548"/>
      <c r="PVF77" s="548"/>
      <c r="PVG77" s="548"/>
      <c r="PVH77" s="548"/>
      <c r="PVI77" s="452"/>
      <c r="PVJ77" s="596"/>
      <c r="PVK77" s="548"/>
      <c r="PVL77" s="548"/>
      <c r="PVM77" s="548"/>
      <c r="PVN77" s="548"/>
      <c r="PVO77" s="548"/>
      <c r="PVP77" s="452"/>
      <c r="PVQ77" s="596"/>
      <c r="PVR77" s="548"/>
      <c r="PVS77" s="548"/>
      <c r="PVT77" s="548"/>
      <c r="PVU77" s="548"/>
      <c r="PVV77" s="548"/>
      <c r="PVW77" s="452"/>
      <c r="PVX77" s="596"/>
      <c r="PVY77" s="548"/>
      <c r="PVZ77" s="548"/>
      <c r="PWA77" s="548"/>
      <c r="PWB77" s="548"/>
      <c r="PWC77" s="548"/>
      <c r="PWD77" s="452"/>
      <c r="PWE77" s="596"/>
      <c r="PWF77" s="548"/>
      <c r="PWG77" s="548"/>
      <c r="PWH77" s="548"/>
      <c r="PWI77" s="548"/>
      <c r="PWJ77" s="548"/>
      <c r="PWK77" s="452"/>
      <c r="PWL77" s="596"/>
      <c r="PWM77" s="548"/>
      <c r="PWN77" s="548"/>
      <c r="PWO77" s="548"/>
      <c r="PWP77" s="548"/>
      <c r="PWQ77" s="548"/>
      <c r="PWR77" s="452"/>
      <c r="PWS77" s="596"/>
      <c r="PWT77" s="548"/>
      <c r="PWU77" s="548"/>
      <c r="PWV77" s="548"/>
      <c r="PWW77" s="548"/>
      <c r="PWX77" s="548"/>
      <c r="PWY77" s="452"/>
      <c r="PWZ77" s="596"/>
      <c r="PXA77" s="548"/>
      <c r="PXB77" s="548"/>
      <c r="PXC77" s="548"/>
      <c r="PXD77" s="548"/>
      <c r="PXE77" s="548"/>
      <c r="PXF77" s="452"/>
      <c r="PXG77" s="596"/>
      <c r="PXH77" s="548"/>
      <c r="PXI77" s="548"/>
      <c r="PXJ77" s="548"/>
      <c r="PXK77" s="548"/>
      <c r="PXL77" s="548"/>
      <c r="PXM77" s="452"/>
      <c r="PXN77" s="596"/>
      <c r="PXO77" s="548"/>
      <c r="PXP77" s="548"/>
      <c r="PXQ77" s="548"/>
      <c r="PXR77" s="548"/>
      <c r="PXS77" s="548"/>
      <c r="PXT77" s="452"/>
      <c r="PXU77" s="596"/>
      <c r="PXV77" s="548"/>
      <c r="PXW77" s="548"/>
      <c r="PXX77" s="548"/>
      <c r="PXY77" s="548"/>
      <c r="PXZ77" s="548"/>
      <c r="PYA77" s="452"/>
      <c r="PYB77" s="596"/>
      <c r="PYC77" s="548"/>
      <c r="PYD77" s="548"/>
      <c r="PYE77" s="548"/>
      <c r="PYF77" s="548"/>
      <c r="PYG77" s="548"/>
      <c r="PYH77" s="452"/>
      <c r="PYI77" s="596"/>
      <c r="PYJ77" s="548"/>
      <c r="PYK77" s="548"/>
      <c r="PYL77" s="548"/>
      <c r="PYM77" s="548"/>
      <c r="PYN77" s="548"/>
      <c r="PYO77" s="452"/>
      <c r="PYP77" s="596"/>
      <c r="PYQ77" s="548"/>
      <c r="PYR77" s="548"/>
      <c r="PYS77" s="548"/>
      <c r="PYT77" s="548"/>
      <c r="PYU77" s="548"/>
      <c r="PYV77" s="452"/>
      <c r="PYW77" s="596"/>
      <c r="PYX77" s="548"/>
      <c r="PYY77" s="548"/>
      <c r="PYZ77" s="548"/>
      <c r="PZA77" s="548"/>
      <c r="PZB77" s="548"/>
      <c r="PZC77" s="452"/>
      <c r="PZD77" s="596"/>
      <c r="PZE77" s="548"/>
      <c r="PZF77" s="548"/>
      <c r="PZG77" s="548"/>
      <c r="PZH77" s="548"/>
      <c r="PZI77" s="548"/>
      <c r="PZJ77" s="452"/>
      <c r="PZK77" s="596"/>
      <c r="PZL77" s="548"/>
      <c r="PZM77" s="548"/>
      <c r="PZN77" s="548"/>
      <c r="PZO77" s="548"/>
      <c r="PZP77" s="548"/>
      <c r="PZQ77" s="452"/>
      <c r="PZR77" s="596"/>
      <c r="PZS77" s="548"/>
      <c r="PZT77" s="548"/>
      <c r="PZU77" s="548"/>
      <c r="PZV77" s="548"/>
      <c r="PZW77" s="548"/>
      <c r="PZX77" s="452"/>
      <c r="PZY77" s="596"/>
      <c r="PZZ77" s="548"/>
      <c r="QAA77" s="548"/>
      <c r="QAB77" s="548"/>
      <c r="QAC77" s="548"/>
      <c r="QAD77" s="548"/>
      <c r="QAE77" s="452"/>
      <c r="QAF77" s="596"/>
      <c r="QAG77" s="548"/>
      <c r="QAH77" s="548"/>
      <c r="QAI77" s="548"/>
      <c r="QAJ77" s="548"/>
      <c r="QAK77" s="548"/>
      <c r="QAL77" s="452"/>
      <c r="QAM77" s="596"/>
      <c r="QAN77" s="548"/>
      <c r="QAO77" s="548"/>
      <c r="QAP77" s="548"/>
      <c r="QAQ77" s="548"/>
      <c r="QAR77" s="548"/>
      <c r="QAS77" s="452"/>
      <c r="QAT77" s="596"/>
      <c r="QAU77" s="548"/>
      <c r="QAV77" s="548"/>
      <c r="QAW77" s="548"/>
      <c r="QAX77" s="548"/>
      <c r="QAY77" s="548"/>
      <c r="QAZ77" s="452"/>
      <c r="QBA77" s="596"/>
      <c r="QBB77" s="548"/>
      <c r="QBC77" s="548"/>
      <c r="QBD77" s="548"/>
      <c r="QBE77" s="548"/>
      <c r="QBF77" s="548"/>
      <c r="QBG77" s="452"/>
      <c r="QBH77" s="596"/>
      <c r="QBI77" s="548"/>
      <c r="QBJ77" s="548"/>
      <c r="QBK77" s="548"/>
      <c r="QBL77" s="548"/>
      <c r="QBM77" s="548"/>
      <c r="QBN77" s="452"/>
      <c r="QBO77" s="596"/>
      <c r="QBP77" s="548"/>
      <c r="QBQ77" s="548"/>
      <c r="QBR77" s="548"/>
      <c r="QBS77" s="548"/>
      <c r="QBT77" s="548"/>
      <c r="QBU77" s="452"/>
      <c r="QBV77" s="596"/>
      <c r="QBW77" s="548"/>
      <c r="QBX77" s="548"/>
      <c r="QBY77" s="548"/>
      <c r="QBZ77" s="548"/>
      <c r="QCA77" s="548"/>
      <c r="QCB77" s="452"/>
      <c r="QCC77" s="596"/>
      <c r="QCD77" s="548"/>
      <c r="QCE77" s="548"/>
      <c r="QCF77" s="548"/>
      <c r="QCG77" s="548"/>
      <c r="QCH77" s="548"/>
      <c r="QCI77" s="452"/>
      <c r="QCJ77" s="596"/>
      <c r="QCK77" s="548"/>
      <c r="QCL77" s="548"/>
      <c r="QCM77" s="548"/>
      <c r="QCN77" s="548"/>
      <c r="QCO77" s="548"/>
      <c r="QCP77" s="452"/>
      <c r="QCQ77" s="596"/>
      <c r="QCR77" s="548"/>
      <c r="QCS77" s="548"/>
      <c r="QCT77" s="548"/>
      <c r="QCU77" s="548"/>
      <c r="QCV77" s="548"/>
      <c r="QCW77" s="452"/>
      <c r="QCX77" s="596"/>
      <c r="QCY77" s="548"/>
      <c r="QCZ77" s="548"/>
      <c r="QDA77" s="548"/>
      <c r="QDB77" s="548"/>
      <c r="QDC77" s="548"/>
      <c r="QDD77" s="452"/>
      <c r="QDE77" s="596"/>
      <c r="QDF77" s="548"/>
      <c r="QDG77" s="548"/>
      <c r="QDH77" s="548"/>
      <c r="QDI77" s="548"/>
      <c r="QDJ77" s="548"/>
      <c r="QDK77" s="452"/>
      <c r="QDL77" s="596"/>
      <c r="QDM77" s="548"/>
      <c r="QDN77" s="548"/>
      <c r="QDO77" s="548"/>
      <c r="QDP77" s="548"/>
      <c r="QDQ77" s="548"/>
      <c r="QDR77" s="452"/>
      <c r="QDS77" s="596"/>
      <c r="QDT77" s="548"/>
      <c r="QDU77" s="548"/>
      <c r="QDV77" s="548"/>
      <c r="QDW77" s="548"/>
      <c r="QDX77" s="548"/>
      <c r="QDY77" s="452"/>
      <c r="QDZ77" s="596"/>
      <c r="QEA77" s="548"/>
      <c r="QEB77" s="548"/>
      <c r="QEC77" s="548"/>
      <c r="QED77" s="548"/>
      <c r="QEE77" s="548"/>
      <c r="QEF77" s="452"/>
      <c r="QEG77" s="596"/>
      <c r="QEH77" s="548"/>
      <c r="QEI77" s="548"/>
      <c r="QEJ77" s="548"/>
      <c r="QEK77" s="548"/>
      <c r="QEL77" s="548"/>
      <c r="QEM77" s="452"/>
      <c r="QEN77" s="596"/>
      <c r="QEO77" s="548"/>
      <c r="QEP77" s="548"/>
      <c r="QEQ77" s="548"/>
      <c r="QER77" s="548"/>
      <c r="QES77" s="548"/>
      <c r="QET77" s="452"/>
      <c r="QEU77" s="596"/>
      <c r="QEV77" s="548"/>
      <c r="QEW77" s="548"/>
      <c r="QEX77" s="548"/>
      <c r="QEY77" s="548"/>
      <c r="QEZ77" s="548"/>
      <c r="QFA77" s="452"/>
      <c r="QFB77" s="596"/>
      <c r="QFC77" s="548"/>
      <c r="QFD77" s="548"/>
      <c r="QFE77" s="548"/>
      <c r="QFF77" s="548"/>
      <c r="QFG77" s="548"/>
      <c r="QFH77" s="452"/>
      <c r="QFI77" s="596"/>
      <c r="QFJ77" s="548"/>
      <c r="QFK77" s="548"/>
      <c r="QFL77" s="548"/>
      <c r="QFM77" s="548"/>
      <c r="QFN77" s="548"/>
      <c r="QFO77" s="452"/>
      <c r="QFP77" s="596"/>
      <c r="QFQ77" s="548"/>
      <c r="QFR77" s="548"/>
      <c r="QFS77" s="548"/>
      <c r="QFT77" s="548"/>
      <c r="QFU77" s="548"/>
      <c r="QFV77" s="452"/>
      <c r="QFW77" s="596"/>
      <c r="QFX77" s="548"/>
      <c r="QFY77" s="548"/>
      <c r="QFZ77" s="548"/>
      <c r="QGA77" s="548"/>
      <c r="QGB77" s="548"/>
      <c r="QGC77" s="452"/>
      <c r="QGD77" s="596"/>
      <c r="QGE77" s="548"/>
      <c r="QGF77" s="548"/>
      <c r="QGG77" s="548"/>
      <c r="QGH77" s="548"/>
      <c r="QGI77" s="548"/>
      <c r="QGJ77" s="452"/>
      <c r="QGK77" s="596"/>
      <c r="QGL77" s="548"/>
      <c r="QGM77" s="548"/>
      <c r="QGN77" s="548"/>
      <c r="QGO77" s="548"/>
      <c r="QGP77" s="548"/>
      <c r="QGQ77" s="452"/>
      <c r="QGR77" s="596"/>
      <c r="QGS77" s="548"/>
      <c r="QGT77" s="548"/>
      <c r="QGU77" s="548"/>
      <c r="QGV77" s="548"/>
      <c r="QGW77" s="548"/>
      <c r="QGX77" s="452"/>
      <c r="QGY77" s="596"/>
      <c r="QGZ77" s="548"/>
      <c r="QHA77" s="548"/>
      <c r="QHB77" s="548"/>
      <c r="QHC77" s="548"/>
      <c r="QHD77" s="548"/>
      <c r="QHE77" s="452"/>
      <c r="QHF77" s="596"/>
      <c r="QHG77" s="548"/>
      <c r="QHH77" s="548"/>
      <c r="QHI77" s="548"/>
      <c r="QHJ77" s="548"/>
      <c r="QHK77" s="548"/>
      <c r="QHL77" s="452"/>
      <c r="QHM77" s="596"/>
      <c r="QHN77" s="548"/>
      <c r="QHO77" s="548"/>
      <c r="QHP77" s="548"/>
      <c r="QHQ77" s="548"/>
      <c r="QHR77" s="548"/>
      <c r="QHS77" s="452"/>
      <c r="QHT77" s="596"/>
      <c r="QHU77" s="548"/>
      <c r="QHV77" s="548"/>
      <c r="QHW77" s="548"/>
      <c r="QHX77" s="548"/>
      <c r="QHY77" s="548"/>
      <c r="QHZ77" s="452"/>
      <c r="QIA77" s="596"/>
      <c r="QIB77" s="548"/>
      <c r="QIC77" s="548"/>
      <c r="QID77" s="548"/>
      <c r="QIE77" s="548"/>
      <c r="QIF77" s="548"/>
      <c r="QIG77" s="452"/>
      <c r="QIH77" s="596"/>
      <c r="QII77" s="548"/>
      <c r="QIJ77" s="548"/>
      <c r="QIK77" s="548"/>
      <c r="QIL77" s="548"/>
      <c r="QIM77" s="548"/>
      <c r="QIN77" s="452"/>
      <c r="QIO77" s="596"/>
      <c r="QIP77" s="548"/>
      <c r="QIQ77" s="548"/>
      <c r="QIR77" s="548"/>
      <c r="QIS77" s="548"/>
      <c r="QIT77" s="548"/>
      <c r="QIU77" s="452"/>
      <c r="QIV77" s="596"/>
      <c r="QIW77" s="548"/>
      <c r="QIX77" s="548"/>
      <c r="QIY77" s="548"/>
      <c r="QIZ77" s="548"/>
      <c r="QJA77" s="548"/>
      <c r="QJB77" s="452"/>
      <c r="QJC77" s="596"/>
      <c r="QJD77" s="548"/>
      <c r="QJE77" s="548"/>
      <c r="QJF77" s="548"/>
      <c r="QJG77" s="548"/>
      <c r="QJH77" s="548"/>
      <c r="QJI77" s="452"/>
      <c r="QJJ77" s="596"/>
      <c r="QJK77" s="548"/>
      <c r="QJL77" s="548"/>
      <c r="QJM77" s="548"/>
      <c r="QJN77" s="548"/>
      <c r="QJO77" s="548"/>
      <c r="QJP77" s="452"/>
      <c r="QJQ77" s="596"/>
      <c r="QJR77" s="548"/>
      <c r="QJS77" s="548"/>
      <c r="QJT77" s="548"/>
      <c r="QJU77" s="548"/>
      <c r="QJV77" s="548"/>
      <c r="QJW77" s="452"/>
      <c r="QJX77" s="596"/>
      <c r="QJY77" s="548"/>
      <c r="QJZ77" s="548"/>
      <c r="QKA77" s="548"/>
      <c r="QKB77" s="548"/>
      <c r="QKC77" s="548"/>
      <c r="QKD77" s="452"/>
      <c r="QKE77" s="596"/>
      <c r="QKF77" s="548"/>
      <c r="QKG77" s="548"/>
      <c r="QKH77" s="548"/>
      <c r="QKI77" s="548"/>
      <c r="QKJ77" s="548"/>
      <c r="QKK77" s="452"/>
      <c r="QKL77" s="596"/>
      <c r="QKM77" s="548"/>
      <c r="QKN77" s="548"/>
      <c r="QKO77" s="548"/>
      <c r="QKP77" s="548"/>
      <c r="QKQ77" s="548"/>
      <c r="QKR77" s="452"/>
      <c r="QKS77" s="596"/>
      <c r="QKT77" s="548"/>
      <c r="QKU77" s="548"/>
      <c r="QKV77" s="548"/>
      <c r="QKW77" s="548"/>
      <c r="QKX77" s="548"/>
      <c r="QKY77" s="452"/>
      <c r="QKZ77" s="596"/>
      <c r="QLA77" s="548"/>
      <c r="QLB77" s="548"/>
      <c r="QLC77" s="548"/>
      <c r="QLD77" s="548"/>
      <c r="QLE77" s="548"/>
      <c r="QLF77" s="452"/>
      <c r="QLG77" s="596"/>
      <c r="QLH77" s="548"/>
      <c r="QLI77" s="548"/>
      <c r="QLJ77" s="548"/>
      <c r="QLK77" s="548"/>
      <c r="QLL77" s="548"/>
      <c r="QLM77" s="452"/>
      <c r="QLN77" s="596"/>
      <c r="QLO77" s="548"/>
      <c r="QLP77" s="548"/>
      <c r="QLQ77" s="548"/>
      <c r="QLR77" s="548"/>
      <c r="QLS77" s="548"/>
      <c r="QLT77" s="452"/>
      <c r="QLU77" s="596"/>
      <c r="QLV77" s="548"/>
      <c r="QLW77" s="548"/>
      <c r="QLX77" s="548"/>
      <c r="QLY77" s="548"/>
      <c r="QLZ77" s="548"/>
      <c r="QMA77" s="452"/>
      <c r="QMB77" s="596"/>
      <c r="QMC77" s="548"/>
      <c r="QMD77" s="548"/>
      <c r="QME77" s="548"/>
      <c r="QMF77" s="548"/>
      <c r="QMG77" s="548"/>
      <c r="QMH77" s="452"/>
      <c r="QMI77" s="596"/>
      <c r="QMJ77" s="548"/>
      <c r="QMK77" s="548"/>
      <c r="QML77" s="548"/>
      <c r="QMM77" s="548"/>
      <c r="QMN77" s="548"/>
      <c r="QMO77" s="452"/>
      <c r="QMP77" s="596"/>
      <c r="QMQ77" s="548"/>
      <c r="QMR77" s="548"/>
      <c r="QMS77" s="548"/>
      <c r="QMT77" s="548"/>
      <c r="QMU77" s="548"/>
      <c r="QMV77" s="452"/>
      <c r="QMW77" s="596"/>
      <c r="QMX77" s="548"/>
      <c r="QMY77" s="548"/>
      <c r="QMZ77" s="548"/>
      <c r="QNA77" s="548"/>
      <c r="QNB77" s="548"/>
      <c r="QNC77" s="452"/>
      <c r="QND77" s="596"/>
      <c r="QNE77" s="548"/>
      <c r="QNF77" s="548"/>
      <c r="QNG77" s="548"/>
      <c r="QNH77" s="548"/>
      <c r="QNI77" s="548"/>
      <c r="QNJ77" s="452"/>
      <c r="QNK77" s="596"/>
      <c r="QNL77" s="548"/>
      <c r="QNM77" s="548"/>
      <c r="QNN77" s="548"/>
      <c r="QNO77" s="548"/>
      <c r="QNP77" s="548"/>
      <c r="QNQ77" s="452"/>
      <c r="QNR77" s="596"/>
      <c r="QNS77" s="548"/>
      <c r="QNT77" s="548"/>
      <c r="QNU77" s="548"/>
      <c r="QNV77" s="548"/>
      <c r="QNW77" s="548"/>
      <c r="QNX77" s="452"/>
      <c r="QNY77" s="596"/>
      <c r="QNZ77" s="548"/>
      <c r="QOA77" s="548"/>
      <c r="QOB77" s="548"/>
      <c r="QOC77" s="548"/>
      <c r="QOD77" s="548"/>
      <c r="QOE77" s="452"/>
      <c r="QOF77" s="596"/>
      <c r="QOG77" s="548"/>
      <c r="QOH77" s="548"/>
      <c r="QOI77" s="548"/>
      <c r="QOJ77" s="548"/>
      <c r="QOK77" s="548"/>
      <c r="QOL77" s="452"/>
      <c r="QOM77" s="596"/>
      <c r="QON77" s="548"/>
      <c r="QOO77" s="548"/>
      <c r="QOP77" s="548"/>
      <c r="QOQ77" s="548"/>
      <c r="QOR77" s="548"/>
      <c r="QOS77" s="452"/>
      <c r="QOT77" s="596"/>
      <c r="QOU77" s="548"/>
      <c r="QOV77" s="548"/>
      <c r="QOW77" s="548"/>
      <c r="QOX77" s="548"/>
      <c r="QOY77" s="548"/>
      <c r="QOZ77" s="452"/>
      <c r="QPA77" s="596"/>
      <c r="QPB77" s="548"/>
      <c r="QPC77" s="548"/>
      <c r="QPD77" s="548"/>
      <c r="QPE77" s="548"/>
      <c r="QPF77" s="548"/>
      <c r="QPG77" s="452"/>
      <c r="QPH77" s="596"/>
      <c r="QPI77" s="548"/>
      <c r="QPJ77" s="548"/>
      <c r="QPK77" s="548"/>
      <c r="QPL77" s="548"/>
      <c r="QPM77" s="548"/>
      <c r="QPN77" s="452"/>
      <c r="QPO77" s="596"/>
      <c r="QPP77" s="548"/>
      <c r="QPQ77" s="548"/>
      <c r="QPR77" s="548"/>
      <c r="QPS77" s="548"/>
      <c r="QPT77" s="548"/>
      <c r="QPU77" s="452"/>
      <c r="QPV77" s="596"/>
      <c r="QPW77" s="548"/>
      <c r="QPX77" s="548"/>
      <c r="QPY77" s="548"/>
      <c r="QPZ77" s="548"/>
      <c r="QQA77" s="548"/>
      <c r="QQB77" s="452"/>
      <c r="QQC77" s="596"/>
      <c r="QQD77" s="548"/>
      <c r="QQE77" s="548"/>
      <c r="QQF77" s="548"/>
      <c r="QQG77" s="548"/>
      <c r="QQH77" s="548"/>
      <c r="QQI77" s="452"/>
      <c r="QQJ77" s="596"/>
      <c r="QQK77" s="548"/>
      <c r="QQL77" s="548"/>
      <c r="QQM77" s="548"/>
      <c r="QQN77" s="548"/>
      <c r="QQO77" s="548"/>
      <c r="QQP77" s="452"/>
      <c r="QQQ77" s="596"/>
      <c r="QQR77" s="548"/>
      <c r="QQS77" s="548"/>
      <c r="QQT77" s="548"/>
      <c r="QQU77" s="548"/>
      <c r="QQV77" s="548"/>
      <c r="QQW77" s="452"/>
      <c r="QQX77" s="596"/>
      <c r="QQY77" s="548"/>
      <c r="QQZ77" s="548"/>
      <c r="QRA77" s="548"/>
      <c r="QRB77" s="548"/>
      <c r="QRC77" s="548"/>
      <c r="QRD77" s="452"/>
      <c r="QRE77" s="596"/>
      <c r="QRF77" s="548"/>
      <c r="QRG77" s="548"/>
      <c r="QRH77" s="548"/>
      <c r="QRI77" s="548"/>
      <c r="QRJ77" s="548"/>
      <c r="QRK77" s="452"/>
      <c r="QRL77" s="596"/>
      <c r="QRM77" s="548"/>
      <c r="QRN77" s="548"/>
      <c r="QRO77" s="548"/>
      <c r="QRP77" s="548"/>
      <c r="QRQ77" s="548"/>
      <c r="QRR77" s="452"/>
      <c r="QRS77" s="596"/>
      <c r="QRT77" s="548"/>
      <c r="QRU77" s="548"/>
      <c r="QRV77" s="548"/>
      <c r="QRW77" s="548"/>
      <c r="QRX77" s="548"/>
      <c r="QRY77" s="452"/>
      <c r="QRZ77" s="596"/>
      <c r="QSA77" s="548"/>
      <c r="QSB77" s="548"/>
      <c r="QSC77" s="548"/>
      <c r="QSD77" s="548"/>
      <c r="QSE77" s="548"/>
      <c r="QSF77" s="452"/>
      <c r="QSG77" s="596"/>
      <c r="QSH77" s="548"/>
      <c r="QSI77" s="548"/>
      <c r="QSJ77" s="548"/>
      <c r="QSK77" s="548"/>
      <c r="QSL77" s="548"/>
      <c r="QSM77" s="452"/>
      <c r="QSN77" s="596"/>
      <c r="QSO77" s="548"/>
      <c r="QSP77" s="548"/>
      <c r="QSQ77" s="548"/>
      <c r="QSR77" s="548"/>
      <c r="QSS77" s="548"/>
      <c r="QST77" s="452"/>
      <c r="QSU77" s="596"/>
      <c r="QSV77" s="548"/>
      <c r="QSW77" s="548"/>
      <c r="QSX77" s="548"/>
      <c r="QSY77" s="548"/>
      <c r="QSZ77" s="548"/>
      <c r="QTA77" s="452"/>
      <c r="QTB77" s="596"/>
      <c r="QTC77" s="548"/>
      <c r="QTD77" s="548"/>
      <c r="QTE77" s="548"/>
      <c r="QTF77" s="548"/>
      <c r="QTG77" s="548"/>
      <c r="QTH77" s="452"/>
      <c r="QTI77" s="596"/>
      <c r="QTJ77" s="548"/>
      <c r="QTK77" s="548"/>
      <c r="QTL77" s="548"/>
      <c r="QTM77" s="548"/>
      <c r="QTN77" s="548"/>
      <c r="QTO77" s="452"/>
      <c r="QTP77" s="596"/>
      <c r="QTQ77" s="548"/>
      <c r="QTR77" s="548"/>
      <c r="QTS77" s="548"/>
      <c r="QTT77" s="548"/>
      <c r="QTU77" s="548"/>
      <c r="QTV77" s="452"/>
      <c r="QTW77" s="596"/>
      <c r="QTX77" s="548"/>
      <c r="QTY77" s="548"/>
      <c r="QTZ77" s="548"/>
      <c r="QUA77" s="548"/>
      <c r="QUB77" s="548"/>
      <c r="QUC77" s="452"/>
      <c r="QUD77" s="596"/>
      <c r="QUE77" s="548"/>
      <c r="QUF77" s="548"/>
      <c r="QUG77" s="548"/>
      <c r="QUH77" s="548"/>
      <c r="QUI77" s="548"/>
      <c r="QUJ77" s="452"/>
      <c r="QUK77" s="596"/>
      <c r="QUL77" s="548"/>
      <c r="QUM77" s="548"/>
      <c r="QUN77" s="548"/>
      <c r="QUO77" s="548"/>
      <c r="QUP77" s="548"/>
      <c r="QUQ77" s="452"/>
      <c r="QUR77" s="596"/>
      <c r="QUS77" s="548"/>
      <c r="QUT77" s="548"/>
      <c r="QUU77" s="548"/>
      <c r="QUV77" s="548"/>
      <c r="QUW77" s="548"/>
      <c r="QUX77" s="452"/>
      <c r="QUY77" s="596"/>
      <c r="QUZ77" s="548"/>
      <c r="QVA77" s="548"/>
      <c r="QVB77" s="548"/>
      <c r="QVC77" s="548"/>
      <c r="QVD77" s="548"/>
      <c r="QVE77" s="452"/>
      <c r="QVF77" s="596"/>
      <c r="QVG77" s="548"/>
      <c r="QVH77" s="548"/>
      <c r="QVI77" s="548"/>
      <c r="QVJ77" s="548"/>
      <c r="QVK77" s="548"/>
      <c r="QVL77" s="452"/>
      <c r="QVM77" s="596"/>
      <c r="QVN77" s="548"/>
      <c r="QVO77" s="548"/>
      <c r="QVP77" s="548"/>
      <c r="QVQ77" s="548"/>
      <c r="QVR77" s="548"/>
      <c r="QVS77" s="452"/>
      <c r="QVT77" s="596"/>
      <c r="QVU77" s="548"/>
      <c r="QVV77" s="548"/>
      <c r="QVW77" s="548"/>
      <c r="QVX77" s="548"/>
      <c r="QVY77" s="548"/>
      <c r="QVZ77" s="452"/>
      <c r="QWA77" s="596"/>
      <c r="QWB77" s="548"/>
      <c r="QWC77" s="548"/>
      <c r="QWD77" s="548"/>
      <c r="QWE77" s="548"/>
      <c r="QWF77" s="548"/>
      <c r="QWG77" s="452"/>
      <c r="QWH77" s="596"/>
      <c r="QWI77" s="548"/>
      <c r="QWJ77" s="548"/>
      <c r="QWK77" s="548"/>
      <c r="QWL77" s="548"/>
      <c r="QWM77" s="548"/>
      <c r="QWN77" s="452"/>
      <c r="QWO77" s="596"/>
      <c r="QWP77" s="548"/>
      <c r="QWQ77" s="548"/>
      <c r="QWR77" s="548"/>
      <c r="QWS77" s="548"/>
      <c r="QWT77" s="548"/>
      <c r="QWU77" s="452"/>
      <c r="QWV77" s="596"/>
      <c r="QWW77" s="548"/>
      <c r="QWX77" s="548"/>
      <c r="QWY77" s="548"/>
      <c r="QWZ77" s="548"/>
      <c r="QXA77" s="548"/>
      <c r="QXB77" s="452"/>
      <c r="QXC77" s="596"/>
      <c r="QXD77" s="548"/>
      <c r="QXE77" s="548"/>
      <c r="QXF77" s="548"/>
      <c r="QXG77" s="548"/>
      <c r="QXH77" s="548"/>
      <c r="QXI77" s="452"/>
      <c r="QXJ77" s="596"/>
      <c r="QXK77" s="548"/>
      <c r="QXL77" s="548"/>
      <c r="QXM77" s="548"/>
      <c r="QXN77" s="548"/>
      <c r="QXO77" s="548"/>
      <c r="QXP77" s="452"/>
      <c r="QXQ77" s="596"/>
      <c r="QXR77" s="548"/>
      <c r="QXS77" s="548"/>
      <c r="QXT77" s="548"/>
      <c r="QXU77" s="548"/>
      <c r="QXV77" s="548"/>
      <c r="QXW77" s="452"/>
      <c r="QXX77" s="596"/>
      <c r="QXY77" s="548"/>
      <c r="QXZ77" s="548"/>
      <c r="QYA77" s="548"/>
      <c r="QYB77" s="548"/>
      <c r="QYC77" s="548"/>
      <c r="QYD77" s="452"/>
      <c r="QYE77" s="596"/>
      <c r="QYF77" s="548"/>
      <c r="QYG77" s="548"/>
      <c r="QYH77" s="548"/>
      <c r="QYI77" s="548"/>
      <c r="QYJ77" s="548"/>
      <c r="QYK77" s="452"/>
      <c r="QYL77" s="596"/>
      <c r="QYM77" s="548"/>
      <c r="QYN77" s="548"/>
      <c r="QYO77" s="548"/>
      <c r="QYP77" s="548"/>
      <c r="QYQ77" s="548"/>
      <c r="QYR77" s="452"/>
      <c r="QYS77" s="596"/>
      <c r="QYT77" s="548"/>
      <c r="QYU77" s="548"/>
      <c r="QYV77" s="548"/>
      <c r="QYW77" s="548"/>
      <c r="QYX77" s="548"/>
      <c r="QYY77" s="452"/>
      <c r="QYZ77" s="596"/>
      <c r="QZA77" s="548"/>
      <c r="QZB77" s="548"/>
      <c r="QZC77" s="548"/>
      <c r="QZD77" s="548"/>
      <c r="QZE77" s="548"/>
      <c r="QZF77" s="452"/>
      <c r="QZG77" s="596"/>
      <c r="QZH77" s="548"/>
      <c r="QZI77" s="548"/>
      <c r="QZJ77" s="548"/>
      <c r="QZK77" s="548"/>
      <c r="QZL77" s="548"/>
      <c r="QZM77" s="452"/>
      <c r="QZN77" s="596"/>
      <c r="QZO77" s="548"/>
      <c r="QZP77" s="548"/>
      <c r="QZQ77" s="548"/>
      <c r="QZR77" s="548"/>
      <c r="QZS77" s="548"/>
      <c r="QZT77" s="452"/>
      <c r="QZU77" s="596"/>
      <c r="QZV77" s="548"/>
      <c r="QZW77" s="548"/>
      <c r="QZX77" s="548"/>
      <c r="QZY77" s="548"/>
      <c r="QZZ77" s="548"/>
      <c r="RAA77" s="452"/>
      <c r="RAB77" s="596"/>
      <c r="RAC77" s="548"/>
      <c r="RAD77" s="548"/>
      <c r="RAE77" s="548"/>
      <c r="RAF77" s="548"/>
      <c r="RAG77" s="548"/>
      <c r="RAH77" s="452"/>
      <c r="RAI77" s="596"/>
      <c r="RAJ77" s="548"/>
      <c r="RAK77" s="548"/>
      <c r="RAL77" s="548"/>
      <c r="RAM77" s="548"/>
      <c r="RAN77" s="548"/>
      <c r="RAO77" s="452"/>
      <c r="RAP77" s="596"/>
      <c r="RAQ77" s="548"/>
      <c r="RAR77" s="548"/>
      <c r="RAS77" s="548"/>
      <c r="RAT77" s="548"/>
      <c r="RAU77" s="548"/>
      <c r="RAV77" s="452"/>
      <c r="RAW77" s="596"/>
      <c r="RAX77" s="548"/>
      <c r="RAY77" s="548"/>
      <c r="RAZ77" s="548"/>
      <c r="RBA77" s="548"/>
      <c r="RBB77" s="548"/>
      <c r="RBC77" s="452"/>
      <c r="RBD77" s="596"/>
      <c r="RBE77" s="548"/>
      <c r="RBF77" s="548"/>
      <c r="RBG77" s="548"/>
      <c r="RBH77" s="548"/>
      <c r="RBI77" s="548"/>
      <c r="RBJ77" s="452"/>
      <c r="RBK77" s="596"/>
      <c r="RBL77" s="548"/>
      <c r="RBM77" s="548"/>
      <c r="RBN77" s="548"/>
      <c r="RBO77" s="548"/>
      <c r="RBP77" s="548"/>
      <c r="RBQ77" s="452"/>
      <c r="RBR77" s="596"/>
      <c r="RBS77" s="548"/>
      <c r="RBT77" s="548"/>
      <c r="RBU77" s="548"/>
      <c r="RBV77" s="548"/>
      <c r="RBW77" s="548"/>
      <c r="RBX77" s="452"/>
      <c r="RBY77" s="596"/>
      <c r="RBZ77" s="548"/>
      <c r="RCA77" s="548"/>
      <c r="RCB77" s="548"/>
      <c r="RCC77" s="548"/>
      <c r="RCD77" s="548"/>
      <c r="RCE77" s="452"/>
      <c r="RCF77" s="596"/>
      <c r="RCG77" s="548"/>
      <c r="RCH77" s="548"/>
      <c r="RCI77" s="548"/>
      <c r="RCJ77" s="548"/>
      <c r="RCK77" s="548"/>
      <c r="RCL77" s="452"/>
      <c r="RCM77" s="596"/>
      <c r="RCN77" s="548"/>
      <c r="RCO77" s="548"/>
      <c r="RCP77" s="548"/>
      <c r="RCQ77" s="548"/>
      <c r="RCR77" s="548"/>
      <c r="RCS77" s="452"/>
      <c r="RCT77" s="596"/>
      <c r="RCU77" s="548"/>
      <c r="RCV77" s="548"/>
      <c r="RCW77" s="548"/>
      <c r="RCX77" s="548"/>
      <c r="RCY77" s="548"/>
      <c r="RCZ77" s="452"/>
      <c r="RDA77" s="596"/>
      <c r="RDB77" s="548"/>
      <c r="RDC77" s="548"/>
      <c r="RDD77" s="548"/>
      <c r="RDE77" s="548"/>
      <c r="RDF77" s="548"/>
      <c r="RDG77" s="452"/>
      <c r="RDH77" s="596"/>
      <c r="RDI77" s="548"/>
      <c r="RDJ77" s="548"/>
      <c r="RDK77" s="548"/>
      <c r="RDL77" s="548"/>
      <c r="RDM77" s="548"/>
      <c r="RDN77" s="452"/>
      <c r="RDO77" s="596"/>
      <c r="RDP77" s="548"/>
      <c r="RDQ77" s="548"/>
      <c r="RDR77" s="548"/>
      <c r="RDS77" s="548"/>
      <c r="RDT77" s="548"/>
      <c r="RDU77" s="452"/>
      <c r="RDV77" s="596"/>
      <c r="RDW77" s="548"/>
      <c r="RDX77" s="548"/>
      <c r="RDY77" s="548"/>
      <c r="RDZ77" s="548"/>
      <c r="REA77" s="548"/>
      <c r="REB77" s="452"/>
      <c r="REC77" s="596"/>
      <c r="RED77" s="548"/>
      <c r="REE77" s="548"/>
      <c r="REF77" s="548"/>
      <c r="REG77" s="548"/>
      <c r="REH77" s="548"/>
      <c r="REI77" s="452"/>
      <c r="REJ77" s="596"/>
      <c r="REK77" s="548"/>
      <c r="REL77" s="548"/>
      <c r="REM77" s="548"/>
      <c r="REN77" s="548"/>
      <c r="REO77" s="548"/>
      <c r="REP77" s="452"/>
      <c r="REQ77" s="596"/>
      <c r="RER77" s="548"/>
      <c r="RES77" s="548"/>
      <c r="RET77" s="548"/>
      <c r="REU77" s="548"/>
      <c r="REV77" s="548"/>
      <c r="REW77" s="452"/>
      <c r="REX77" s="596"/>
      <c r="REY77" s="548"/>
      <c r="REZ77" s="548"/>
      <c r="RFA77" s="548"/>
      <c r="RFB77" s="548"/>
      <c r="RFC77" s="548"/>
      <c r="RFD77" s="452"/>
      <c r="RFE77" s="596"/>
      <c r="RFF77" s="548"/>
      <c r="RFG77" s="548"/>
      <c r="RFH77" s="548"/>
      <c r="RFI77" s="548"/>
      <c r="RFJ77" s="548"/>
      <c r="RFK77" s="452"/>
      <c r="RFL77" s="596"/>
      <c r="RFM77" s="548"/>
      <c r="RFN77" s="548"/>
      <c r="RFO77" s="548"/>
      <c r="RFP77" s="548"/>
      <c r="RFQ77" s="548"/>
      <c r="RFR77" s="452"/>
      <c r="RFS77" s="596"/>
      <c r="RFT77" s="548"/>
      <c r="RFU77" s="548"/>
      <c r="RFV77" s="548"/>
      <c r="RFW77" s="548"/>
      <c r="RFX77" s="548"/>
      <c r="RFY77" s="452"/>
      <c r="RFZ77" s="596"/>
      <c r="RGA77" s="548"/>
      <c r="RGB77" s="548"/>
      <c r="RGC77" s="548"/>
      <c r="RGD77" s="548"/>
      <c r="RGE77" s="548"/>
      <c r="RGF77" s="452"/>
      <c r="RGG77" s="596"/>
      <c r="RGH77" s="548"/>
      <c r="RGI77" s="548"/>
      <c r="RGJ77" s="548"/>
      <c r="RGK77" s="548"/>
      <c r="RGL77" s="548"/>
      <c r="RGM77" s="452"/>
      <c r="RGN77" s="596"/>
      <c r="RGO77" s="548"/>
      <c r="RGP77" s="548"/>
      <c r="RGQ77" s="548"/>
      <c r="RGR77" s="548"/>
      <c r="RGS77" s="548"/>
      <c r="RGT77" s="452"/>
      <c r="RGU77" s="596"/>
      <c r="RGV77" s="548"/>
      <c r="RGW77" s="548"/>
      <c r="RGX77" s="548"/>
      <c r="RGY77" s="548"/>
      <c r="RGZ77" s="548"/>
      <c r="RHA77" s="452"/>
      <c r="RHB77" s="596"/>
      <c r="RHC77" s="548"/>
      <c r="RHD77" s="548"/>
      <c r="RHE77" s="548"/>
      <c r="RHF77" s="548"/>
      <c r="RHG77" s="548"/>
      <c r="RHH77" s="452"/>
      <c r="RHI77" s="596"/>
      <c r="RHJ77" s="548"/>
      <c r="RHK77" s="548"/>
      <c r="RHL77" s="548"/>
      <c r="RHM77" s="548"/>
      <c r="RHN77" s="548"/>
      <c r="RHO77" s="452"/>
      <c r="RHP77" s="596"/>
      <c r="RHQ77" s="548"/>
      <c r="RHR77" s="548"/>
      <c r="RHS77" s="548"/>
      <c r="RHT77" s="548"/>
      <c r="RHU77" s="548"/>
      <c r="RHV77" s="452"/>
      <c r="RHW77" s="596"/>
      <c r="RHX77" s="548"/>
      <c r="RHY77" s="548"/>
      <c r="RHZ77" s="548"/>
      <c r="RIA77" s="548"/>
      <c r="RIB77" s="548"/>
      <c r="RIC77" s="452"/>
      <c r="RID77" s="596"/>
      <c r="RIE77" s="548"/>
      <c r="RIF77" s="548"/>
      <c r="RIG77" s="548"/>
      <c r="RIH77" s="548"/>
      <c r="RII77" s="548"/>
      <c r="RIJ77" s="452"/>
      <c r="RIK77" s="596"/>
      <c r="RIL77" s="548"/>
      <c r="RIM77" s="548"/>
      <c r="RIN77" s="548"/>
      <c r="RIO77" s="548"/>
      <c r="RIP77" s="548"/>
      <c r="RIQ77" s="452"/>
      <c r="RIR77" s="596"/>
      <c r="RIS77" s="548"/>
      <c r="RIT77" s="548"/>
      <c r="RIU77" s="548"/>
      <c r="RIV77" s="548"/>
      <c r="RIW77" s="548"/>
      <c r="RIX77" s="452"/>
      <c r="RIY77" s="596"/>
      <c r="RIZ77" s="548"/>
      <c r="RJA77" s="548"/>
      <c r="RJB77" s="548"/>
      <c r="RJC77" s="548"/>
      <c r="RJD77" s="548"/>
      <c r="RJE77" s="452"/>
      <c r="RJF77" s="596"/>
      <c r="RJG77" s="548"/>
      <c r="RJH77" s="548"/>
      <c r="RJI77" s="548"/>
      <c r="RJJ77" s="548"/>
      <c r="RJK77" s="548"/>
      <c r="RJL77" s="452"/>
      <c r="RJM77" s="596"/>
      <c r="RJN77" s="548"/>
      <c r="RJO77" s="548"/>
      <c r="RJP77" s="548"/>
      <c r="RJQ77" s="548"/>
      <c r="RJR77" s="548"/>
      <c r="RJS77" s="452"/>
      <c r="RJT77" s="596"/>
      <c r="RJU77" s="548"/>
      <c r="RJV77" s="548"/>
      <c r="RJW77" s="548"/>
      <c r="RJX77" s="548"/>
      <c r="RJY77" s="548"/>
      <c r="RJZ77" s="452"/>
      <c r="RKA77" s="596"/>
      <c r="RKB77" s="548"/>
      <c r="RKC77" s="548"/>
      <c r="RKD77" s="548"/>
      <c r="RKE77" s="548"/>
      <c r="RKF77" s="548"/>
      <c r="RKG77" s="452"/>
      <c r="RKH77" s="596"/>
      <c r="RKI77" s="548"/>
      <c r="RKJ77" s="548"/>
      <c r="RKK77" s="548"/>
      <c r="RKL77" s="548"/>
      <c r="RKM77" s="548"/>
      <c r="RKN77" s="452"/>
      <c r="RKO77" s="596"/>
      <c r="RKP77" s="548"/>
      <c r="RKQ77" s="548"/>
      <c r="RKR77" s="548"/>
      <c r="RKS77" s="548"/>
      <c r="RKT77" s="548"/>
      <c r="RKU77" s="452"/>
      <c r="RKV77" s="596"/>
      <c r="RKW77" s="548"/>
      <c r="RKX77" s="548"/>
      <c r="RKY77" s="548"/>
      <c r="RKZ77" s="548"/>
      <c r="RLA77" s="548"/>
      <c r="RLB77" s="452"/>
      <c r="RLC77" s="596"/>
      <c r="RLD77" s="548"/>
      <c r="RLE77" s="548"/>
      <c r="RLF77" s="548"/>
      <c r="RLG77" s="548"/>
      <c r="RLH77" s="548"/>
      <c r="RLI77" s="452"/>
      <c r="RLJ77" s="596"/>
      <c r="RLK77" s="548"/>
      <c r="RLL77" s="548"/>
      <c r="RLM77" s="548"/>
      <c r="RLN77" s="548"/>
      <c r="RLO77" s="548"/>
      <c r="RLP77" s="452"/>
      <c r="RLQ77" s="596"/>
      <c r="RLR77" s="548"/>
      <c r="RLS77" s="548"/>
      <c r="RLT77" s="548"/>
      <c r="RLU77" s="548"/>
      <c r="RLV77" s="548"/>
      <c r="RLW77" s="452"/>
      <c r="RLX77" s="596"/>
      <c r="RLY77" s="548"/>
      <c r="RLZ77" s="548"/>
      <c r="RMA77" s="548"/>
      <c r="RMB77" s="548"/>
      <c r="RMC77" s="548"/>
      <c r="RMD77" s="452"/>
      <c r="RME77" s="596"/>
      <c r="RMF77" s="548"/>
      <c r="RMG77" s="548"/>
      <c r="RMH77" s="548"/>
      <c r="RMI77" s="548"/>
      <c r="RMJ77" s="548"/>
      <c r="RMK77" s="452"/>
      <c r="RML77" s="596"/>
      <c r="RMM77" s="548"/>
      <c r="RMN77" s="548"/>
      <c r="RMO77" s="548"/>
      <c r="RMP77" s="548"/>
      <c r="RMQ77" s="548"/>
      <c r="RMR77" s="452"/>
      <c r="RMS77" s="596"/>
      <c r="RMT77" s="548"/>
      <c r="RMU77" s="548"/>
      <c r="RMV77" s="548"/>
      <c r="RMW77" s="548"/>
      <c r="RMX77" s="548"/>
      <c r="RMY77" s="452"/>
      <c r="RMZ77" s="596"/>
      <c r="RNA77" s="548"/>
      <c r="RNB77" s="548"/>
      <c r="RNC77" s="548"/>
      <c r="RND77" s="548"/>
      <c r="RNE77" s="548"/>
      <c r="RNF77" s="452"/>
      <c r="RNG77" s="596"/>
      <c r="RNH77" s="548"/>
      <c r="RNI77" s="548"/>
      <c r="RNJ77" s="548"/>
      <c r="RNK77" s="548"/>
      <c r="RNL77" s="548"/>
      <c r="RNM77" s="452"/>
      <c r="RNN77" s="596"/>
      <c r="RNO77" s="548"/>
      <c r="RNP77" s="548"/>
      <c r="RNQ77" s="548"/>
      <c r="RNR77" s="548"/>
      <c r="RNS77" s="548"/>
      <c r="RNT77" s="452"/>
      <c r="RNU77" s="596"/>
      <c r="RNV77" s="548"/>
      <c r="RNW77" s="548"/>
      <c r="RNX77" s="548"/>
      <c r="RNY77" s="548"/>
      <c r="RNZ77" s="548"/>
      <c r="ROA77" s="452"/>
      <c r="ROB77" s="596"/>
      <c r="ROC77" s="548"/>
      <c r="ROD77" s="548"/>
      <c r="ROE77" s="548"/>
      <c r="ROF77" s="548"/>
      <c r="ROG77" s="548"/>
      <c r="ROH77" s="452"/>
      <c r="ROI77" s="596"/>
      <c r="ROJ77" s="548"/>
      <c r="ROK77" s="548"/>
      <c r="ROL77" s="548"/>
      <c r="ROM77" s="548"/>
      <c r="RON77" s="548"/>
      <c r="ROO77" s="452"/>
      <c r="ROP77" s="596"/>
      <c r="ROQ77" s="548"/>
      <c r="ROR77" s="548"/>
      <c r="ROS77" s="548"/>
      <c r="ROT77" s="548"/>
      <c r="ROU77" s="548"/>
      <c r="ROV77" s="452"/>
      <c r="ROW77" s="596"/>
      <c r="ROX77" s="548"/>
      <c r="ROY77" s="548"/>
      <c r="ROZ77" s="548"/>
      <c r="RPA77" s="548"/>
      <c r="RPB77" s="548"/>
      <c r="RPC77" s="452"/>
      <c r="RPD77" s="596"/>
      <c r="RPE77" s="548"/>
      <c r="RPF77" s="548"/>
      <c r="RPG77" s="548"/>
      <c r="RPH77" s="548"/>
      <c r="RPI77" s="548"/>
      <c r="RPJ77" s="452"/>
      <c r="RPK77" s="596"/>
      <c r="RPL77" s="548"/>
      <c r="RPM77" s="548"/>
      <c r="RPN77" s="548"/>
      <c r="RPO77" s="548"/>
      <c r="RPP77" s="548"/>
      <c r="RPQ77" s="452"/>
      <c r="RPR77" s="596"/>
      <c r="RPS77" s="548"/>
      <c r="RPT77" s="548"/>
      <c r="RPU77" s="548"/>
      <c r="RPV77" s="548"/>
      <c r="RPW77" s="548"/>
      <c r="RPX77" s="452"/>
      <c r="RPY77" s="596"/>
      <c r="RPZ77" s="548"/>
      <c r="RQA77" s="548"/>
      <c r="RQB77" s="548"/>
      <c r="RQC77" s="548"/>
      <c r="RQD77" s="548"/>
      <c r="RQE77" s="452"/>
      <c r="RQF77" s="596"/>
      <c r="RQG77" s="548"/>
      <c r="RQH77" s="548"/>
      <c r="RQI77" s="548"/>
      <c r="RQJ77" s="548"/>
      <c r="RQK77" s="548"/>
      <c r="RQL77" s="452"/>
      <c r="RQM77" s="596"/>
      <c r="RQN77" s="548"/>
      <c r="RQO77" s="548"/>
      <c r="RQP77" s="548"/>
      <c r="RQQ77" s="548"/>
      <c r="RQR77" s="548"/>
      <c r="RQS77" s="452"/>
      <c r="RQT77" s="596"/>
      <c r="RQU77" s="548"/>
      <c r="RQV77" s="548"/>
      <c r="RQW77" s="548"/>
      <c r="RQX77" s="548"/>
      <c r="RQY77" s="548"/>
      <c r="RQZ77" s="452"/>
      <c r="RRA77" s="596"/>
      <c r="RRB77" s="548"/>
      <c r="RRC77" s="548"/>
      <c r="RRD77" s="548"/>
      <c r="RRE77" s="548"/>
      <c r="RRF77" s="548"/>
      <c r="RRG77" s="452"/>
      <c r="RRH77" s="596"/>
      <c r="RRI77" s="548"/>
      <c r="RRJ77" s="548"/>
      <c r="RRK77" s="548"/>
      <c r="RRL77" s="548"/>
      <c r="RRM77" s="548"/>
      <c r="RRN77" s="452"/>
      <c r="RRO77" s="596"/>
      <c r="RRP77" s="548"/>
      <c r="RRQ77" s="548"/>
      <c r="RRR77" s="548"/>
      <c r="RRS77" s="548"/>
      <c r="RRT77" s="548"/>
      <c r="RRU77" s="452"/>
      <c r="RRV77" s="596"/>
      <c r="RRW77" s="548"/>
      <c r="RRX77" s="548"/>
      <c r="RRY77" s="548"/>
      <c r="RRZ77" s="548"/>
      <c r="RSA77" s="548"/>
      <c r="RSB77" s="452"/>
      <c r="RSC77" s="596"/>
      <c r="RSD77" s="548"/>
      <c r="RSE77" s="548"/>
      <c r="RSF77" s="548"/>
      <c r="RSG77" s="548"/>
      <c r="RSH77" s="548"/>
      <c r="RSI77" s="452"/>
      <c r="RSJ77" s="596"/>
      <c r="RSK77" s="548"/>
      <c r="RSL77" s="548"/>
      <c r="RSM77" s="548"/>
      <c r="RSN77" s="548"/>
      <c r="RSO77" s="548"/>
      <c r="RSP77" s="452"/>
      <c r="RSQ77" s="596"/>
      <c r="RSR77" s="548"/>
      <c r="RSS77" s="548"/>
      <c r="RST77" s="548"/>
      <c r="RSU77" s="548"/>
      <c r="RSV77" s="548"/>
      <c r="RSW77" s="452"/>
      <c r="RSX77" s="596"/>
      <c r="RSY77" s="548"/>
      <c r="RSZ77" s="548"/>
      <c r="RTA77" s="548"/>
      <c r="RTB77" s="548"/>
      <c r="RTC77" s="548"/>
      <c r="RTD77" s="452"/>
      <c r="RTE77" s="596"/>
      <c r="RTF77" s="548"/>
      <c r="RTG77" s="548"/>
      <c r="RTH77" s="548"/>
      <c r="RTI77" s="548"/>
      <c r="RTJ77" s="548"/>
      <c r="RTK77" s="452"/>
      <c r="RTL77" s="596"/>
      <c r="RTM77" s="548"/>
      <c r="RTN77" s="548"/>
      <c r="RTO77" s="548"/>
      <c r="RTP77" s="548"/>
      <c r="RTQ77" s="548"/>
      <c r="RTR77" s="452"/>
      <c r="RTS77" s="596"/>
      <c r="RTT77" s="548"/>
      <c r="RTU77" s="548"/>
      <c r="RTV77" s="548"/>
      <c r="RTW77" s="548"/>
      <c r="RTX77" s="548"/>
      <c r="RTY77" s="452"/>
      <c r="RTZ77" s="596"/>
      <c r="RUA77" s="548"/>
      <c r="RUB77" s="548"/>
      <c r="RUC77" s="548"/>
      <c r="RUD77" s="548"/>
      <c r="RUE77" s="548"/>
      <c r="RUF77" s="452"/>
      <c r="RUG77" s="596"/>
      <c r="RUH77" s="548"/>
      <c r="RUI77" s="548"/>
      <c r="RUJ77" s="548"/>
      <c r="RUK77" s="548"/>
      <c r="RUL77" s="548"/>
      <c r="RUM77" s="452"/>
      <c r="RUN77" s="596"/>
      <c r="RUO77" s="548"/>
      <c r="RUP77" s="548"/>
      <c r="RUQ77" s="548"/>
      <c r="RUR77" s="548"/>
      <c r="RUS77" s="548"/>
      <c r="RUT77" s="452"/>
      <c r="RUU77" s="596"/>
      <c r="RUV77" s="548"/>
      <c r="RUW77" s="548"/>
      <c r="RUX77" s="548"/>
      <c r="RUY77" s="548"/>
      <c r="RUZ77" s="548"/>
      <c r="RVA77" s="452"/>
      <c r="RVB77" s="596"/>
      <c r="RVC77" s="548"/>
      <c r="RVD77" s="548"/>
      <c r="RVE77" s="548"/>
      <c r="RVF77" s="548"/>
      <c r="RVG77" s="548"/>
      <c r="RVH77" s="452"/>
      <c r="RVI77" s="596"/>
      <c r="RVJ77" s="548"/>
      <c r="RVK77" s="548"/>
      <c r="RVL77" s="548"/>
      <c r="RVM77" s="548"/>
      <c r="RVN77" s="548"/>
      <c r="RVO77" s="452"/>
      <c r="RVP77" s="596"/>
      <c r="RVQ77" s="548"/>
      <c r="RVR77" s="548"/>
      <c r="RVS77" s="548"/>
      <c r="RVT77" s="548"/>
      <c r="RVU77" s="548"/>
      <c r="RVV77" s="452"/>
      <c r="RVW77" s="596"/>
      <c r="RVX77" s="548"/>
      <c r="RVY77" s="548"/>
      <c r="RVZ77" s="548"/>
      <c r="RWA77" s="548"/>
      <c r="RWB77" s="548"/>
      <c r="RWC77" s="452"/>
      <c r="RWD77" s="596"/>
      <c r="RWE77" s="548"/>
      <c r="RWF77" s="548"/>
      <c r="RWG77" s="548"/>
      <c r="RWH77" s="548"/>
      <c r="RWI77" s="548"/>
      <c r="RWJ77" s="452"/>
      <c r="RWK77" s="596"/>
      <c r="RWL77" s="548"/>
      <c r="RWM77" s="548"/>
      <c r="RWN77" s="548"/>
      <c r="RWO77" s="548"/>
      <c r="RWP77" s="548"/>
      <c r="RWQ77" s="452"/>
      <c r="RWR77" s="596"/>
      <c r="RWS77" s="548"/>
      <c r="RWT77" s="548"/>
      <c r="RWU77" s="548"/>
      <c r="RWV77" s="548"/>
      <c r="RWW77" s="548"/>
      <c r="RWX77" s="452"/>
      <c r="RWY77" s="596"/>
      <c r="RWZ77" s="548"/>
      <c r="RXA77" s="548"/>
      <c r="RXB77" s="548"/>
      <c r="RXC77" s="548"/>
      <c r="RXD77" s="548"/>
      <c r="RXE77" s="452"/>
      <c r="RXF77" s="596"/>
      <c r="RXG77" s="548"/>
      <c r="RXH77" s="548"/>
      <c r="RXI77" s="548"/>
      <c r="RXJ77" s="548"/>
      <c r="RXK77" s="548"/>
      <c r="RXL77" s="452"/>
      <c r="RXM77" s="596"/>
      <c r="RXN77" s="548"/>
      <c r="RXO77" s="548"/>
      <c r="RXP77" s="548"/>
      <c r="RXQ77" s="548"/>
      <c r="RXR77" s="548"/>
      <c r="RXS77" s="452"/>
      <c r="RXT77" s="596"/>
      <c r="RXU77" s="548"/>
      <c r="RXV77" s="548"/>
      <c r="RXW77" s="548"/>
      <c r="RXX77" s="548"/>
      <c r="RXY77" s="548"/>
      <c r="RXZ77" s="452"/>
      <c r="RYA77" s="596"/>
      <c r="RYB77" s="548"/>
      <c r="RYC77" s="548"/>
      <c r="RYD77" s="548"/>
      <c r="RYE77" s="548"/>
      <c r="RYF77" s="548"/>
      <c r="RYG77" s="452"/>
      <c r="RYH77" s="596"/>
      <c r="RYI77" s="548"/>
      <c r="RYJ77" s="548"/>
      <c r="RYK77" s="548"/>
      <c r="RYL77" s="548"/>
      <c r="RYM77" s="548"/>
      <c r="RYN77" s="452"/>
      <c r="RYO77" s="596"/>
      <c r="RYP77" s="548"/>
      <c r="RYQ77" s="548"/>
      <c r="RYR77" s="548"/>
      <c r="RYS77" s="548"/>
      <c r="RYT77" s="548"/>
      <c r="RYU77" s="452"/>
      <c r="RYV77" s="596"/>
      <c r="RYW77" s="548"/>
      <c r="RYX77" s="548"/>
      <c r="RYY77" s="548"/>
      <c r="RYZ77" s="548"/>
      <c r="RZA77" s="548"/>
      <c r="RZB77" s="452"/>
      <c r="RZC77" s="596"/>
      <c r="RZD77" s="548"/>
      <c r="RZE77" s="548"/>
      <c r="RZF77" s="548"/>
      <c r="RZG77" s="548"/>
      <c r="RZH77" s="548"/>
      <c r="RZI77" s="452"/>
      <c r="RZJ77" s="596"/>
      <c r="RZK77" s="548"/>
      <c r="RZL77" s="548"/>
      <c r="RZM77" s="548"/>
      <c r="RZN77" s="548"/>
      <c r="RZO77" s="548"/>
      <c r="RZP77" s="452"/>
      <c r="RZQ77" s="596"/>
      <c r="RZR77" s="548"/>
      <c r="RZS77" s="548"/>
      <c r="RZT77" s="548"/>
      <c r="RZU77" s="548"/>
      <c r="RZV77" s="548"/>
      <c r="RZW77" s="452"/>
      <c r="RZX77" s="596"/>
      <c r="RZY77" s="548"/>
      <c r="RZZ77" s="548"/>
      <c r="SAA77" s="548"/>
      <c r="SAB77" s="548"/>
      <c r="SAC77" s="548"/>
      <c r="SAD77" s="452"/>
      <c r="SAE77" s="596"/>
      <c r="SAF77" s="548"/>
      <c r="SAG77" s="548"/>
      <c r="SAH77" s="548"/>
      <c r="SAI77" s="548"/>
      <c r="SAJ77" s="548"/>
      <c r="SAK77" s="452"/>
      <c r="SAL77" s="596"/>
      <c r="SAM77" s="548"/>
      <c r="SAN77" s="548"/>
      <c r="SAO77" s="548"/>
      <c r="SAP77" s="548"/>
      <c r="SAQ77" s="548"/>
      <c r="SAR77" s="452"/>
      <c r="SAS77" s="596"/>
      <c r="SAT77" s="548"/>
      <c r="SAU77" s="548"/>
      <c r="SAV77" s="548"/>
      <c r="SAW77" s="548"/>
      <c r="SAX77" s="548"/>
      <c r="SAY77" s="452"/>
      <c r="SAZ77" s="596"/>
      <c r="SBA77" s="548"/>
      <c r="SBB77" s="548"/>
      <c r="SBC77" s="548"/>
      <c r="SBD77" s="548"/>
      <c r="SBE77" s="548"/>
      <c r="SBF77" s="452"/>
      <c r="SBG77" s="596"/>
      <c r="SBH77" s="548"/>
      <c r="SBI77" s="548"/>
      <c r="SBJ77" s="548"/>
      <c r="SBK77" s="548"/>
      <c r="SBL77" s="548"/>
      <c r="SBM77" s="452"/>
      <c r="SBN77" s="596"/>
      <c r="SBO77" s="548"/>
      <c r="SBP77" s="548"/>
      <c r="SBQ77" s="548"/>
      <c r="SBR77" s="548"/>
      <c r="SBS77" s="548"/>
      <c r="SBT77" s="452"/>
      <c r="SBU77" s="596"/>
      <c r="SBV77" s="548"/>
      <c r="SBW77" s="548"/>
      <c r="SBX77" s="548"/>
      <c r="SBY77" s="548"/>
      <c r="SBZ77" s="548"/>
      <c r="SCA77" s="452"/>
      <c r="SCB77" s="596"/>
      <c r="SCC77" s="548"/>
      <c r="SCD77" s="548"/>
      <c r="SCE77" s="548"/>
      <c r="SCF77" s="548"/>
      <c r="SCG77" s="548"/>
      <c r="SCH77" s="452"/>
      <c r="SCI77" s="596"/>
      <c r="SCJ77" s="548"/>
      <c r="SCK77" s="548"/>
      <c r="SCL77" s="548"/>
      <c r="SCM77" s="548"/>
      <c r="SCN77" s="548"/>
      <c r="SCO77" s="452"/>
      <c r="SCP77" s="596"/>
      <c r="SCQ77" s="548"/>
      <c r="SCR77" s="548"/>
      <c r="SCS77" s="548"/>
      <c r="SCT77" s="548"/>
      <c r="SCU77" s="548"/>
      <c r="SCV77" s="452"/>
      <c r="SCW77" s="596"/>
      <c r="SCX77" s="548"/>
      <c r="SCY77" s="548"/>
      <c r="SCZ77" s="548"/>
      <c r="SDA77" s="548"/>
      <c r="SDB77" s="548"/>
      <c r="SDC77" s="452"/>
      <c r="SDD77" s="596"/>
      <c r="SDE77" s="548"/>
      <c r="SDF77" s="548"/>
      <c r="SDG77" s="548"/>
      <c r="SDH77" s="548"/>
      <c r="SDI77" s="548"/>
      <c r="SDJ77" s="452"/>
      <c r="SDK77" s="596"/>
      <c r="SDL77" s="548"/>
      <c r="SDM77" s="548"/>
      <c r="SDN77" s="548"/>
      <c r="SDO77" s="548"/>
      <c r="SDP77" s="548"/>
      <c r="SDQ77" s="452"/>
      <c r="SDR77" s="596"/>
      <c r="SDS77" s="548"/>
      <c r="SDT77" s="548"/>
      <c r="SDU77" s="548"/>
      <c r="SDV77" s="548"/>
      <c r="SDW77" s="548"/>
      <c r="SDX77" s="452"/>
      <c r="SDY77" s="596"/>
      <c r="SDZ77" s="548"/>
      <c r="SEA77" s="548"/>
      <c r="SEB77" s="548"/>
      <c r="SEC77" s="548"/>
      <c r="SED77" s="548"/>
      <c r="SEE77" s="452"/>
      <c r="SEF77" s="596"/>
      <c r="SEG77" s="548"/>
      <c r="SEH77" s="548"/>
      <c r="SEI77" s="548"/>
      <c r="SEJ77" s="548"/>
      <c r="SEK77" s="548"/>
      <c r="SEL77" s="452"/>
      <c r="SEM77" s="596"/>
      <c r="SEN77" s="548"/>
      <c r="SEO77" s="548"/>
      <c r="SEP77" s="548"/>
      <c r="SEQ77" s="548"/>
      <c r="SER77" s="548"/>
      <c r="SES77" s="452"/>
      <c r="SET77" s="596"/>
      <c r="SEU77" s="548"/>
      <c r="SEV77" s="548"/>
      <c r="SEW77" s="548"/>
      <c r="SEX77" s="548"/>
      <c r="SEY77" s="548"/>
      <c r="SEZ77" s="452"/>
      <c r="SFA77" s="596"/>
      <c r="SFB77" s="548"/>
      <c r="SFC77" s="548"/>
      <c r="SFD77" s="548"/>
      <c r="SFE77" s="548"/>
      <c r="SFF77" s="548"/>
      <c r="SFG77" s="452"/>
      <c r="SFH77" s="596"/>
      <c r="SFI77" s="548"/>
      <c r="SFJ77" s="548"/>
      <c r="SFK77" s="548"/>
      <c r="SFL77" s="548"/>
      <c r="SFM77" s="548"/>
      <c r="SFN77" s="452"/>
      <c r="SFO77" s="596"/>
      <c r="SFP77" s="548"/>
      <c r="SFQ77" s="548"/>
      <c r="SFR77" s="548"/>
      <c r="SFS77" s="548"/>
      <c r="SFT77" s="548"/>
      <c r="SFU77" s="452"/>
      <c r="SFV77" s="596"/>
      <c r="SFW77" s="548"/>
      <c r="SFX77" s="548"/>
      <c r="SFY77" s="548"/>
      <c r="SFZ77" s="548"/>
      <c r="SGA77" s="548"/>
      <c r="SGB77" s="452"/>
      <c r="SGC77" s="596"/>
      <c r="SGD77" s="548"/>
      <c r="SGE77" s="548"/>
      <c r="SGF77" s="548"/>
      <c r="SGG77" s="548"/>
      <c r="SGH77" s="548"/>
      <c r="SGI77" s="452"/>
      <c r="SGJ77" s="596"/>
      <c r="SGK77" s="548"/>
      <c r="SGL77" s="548"/>
      <c r="SGM77" s="548"/>
      <c r="SGN77" s="548"/>
      <c r="SGO77" s="548"/>
      <c r="SGP77" s="452"/>
      <c r="SGQ77" s="596"/>
      <c r="SGR77" s="548"/>
      <c r="SGS77" s="548"/>
      <c r="SGT77" s="548"/>
      <c r="SGU77" s="548"/>
      <c r="SGV77" s="548"/>
      <c r="SGW77" s="452"/>
      <c r="SGX77" s="596"/>
      <c r="SGY77" s="548"/>
      <c r="SGZ77" s="548"/>
      <c r="SHA77" s="548"/>
      <c r="SHB77" s="548"/>
      <c r="SHC77" s="548"/>
      <c r="SHD77" s="452"/>
      <c r="SHE77" s="596"/>
      <c r="SHF77" s="548"/>
      <c r="SHG77" s="548"/>
      <c r="SHH77" s="548"/>
      <c r="SHI77" s="548"/>
      <c r="SHJ77" s="548"/>
      <c r="SHK77" s="452"/>
      <c r="SHL77" s="596"/>
      <c r="SHM77" s="548"/>
      <c r="SHN77" s="548"/>
      <c r="SHO77" s="548"/>
      <c r="SHP77" s="548"/>
      <c r="SHQ77" s="548"/>
      <c r="SHR77" s="452"/>
      <c r="SHS77" s="596"/>
      <c r="SHT77" s="548"/>
      <c r="SHU77" s="548"/>
      <c r="SHV77" s="548"/>
      <c r="SHW77" s="548"/>
      <c r="SHX77" s="548"/>
      <c r="SHY77" s="452"/>
      <c r="SHZ77" s="596"/>
      <c r="SIA77" s="548"/>
      <c r="SIB77" s="548"/>
      <c r="SIC77" s="548"/>
      <c r="SID77" s="548"/>
      <c r="SIE77" s="548"/>
      <c r="SIF77" s="452"/>
      <c r="SIG77" s="596"/>
      <c r="SIH77" s="548"/>
      <c r="SII77" s="548"/>
      <c r="SIJ77" s="548"/>
      <c r="SIK77" s="548"/>
      <c r="SIL77" s="548"/>
      <c r="SIM77" s="452"/>
      <c r="SIN77" s="596"/>
      <c r="SIO77" s="548"/>
      <c r="SIP77" s="548"/>
      <c r="SIQ77" s="548"/>
      <c r="SIR77" s="548"/>
      <c r="SIS77" s="548"/>
      <c r="SIT77" s="452"/>
      <c r="SIU77" s="596"/>
      <c r="SIV77" s="548"/>
      <c r="SIW77" s="548"/>
      <c r="SIX77" s="548"/>
      <c r="SIY77" s="548"/>
      <c r="SIZ77" s="548"/>
      <c r="SJA77" s="452"/>
      <c r="SJB77" s="596"/>
      <c r="SJC77" s="548"/>
      <c r="SJD77" s="548"/>
      <c r="SJE77" s="548"/>
      <c r="SJF77" s="548"/>
      <c r="SJG77" s="548"/>
      <c r="SJH77" s="452"/>
      <c r="SJI77" s="596"/>
      <c r="SJJ77" s="548"/>
      <c r="SJK77" s="548"/>
      <c r="SJL77" s="548"/>
      <c r="SJM77" s="548"/>
      <c r="SJN77" s="548"/>
      <c r="SJO77" s="452"/>
      <c r="SJP77" s="596"/>
      <c r="SJQ77" s="548"/>
      <c r="SJR77" s="548"/>
      <c r="SJS77" s="548"/>
      <c r="SJT77" s="548"/>
      <c r="SJU77" s="548"/>
      <c r="SJV77" s="452"/>
      <c r="SJW77" s="596"/>
      <c r="SJX77" s="548"/>
      <c r="SJY77" s="548"/>
      <c r="SJZ77" s="548"/>
      <c r="SKA77" s="548"/>
      <c r="SKB77" s="548"/>
      <c r="SKC77" s="452"/>
      <c r="SKD77" s="596"/>
      <c r="SKE77" s="548"/>
      <c r="SKF77" s="548"/>
      <c r="SKG77" s="548"/>
      <c r="SKH77" s="548"/>
      <c r="SKI77" s="548"/>
      <c r="SKJ77" s="452"/>
      <c r="SKK77" s="596"/>
      <c r="SKL77" s="548"/>
      <c r="SKM77" s="548"/>
      <c r="SKN77" s="548"/>
      <c r="SKO77" s="548"/>
      <c r="SKP77" s="548"/>
      <c r="SKQ77" s="452"/>
      <c r="SKR77" s="596"/>
      <c r="SKS77" s="548"/>
      <c r="SKT77" s="548"/>
      <c r="SKU77" s="548"/>
      <c r="SKV77" s="548"/>
      <c r="SKW77" s="548"/>
      <c r="SKX77" s="452"/>
      <c r="SKY77" s="596"/>
      <c r="SKZ77" s="548"/>
      <c r="SLA77" s="548"/>
      <c r="SLB77" s="548"/>
      <c r="SLC77" s="548"/>
      <c r="SLD77" s="548"/>
      <c r="SLE77" s="452"/>
      <c r="SLF77" s="596"/>
      <c r="SLG77" s="548"/>
      <c r="SLH77" s="548"/>
      <c r="SLI77" s="548"/>
      <c r="SLJ77" s="548"/>
      <c r="SLK77" s="548"/>
      <c r="SLL77" s="452"/>
      <c r="SLM77" s="596"/>
      <c r="SLN77" s="548"/>
      <c r="SLO77" s="548"/>
      <c r="SLP77" s="548"/>
      <c r="SLQ77" s="548"/>
      <c r="SLR77" s="548"/>
      <c r="SLS77" s="452"/>
      <c r="SLT77" s="596"/>
      <c r="SLU77" s="548"/>
      <c r="SLV77" s="548"/>
      <c r="SLW77" s="548"/>
      <c r="SLX77" s="548"/>
      <c r="SLY77" s="548"/>
      <c r="SLZ77" s="452"/>
      <c r="SMA77" s="596"/>
      <c r="SMB77" s="548"/>
      <c r="SMC77" s="548"/>
      <c r="SMD77" s="548"/>
      <c r="SME77" s="548"/>
      <c r="SMF77" s="548"/>
      <c r="SMG77" s="452"/>
      <c r="SMH77" s="596"/>
      <c r="SMI77" s="548"/>
      <c r="SMJ77" s="548"/>
      <c r="SMK77" s="548"/>
      <c r="SML77" s="548"/>
      <c r="SMM77" s="548"/>
      <c r="SMN77" s="452"/>
      <c r="SMO77" s="596"/>
      <c r="SMP77" s="548"/>
      <c r="SMQ77" s="548"/>
      <c r="SMR77" s="548"/>
      <c r="SMS77" s="548"/>
      <c r="SMT77" s="548"/>
      <c r="SMU77" s="452"/>
      <c r="SMV77" s="596"/>
      <c r="SMW77" s="548"/>
      <c r="SMX77" s="548"/>
      <c r="SMY77" s="548"/>
      <c r="SMZ77" s="548"/>
      <c r="SNA77" s="548"/>
      <c r="SNB77" s="452"/>
      <c r="SNC77" s="596"/>
      <c r="SND77" s="548"/>
      <c r="SNE77" s="548"/>
      <c r="SNF77" s="548"/>
      <c r="SNG77" s="548"/>
      <c r="SNH77" s="548"/>
      <c r="SNI77" s="452"/>
      <c r="SNJ77" s="596"/>
      <c r="SNK77" s="548"/>
      <c r="SNL77" s="548"/>
      <c r="SNM77" s="548"/>
      <c r="SNN77" s="548"/>
      <c r="SNO77" s="548"/>
      <c r="SNP77" s="452"/>
      <c r="SNQ77" s="596"/>
      <c r="SNR77" s="548"/>
      <c r="SNS77" s="548"/>
      <c r="SNT77" s="548"/>
      <c r="SNU77" s="548"/>
      <c r="SNV77" s="548"/>
      <c r="SNW77" s="452"/>
      <c r="SNX77" s="596"/>
      <c r="SNY77" s="548"/>
      <c r="SNZ77" s="548"/>
      <c r="SOA77" s="548"/>
      <c r="SOB77" s="548"/>
      <c r="SOC77" s="548"/>
      <c r="SOD77" s="452"/>
      <c r="SOE77" s="596"/>
      <c r="SOF77" s="548"/>
      <c r="SOG77" s="548"/>
      <c r="SOH77" s="548"/>
      <c r="SOI77" s="548"/>
      <c r="SOJ77" s="548"/>
      <c r="SOK77" s="452"/>
      <c r="SOL77" s="596"/>
      <c r="SOM77" s="548"/>
      <c r="SON77" s="548"/>
      <c r="SOO77" s="548"/>
      <c r="SOP77" s="548"/>
      <c r="SOQ77" s="548"/>
      <c r="SOR77" s="452"/>
      <c r="SOS77" s="596"/>
      <c r="SOT77" s="548"/>
      <c r="SOU77" s="548"/>
      <c r="SOV77" s="548"/>
      <c r="SOW77" s="548"/>
      <c r="SOX77" s="548"/>
      <c r="SOY77" s="452"/>
      <c r="SOZ77" s="596"/>
      <c r="SPA77" s="548"/>
      <c r="SPB77" s="548"/>
      <c r="SPC77" s="548"/>
      <c r="SPD77" s="548"/>
      <c r="SPE77" s="548"/>
      <c r="SPF77" s="452"/>
      <c r="SPG77" s="596"/>
      <c r="SPH77" s="548"/>
      <c r="SPI77" s="548"/>
      <c r="SPJ77" s="548"/>
      <c r="SPK77" s="548"/>
      <c r="SPL77" s="548"/>
      <c r="SPM77" s="452"/>
      <c r="SPN77" s="596"/>
      <c r="SPO77" s="548"/>
      <c r="SPP77" s="548"/>
      <c r="SPQ77" s="548"/>
      <c r="SPR77" s="548"/>
      <c r="SPS77" s="548"/>
      <c r="SPT77" s="452"/>
      <c r="SPU77" s="596"/>
      <c r="SPV77" s="548"/>
      <c r="SPW77" s="548"/>
      <c r="SPX77" s="548"/>
      <c r="SPY77" s="548"/>
      <c r="SPZ77" s="548"/>
      <c r="SQA77" s="452"/>
      <c r="SQB77" s="596"/>
      <c r="SQC77" s="548"/>
      <c r="SQD77" s="548"/>
      <c r="SQE77" s="548"/>
      <c r="SQF77" s="548"/>
      <c r="SQG77" s="548"/>
      <c r="SQH77" s="452"/>
      <c r="SQI77" s="596"/>
      <c r="SQJ77" s="548"/>
      <c r="SQK77" s="548"/>
      <c r="SQL77" s="548"/>
      <c r="SQM77" s="548"/>
      <c r="SQN77" s="548"/>
      <c r="SQO77" s="452"/>
      <c r="SQP77" s="596"/>
      <c r="SQQ77" s="548"/>
      <c r="SQR77" s="548"/>
      <c r="SQS77" s="548"/>
      <c r="SQT77" s="548"/>
      <c r="SQU77" s="548"/>
      <c r="SQV77" s="452"/>
      <c r="SQW77" s="596"/>
      <c r="SQX77" s="548"/>
      <c r="SQY77" s="548"/>
      <c r="SQZ77" s="548"/>
      <c r="SRA77" s="548"/>
      <c r="SRB77" s="548"/>
      <c r="SRC77" s="452"/>
      <c r="SRD77" s="596"/>
      <c r="SRE77" s="548"/>
      <c r="SRF77" s="548"/>
      <c r="SRG77" s="548"/>
      <c r="SRH77" s="548"/>
      <c r="SRI77" s="548"/>
      <c r="SRJ77" s="452"/>
      <c r="SRK77" s="596"/>
      <c r="SRL77" s="548"/>
      <c r="SRM77" s="548"/>
      <c r="SRN77" s="548"/>
      <c r="SRO77" s="548"/>
      <c r="SRP77" s="548"/>
      <c r="SRQ77" s="452"/>
      <c r="SRR77" s="596"/>
      <c r="SRS77" s="548"/>
      <c r="SRT77" s="548"/>
      <c r="SRU77" s="548"/>
      <c r="SRV77" s="548"/>
      <c r="SRW77" s="548"/>
      <c r="SRX77" s="452"/>
      <c r="SRY77" s="596"/>
      <c r="SRZ77" s="548"/>
      <c r="SSA77" s="548"/>
      <c r="SSB77" s="548"/>
      <c r="SSC77" s="548"/>
      <c r="SSD77" s="548"/>
      <c r="SSE77" s="452"/>
      <c r="SSF77" s="596"/>
      <c r="SSG77" s="548"/>
      <c r="SSH77" s="548"/>
      <c r="SSI77" s="548"/>
      <c r="SSJ77" s="548"/>
      <c r="SSK77" s="548"/>
      <c r="SSL77" s="452"/>
      <c r="SSM77" s="596"/>
      <c r="SSN77" s="548"/>
      <c r="SSO77" s="548"/>
      <c r="SSP77" s="548"/>
      <c r="SSQ77" s="548"/>
      <c r="SSR77" s="548"/>
      <c r="SSS77" s="452"/>
      <c r="SST77" s="596"/>
      <c r="SSU77" s="548"/>
      <c r="SSV77" s="548"/>
      <c r="SSW77" s="548"/>
      <c r="SSX77" s="548"/>
      <c r="SSY77" s="548"/>
      <c r="SSZ77" s="452"/>
      <c r="STA77" s="596"/>
      <c r="STB77" s="548"/>
      <c r="STC77" s="548"/>
      <c r="STD77" s="548"/>
      <c r="STE77" s="548"/>
      <c r="STF77" s="548"/>
      <c r="STG77" s="452"/>
      <c r="STH77" s="596"/>
      <c r="STI77" s="548"/>
      <c r="STJ77" s="548"/>
      <c r="STK77" s="548"/>
      <c r="STL77" s="548"/>
      <c r="STM77" s="548"/>
      <c r="STN77" s="452"/>
      <c r="STO77" s="596"/>
      <c r="STP77" s="548"/>
      <c r="STQ77" s="548"/>
      <c r="STR77" s="548"/>
      <c r="STS77" s="548"/>
      <c r="STT77" s="548"/>
      <c r="STU77" s="452"/>
      <c r="STV77" s="596"/>
      <c r="STW77" s="548"/>
      <c r="STX77" s="548"/>
      <c r="STY77" s="548"/>
      <c r="STZ77" s="548"/>
      <c r="SUA77" s="548"/>
      <c r="SUB77" s="452"/>
      <c r="SUC77" s="596"/>
      <c r="SUD77" s="548"/>
      <c r="SUE77" s="548"/>
      <c r="SUF77" s="548"/>
      <c r="SUG77" s="548"/>
      <c r="SUH77" s="548"/>
      <c r="SUI77" s="452"/>
      <c r="SUJ77" s="596"/>
      <c r="SUK77" s="548"/>
      <c r="SUL77" s="548"/>
      <c r="SUM77" s="548"/>
      <c r="SUN77" s="548"/>
      <c r="SUO77" s="548"/>
      <c r="SUP77" s="452"/>
      <c r="SUQ77" s="596"/>
      <c r="SUR77" s="548"/>
      <c r="SUS77" s="548"/>
      <c r="SUT77" s="548"/>
      <c r="SUU77" s="548"/>
      <c r="SUV77" s="548"/>
      <c r="SUW77" s="452"/>
      <c r="SUX77" s="596"/>
      <c r="SUY77" s="548"/>
      <c r="SUZ77" s="548"/>
      <c r="SVA77" s="548"/>
      <c r="SVB77" s="548"/>
      <c r="SVC77" s="548"/>
      <c r="SVD77" s="452"/>
      <c r="SVE77" s="596"/>
      <c r="SVF77" s="548"/>
      <c r="SVG77" s="548"/>
      <c r="SVH77" s="548"/>
      <c r="SVI77" s="548"/>
      <c r="SVJ77" s="548"/>
      <c r="SVK77" s="452"/>
      <c r="SVL77" s="596"/>
      <c r="SVM77" s="548"/>
      <c r="SVN77" s="548"/>
      <c r="SVO77" s="548"/>
      <c r="SVP77" s="548"/>
      <c r="SVQ77" s="548"/>
      <c r="SVR77" s="452"/>
      <c r="SVS77" s="596"/>
      <c r="SVT77" s="548"/>
      <c r="SVU77" s="548"/>
      <c r="SVV77" s="548"/>
      <c r="SVW77" s="548"/>
      <c r="SVX77" s="548"/>
      <c r="SVY77" s="452"/>
      <c r="SVZ77" s="596"/>
      <c r="SWA77" s="548"/>
      <c r="SWB77" s="548"/>
      <c r="SWC77" s="548"/>
      <c r="SWD77" s="548"/>
      <c r="SWE77" s="548"/>
      <c r="SWF77" s="452"/>
      <c r="SWG77" s="596"/>
      <c r="SWH77" s="548"/>
      <c r="SWI77" s="548"/>
      <c r="SWJ77" s="548"/>
      <c r="SWK77" s="548"/>
      <c r="SWL77" s="548"/>
      <c r="SWM77" s="452"/>
      <c r="SWN77" s="596"/>
      <c r="SWO77" s="548"/>
      <c r="SWP77" s="548"/>
      <c r="SWQ77" s="548"/>
      <c r="SWR77" s="548"/>
      <c r="SWS77" s="548"/>
      <c r="SWT77" s="452"/>
      <c r="SWU77" s="596"/>
      <c r="SWV77" s="548"/>
      <c r="SWW77" s="548"/>
      <c r="SWX77" s="548"/>
      <c r="SWY77" s="548"/>
      <c r="SWZ77" s="548"/>
      <c r="SXA77" s="452"/>
      <c r="SXB77" s="596"/>
      <c r="SXC77" s="548"/>
      <c r="SXD77" s="548"/>
      <c r="SXE77" s="548"/>
      <c r="SXF77" s="548"/>
      <c r="SXG77" s="548"/>
      <c r="SXH77" s="452"/>
      <c r="SXI77" s="596"/>
      <c r="SXJ77" s="548"/>
      <c r="SXK77" s="548"/>
      <c r="SXL77" s="548"/>
      <c r="SXM77" s="548"/>
      <c r="SXN77" s="548"/>
      <c r="SXO77" s="452"/>
      <c r="SXP77" s="596"/>
      <c r="SXQ77" s="548"/>
      <c r="SXR77" s="548"/>
      <c r="SXS77" s="548"/>
      <c r="SXT77" s="548"/>
      <c r="SXU77" s="548"/>
      <c r="SXV77" s="452"/>
      <c r="SXW77" s="596"/>
      <c r="SXX77" s="548"/>
      <c r="SXY77" s="548"/>
      <c r="SXZ77" s="548"/>
      <c r="SYA77" s="548"/>
      <c r="SYB77" s="548"/>
      <c r="SYC77" s="452"/>
      <c r="SYD77" s="596"/>
      <c r="SYE77" s="548"/>
      <c r="SYF77" s="548"/>
      <c r="SYG77" s="548"/>
      <c r="SYH77" s="548"/>
      <c r="SYI77" s="548"/>
      <c r="SYJ77" s="452"/>
      <c r="SYK77" s="596"/>
      <c r="SYL77" s="548"/>
      <c r="SYM77" s="548"/>
      <c r="SYN77" s="548"/>
      <c r="SYO77" s="548"/>
      <c r="SYP77" s="548"/>
      <c r="SYQ77" s="452"/>
      <c r="SYR77" s="596"/>
      <c r="SYS77" s="548"/>
      <c r="SYT77" s="548"/>
      <c r="SYU77" s="548"/>
      <c r="SYV77" s="548"/>
      <c r="SYW77" s="548"/>
      <c r="SYX77" s="452"/>
      <c r="SYY77" s="596"/>
      <c r="SYZ77" s="548"/>
      <c r="SZA77" s="548"/>
      <c r="SZB77" s="548"/>
      <c r="SZC77" s="548"/>
      <c r="SZD77" s="548"/>
      <c r="SZE77" s="452"/>
      <c r="SZF77" s="596"/>
      <c r="SZG77" s="548"/>
      <c r="SZH77" s="548"/>
      <c r="SZI77" s="548"/>
      <c r="SZJ77" s="548"/>
      <c r="SZK77" s="548"/>
      <c r="SZL77" s="452"/>
      <c r="SZM77" s="596"/>
      <c r="SZN77" s="548"/>
      <c r="SZO77" s="548"/>
      <c r="SZP77" s="548"/>
      <c r="SZQ77" s="548"/>
      <c r="SZR77" s="548"/>
      <c r="SZS77" s="452"/>
      <c r="SZT77" s="596"/>
      <c r="SZU77" s="548"/>
      <c r="SZV77" s="548"/>
      <c r="SZW77" s="548"/>
      <c r="SZX77" s="548"/>
      <c r="SZY77" s="548"/>
      <c r="SZZ77" s="452"/>
      <c r="TAA77" s="596"/>
      <c r="TAB77" s="548"/>
      <c r="TAC77" s="548"/>
      <c r="TAD77" s="548"/>
      <c r="TAE77" s="548"/>
      <c r="TAF77" s="548"/>
      <c r="TAG77" s="452"/>
      <c r="TAH77" s="596"/>
      <c r="TAI77" s="548"/>
      <c r="TAJ77" s="548"/>
      <c r="TAK77" s="548"/>
      <c r="TAL77" s="548"/>
      <c r="TAM77" s="548"/>
      <c r="TAN77" s="452"/>
      <c r="TAO77" s="596"/>
      <c r="TAP77" s="548"/>
      <c r="TAQ77" s="548"/>
      <c r="TAR77" s="548"/>
      <c r="TAS77" s="548"/>
      <c r="TAT77" s="548"/>
      <c r="TAU77" s="452"/>
      <c r="TAV77" s="596"/>
      <c r="TAW77" s="548"/>
      <c r="TAX77" s="548"/>
      <c r="TAY77" s="548"/>
      <c r="TAZ77" s="548"/>
      <c r="TBA77" s="548"/>
      <c r="TBB77" s="452"/>
      <c r="TBC77" s="596"/>
      <c r="TBD77" s="548"/>
      <c r="TBE77" s="548"/>
      <c r="TBF77" s="548"/>
      <c r="TBG77" s="548"/>
      <c r="TBH77" s="548"/>
      <c r="TBI77" s="452"/>
      <c r="TBJ77" s="596"/>
      <c r="TBK77" s="548"/>
      <c r="TBL77" s="548"/>
      <c r="TBM77" s="548"/>
      <c r="TBN77" s="548"/>
      <c r="TBO77" s="548"/>
      <c r="TBP77" s="452"/>
      <c r="TBQ77" s="596"/>
      <c r="TBR77" s="548"/>
      <c r="TBS77" s="548"/>
      <c r="TBT77" s="548"/>
      <c r="TBU77" s="548"/>
      <c r="TBV77" s="548"/>
      <c r="TBW77" s="452"/>
      <c r="TBX77" s="596"/>
      <c r="TBY77" s="548"/>
      <c r="TBZ77" s="548"/>
      <c r="TCA77" s="548"/>
      <c r="TCB77" s="548"/>
      <c r="TCC77" s="548"/>
      <c r="TCD77" s="452"/>
      <c r="TCE77" s="596"/>
      <c r="TCF77" s="548"/>
      <c r="TCG77" s="548"/>
      <c r="TCH77" s="548"/>
      <c r="TCI77" s="548"/>
      <c r="TCJ77" s="548"/>
      <c r="TCK77" s="452"/>
      <c r="TCL77" s="596"/>
      <c r="TCM77" s="548"/>
      <c r="TCN77" s="548"/>
      <c r="TCO77" s="548"/>
      <c r="TCP77" s="548"/>
      <c r="TCQ77" s="548"/>
      <c r="TCR77" s="452"/>
      <c r="TCS77" s="596"/>
      <c r="TCT77" s="548"/>
      <c r="TCU77" s="548"/>
      <c r="TCV77" s="548"/>
      <c r="TCW77" s="548"/>
      <c r="TCX77" s="548"/>
      <c r="TCY77" s="452"/>
      <c r="TCZ77" s="596"/>
      <c r="TDA77" s="548"/>
      <c r="TDB77" s="548"/>
      <c r="TDC77" s="548"/>
      <c r="TDD77" s="548"/>
      <c r="TDE77" s="548"/>
      <c r="TDF77" s="452"/>
      <c r="TDG77" s="596"/>
      <c r="TDH77" s="548"/>
      <c r="TDI77" s="548"/>
      <c r="TDJ77" s="548"/>
      <c r="TDK77" s="548"/>
      <c r="TDL77" s="548"/>
      <c r="TDM77" s="452"/>
      <c r="TDN77" s="596"/>
      <c r="TDO77" s="548"/>
      <c r="TDP77" s="548"/>
      <c r="TDQ77" s="548"/>
      <c r="TDR77" s="548"/>
      <c r="TDS77" s="548"/>
      <c r="TDT77" s="452"/>
      <c r="TDU77" s="596"/>
      <c r="TDV77" s="548"/>
      <c r="TDW77" s="548"/>
      <c r="TDX77" s="548"/>
      <c r="TDY77" s="548"/>
      <c r="TDZ77" s="548"/>
      <c r="TEA77" s="452"/>
      <c r="TEB77" s="596"/>
      <c r="TEC77" s="548"/>
      <c r="TED77" s="548"/>
      <c r="TEE77" s="548"/>
      <c r="TEF77" s="548"/>
      <c r="TEG77" s="548"/>
      <c r="TEH77" s="452"/>
      <c r="TEI77" s="596"/>
      <c r="TEJ77" s="548"/>
      <c r="TEK77" s="548"/>
      <c r="TEL77" s="548"/>
      <c r="TEM77" s="548"/>
      <c r="TEN77" s="548"/>
      <c r="TEO77" s="452"/>
      <c r="TEP77" s="596"/>
      <c r="TEQ77" s="548"/>
      <c r="TER77" s="548"/>
      <c r="TES77" s="548"/>
      <c r="TET77" s="548"/>
      <c r="TEU77" s="548"/>
      <c r="TEV77" s="452"/>
      <c r="TEW77" s="596"/>
      <c r="TEX77" s="548"/>
      <c r="TEY77" s="548"/>
      <c r="TEZ77" s="548"/>
      <c r="TFA77" s="548"/>
      <c r="TFB77" s="548"/>
      <c r="TFC77" s="452"/>
      <c r="TFD77" s="596"/>
      <c r="TFE77" s="548"/>
      <c r="TFF77" s="548"/>
      <c r="TFG77" s="548"/>
      <c r="TFH77" s="548"/>
      <c r="TFI77" s="548"/>
      <c r="TFJ77" s="452"/>
      <c r="TFK77" s="596"/>
      <c r="TFL77" s="548"/>
      <c r="TFM77" s="548"/>
      <c r="TFN77" s="548"/>
      <c r="TFO77" s="548"/>
      <c r="TFP77" s="548"/>
      <c r="TFQ77" s="452"/>
      <c r="TFR77" s="596"/>
      <c r="TFS77" s="548"/>
      <c r="TFT77" s="548"/>
      <c r="TFU77" s="548"/>
      <c r="TFV77" s="548"/>
      <c r="TFW77" s="548"/>
      <c r="TFX77" s="452"/>
      <c r="TFY77" s="596"/>
      <c r="TFZ77" s="548"/>
      <c r="TGA77" s="548"/>
      <c r="TGB77" s="548"/>
      <c r="TGC77" s="548"/>
      <c r="TGD77" s="548"/>
      <c r="TGE77" s="452"/>
      <c r="TGF77" s="596"/>
      <c r="TGG77" s="548"/>
      <c r="TGH77" s="548"/>
      <c r="TGI77" s="548"/>
      <c r="TGJ77" s="548"/>
      <c r="TGK77" s="548"/>
      <c r="TGL77" s="452"/>
      <c r="TGM77" s="596"/>
      <c r="TGN77" s="548"/>
      <c r="TGO77" s="548"/>
      <c r="TGP77" s="548"/>
      <c r="TGQ77" s="548"/>
      <c r="TGR77" s="548"/>
      <c r="TGS77" s="452"/>
      <c r="TGT77" s="596"/>
      <c r="TGU77" s="548"/>
      <c r="TGV77" s="548"/>
      <c r="TGW77" s="548"/>
      <c r="TGX77" s="548"/>
      <c r="TGY77" s="548"/>
      <c r="TGZ77" s="452"/>
      <c r="THA77" s="596"/>
      <c r="THB77" s="548"/>
      <c r="THC77" s="548"/>
      <c r="THD77" s="548"/>
      <c r="THE77" s="548"/>
      <c r="THF77" s="548"/>
      <c r="THG77" s="452"/>
      <c r="THH77" s="596"/>
      <c r="THI77" s="548"/>
      <c r="THJ77" s="548"/>
      <c r="THK77" s="548"/>
      <c r="THL77" s="548"/>
      <c r="THM77" s="548"/>
      <c r="THN77" s="452"/>
      <c r="THO77" s="596"/>
      <c r="THP77" s="548"/>
      <c r="THQ77" s="548"/>
      <c r="THR77" s="548"/>
      <c r="THS77" s="548"/>
      <c r="THT77" s="548"/>
      <c r="THU77" s="452"/>
      <c r="THV77" s="596"/>
      <c r="THW77" s="548"/>
      <c r="THX77" s="548"/>
      <c r="THY77" s="548"/>
      <c r="THZ77" s="548"/>
      <c r="TIA77" s="548"/>
      <c r="TIB77" s="452"/>
      <c r="TIC77" s="596"/>
      <c r="TID77" s="548"/>
      <c r="TIE77" s="548"/>
      <c r="TIF77" s="548"/>
      <c r="TIG77" s="548"/>
      <c r="TIH77" s="548"/>
      <c r="TII77" s="452"/>
      <c r="TIJ77" s="596"/>
      <c r="TIK77" s="548"/>
      <c r="TIL77" s="548"/>
      <c r="TIM77" s="548"/>
      <c r="TIN77" s="548"/>
      <c r="TIO77" s="548"/>
      <c r="TIP77" s="452"/>
      <c r="TIQ77" s="596"/>
      <c r="TIR77" s="548"/>
      <c r="TIS77" s="548"/>
      <c r="TIT77" s="548"/>
      <c r="TIU77" s="548"/>
      <c r="TIV77" s="548"/>
      <c r="TIW77" s="452"/>
      <c r="TIX77" s="596"/>
      <c r="TIY77" s="548"/>
      <c r="TIZ77" s="548"/>
      <c r="TJA77" s="548"/>
      <c r="TJB77" s="548"/>
      <c r="TJC77" s="548"/>
      <c r="TJD77" s="452"/>
      <c r="TJE77" s="596"/>
      <c r="TJF77" s="548"/>
      <c r="TJG77" s="548"/>
      <c r="TJH77" s="548"/>
      <c r="TJI77" s="548"/>
      <c r="TJJ77" s="548"/>
      <c r="TJK77" s="452"/>
      <c r="TJL77" s="596"/>
      <c r="TJM77" s="548"/>
      <c r="TJN77" s="548"/>
      <c r="TJO77" s="548"/>
      <c r="TJP77" s="548"/>
      <c r="TJQ77" s="548"/>
      <c r="TJR77" s="452"/>
      <c r="TJS77" s="596"/>
      <c r="TJT77" s="548"/>
      <c r="TJU77" s="548"/>
      <c r="TJV77" s="548"/>
      <c r="TJW77" s="548"/>
      <c r="TJX77" s="548"/>
      <c r="TJY77" s="452"/>
      <c r="TJZ77" s="596"/>
      <c r="TKA77" s="548"/>
      <c r="TKB77" s="548"/>
      <c r="TKC77" s="548"/>
      <c r="TKD77" s="548"/>
      <c r="TKE77" s="548"/>
      <c r="TKF77" s="452"/>
      <c r="TKG77" s="596"/>
      <c r="TKH77" s="548"/>
      <c r="TKI77" s="548"/>
      <c r="TKJ77" s="548"/>
      <c r="TKK77" s="548"/>
      <c r="TKL77" s="548"/>
      <c r="TKM77" s="452"/>
      <c r="TKN77" s="596"/>
      <c r="TKO77" s="548"/>
      <c r="TKP77" s="548"/>
      <c r="TKQ77" s="548"/>
      <c r="TKR77" s="548"/>
      <c r="TKS77" s="548"/>
      <c r="TKT77" s="452"/>
      <c r="TKU77" s="596"/>
      <c r="TKV77" s="548"/>
      <c r="TKW77" s="548"/>
      <c r="TKX77" s="548"/>
      <c r="TKY77" s="548"/>
      <c r="TKZ77" s="548"/>
      <c r="TLA77" s="452"/>
      <c r="TLB77" s="596"/>
      <c r="TLC77" s="548"/>
      <c r="TLD77" s="548"/>
      <c r="TLE77" s="548"/>
      <c r="TLF77" s="548"/>
      <c r="TLG77" s="548"/>
      <c r="TLH77" s="452"/>
      <c r="TLI77" s="596"/>
      <c r="TLJ77" s="548"/>
      <c r="TLK77" s="548"/>
      <c r="TLL77" s="548"/>
      <c r="TLM77" s="548"/>
      <c r="TLN77" s="548"/>
      <c r="TLO77" s="452"/>
      <c r="TLP77" s="596"/>
      <c r="TLQ77" s="548"/>
      <c r="TLR77" s="548"/>
      <c r="TLS77" s="548"/>
      <c r="TLT77" s="548"/>
      <c r="TLU77" s="548"/>
      <c r="TLV77" s="452"/>
      <c r="TLW77" s="596"/>
      <c r="TLX77" s="548"/>
      <c r="TLY77" s="548"/>
      <c r="TLZ77" s="548"/>
      <c r="TMA77" s="548"/>
      <c r="TMB77" s="548"/>
      <c r="TMC77" s="452"/>
      <c r="TMD77" s="596"/>
      <c r="TME77" s="548"/>
      <c r="TMF77" s="548"/>
      <c r="TMG77" s="548"/>
      <c r="TMH77" s="548"/>
      <c r="TMI77" s="548"/>
      <c r="TMJ77" s="452"/>
      <c r="TMK77" s="596"/>
      <c r="TML77" s="548"/>
      <c r="TMM77" s="548"/>
      <c r="TMN77" s="548"/>
      <c r="TMO77" s="548"/>
      <c r="TMP77" s="548"/>
      <c r="TMQ77" s="452"/>
      <c r="TMR77" s="596"/>
      <c r="TMS77" s="548"/>
      <c r="TMT77" s="548"/>
      <c r="TMU77" s="548"/>
      <c r="TMV77" s="548"/>
      <c r="TMW77" s="548"/>
      <c r="TMX77" s="452"/>
      <c r="TMY77" s="596"/>
      <c r="TMZ77" s="548"/>
      <c r="TNA77" s="548"/>
      <c r="TNB77" s="548"/>
      <c r="TNC77" s="548"/>
      <c r="TND77" s="548"/>
      <c r="TNE77" s="452"/>
      <c r="TNF77" s="596"/>
      <c r="TNG77" s="548"/>
      <c r="TNH77" s="548"/>
      <c r="TNI77" s="548"/>
      <c r="TNJ77" s="548"/>
      <c r="TNK77" s="548"/>
      <c r="TNL77" s="452"/>
      <c r="TNM77" s="596"/>
      <c r="TNN77" s="548"/>
      <c r="TNO77" s="548"/>
      <c r="TNP77" s="548"/>
      <c r="TNQ77" s="548"/>
      <c r="TNR77" s="548"/>
      <c r="TNS77" s="452"/>
      <c r="TNT77" s="596"/>
      <c r="TNU77" s="548"/>
      <c r="TNV77" s="548"/>
      <c r="TNW77" s="548"/>
      <c r="TNX77" s="548"/>
      <c r="TNY77" s="548"/>
      <c r="TNZ77" s="452"/>
      <c r="TOA77" s="596"/>
      <c r="TOB77" s="548"/>
      <c r="TOC77" s="548"/>
      <c r="TOD77" s="548"/>
      <c r="TOE77" s="548"/>
      <c r="TOF77" s="548"/>
      <c r="TOG77" s="452"/>
      <c r="TOH77" s="596"/>
      <c r="TOI77" s="548"/>
      <c r="TOJ77" s="548"/>
      <c r="TOK77" s="548"/>
      <c r="TOL77" s="548"/>
      <c r="TOM77" s="548"/>
      <c r="TON77" s="452"/>
      <c r="TOO77" s="596"/>
      <c r="TOP77" s="548"/>
      <c r="TOQ77" s="548"/>
      <c r="TOR77" s="548"/>
      <c r="TOS77" s="548"/>
      <c r="TOT77" s="548"/>
      <c r="TOU77" s="452"/>
      <c r="TOV77" s="596"/>
      <c r="TOW77" s="548"/>
      <c r="TOX77" s="548"/>
      <c r="TOY77" s="548"/>
      <c r="TOZ77" s="548"/>
      <c r="TPA77" s="548"/>
      <c r="TPB77" s="452"/>
      <c r="TPC77" s="596"/>
      <c r="TPD77" s="548"/>
      <c r="TPE77" s="548"/>
      <c r="TPF77" s="548"/>
      <c r="TPG77" s="548"/>
      <c r="TPH77" s="548"/>
      <c r="TPI77" s="452"/>
      <c r="TPJ77" s="596"/>
      <c r="TPK77" s="548"/>
      <c r="TPL77" s="548"/>
      <c r="TPM77" s="548"/>
      <c r="TPN77" s="548"/>
      <c r="TPO77" s="548"/>
      <c r="TPP77" s="452"/>
      <c r="TPQ77" s="596"/>
      <c r="TPR77" s="548"/>
      <c r="TPS77" s="548"/>
      <c r="TPT77" s="548"/>
      <c r="TPU77" s="548"/>
      <c r="TPV77" s="548"/>
      <c r="TPW77" s="452"/>
      <c r="TPX77" s="596"/>
      <c r="TPY77" s="548"/>
      <c r="TPZ77" s="548"/>
      <c r="TQA77" s="548"/>
      <c r="TQB77" s="548"/>
      <c r="TQC77" s="548"/>
      <c r="TQD77" s="452"/>
      <c r="TQE77" s="596"/>
      <c r="TQF77" s="548"/>
      <c r="TQG77" s="548"/>
      <c r="TQH77" s="548"/>
      <c r="TQI77" s="548"/>
      <c r="TQJ77" s="548"/>
      <c r="TQK77" s="452"/>
      <c r="TQL77" s="596"/>
      <c r="TQM77" s="548"/>
      <c r="TQN77" s="548"/>
      <c r="TQO77" s="548"/>
      <c r="TQP77" s="548"/>
      <c r="TQQ77" s="548"/>
      <c r="TQR77" s="452"/>
      <c r="TQS77" s="596"/>
      <c r="TQT77" s="548"/>
      <c r="TQU77" s="548"/>
      <c r="TQV77" s="548"/>
      <c r="TQW77" s="548"/>
      <c r="TQX77" s="548"/>
      <c r="TQY77" s="452"/>
      <c r="TQZ77" s="596"/>
      <c r="TRA77" s="548"/>
      <c r="TRB77" s="548"/>
      <c r="TRC77" s="548"/>
      <c r="TRD77" s="548"/>
      <c r="TRE77" s="548"/>
      <c r="TRF77" s="452"/>
      <c r="TRG77" s="596"/>
      <c r="TRH77" s="548"/>
      <c r="TRI77" s="548"/>
      <c r="TRJ77" s="548"/>
      <c r="TRK77" s="548"/>
      <c r="TRL77" s="548"/>
      <c r="TRM77" s="452"/>
      <c r="TRN77" s="596"/>
      <c r="TRO77" s="548"/>
      <c r="TRP77" s="548"/>
      <c r="TRQ77" s="548"/>
      <c r="TRR77" s="548"/>
      <c r="TRS77" s="548"/>
      <c r="TRT77" s="452"/>
      <c r="TRU77" s="596"/>
      <c r="TRV77" s="548"/>
      <c r="TRW77" s="548"/>
      <c r="TRX77" s="548"/>
      <c r="TRY77" s="548"/>
      <c r="TRZ77" s="548"/>
      <c r="TSA77" s="452"/>
      <c r="TSB77" s="596"/>
      <c r="TSC77" s="548"/>
      <c r="TSD77" s="548"/>
      <c r="TSE77" s="548"/>
      <c r="TSF77" s="548"/>
      <c r="TSG77" s="548"/>
      <c r="TSH77" s="452"/>
      <c r="TSI77" s="596"/>
      <c r="TSJ77" s="548"/>
      <c r="TSK77" s="548"/>
      <c r="TSL77" s="548"/>
      <c r="TSM77" s="548"/>
      <c r="TSN77" s="548"/>
      <c r="TSO77" s="452"/>
      <c r="TSP77" s="596"/>
      <c r="TSQ77" s="548"/>
      <c r="TSR77" s="548"/>
      <c r="TSS77" s="548"/>
      <c r="TST77" s="548"/>
      <c r="TSU77" s="548"/>
      <c r="TSV77" s="452"/>
      <c r="TSW77" s="596"/>
      <c r="TSX77" s="548"/>
      <c r="TSY77" s="548"/>
      <c r="TSZ77" s="548"/>
      <c r="TTA77" s="548"/>
      <c r="TTB77" s="548"/>
      <c r="TTC77" s="452"/>
      <c r="TTD77" s="596"/>
      <c r="TTE77" s="548"/>
      <c r="TTF77" s="548"/>
      <c r="TTG77" s="548"/>
      <c r="TTH77" s="548"/>
      <c r="TTI77" s="548"/>
      <c r="TTJ77" s="452"/>
      <c r="TTK77" s="596"/>
      <c r="TTL77" s="548"/>
      <c r="TTM77" s="548"/>
      <c r="TTN77" s="548"/>
      <c r="TTO77" s="548"/>
      <c r="TTP77" s="548"/>
      <c r="TTQ77" s="452"/>
      <c r="TTR77" s="596"/>
      <c r="TTS77" s="548"/>
      <c r="TTT77" s="548"/>
      <c r="TTU77" s="548"/>
      <c r="TTV77" s="548"/>
      <c r="TTW77" s="548"/>
      <c r="TTX77" s="452"/>
      <c r="TTY77" s="596"/>
      <c r="TTZ77" s="548"/>
      <c r="TUA77" s="548"/>
      <c r="TUB77" s="548"/>
      <c r="TUC77" s="548"/>
      <c r="TUD77" s="548"/>
      <c r="TUE77" s="452"/>
      <c r="TUF77" s="596"/>
      <c r="TUG77" s="548"/>
      <c r="TUH77" s="548"/>
      <c r="TUI77" s="548"/>
      <c r="TUJ77" s="548"/>
      <c r="TUK77" s="548"/>
      <c r="TUL77" s="452"/>
      <c r="TUM77" s="596"/>
      <c r="TUN77" s="548"/>
      <c r="TUO77" s="548"/>
      <c r="TUP77" s="548"/>
      <c r="TUQ77" s="548"/>
      <c r="TUR77" s="548"/>
      <c r="TUS77" s="452"/>
      <c r="TUT77" s="596"/>
      <c r="TUU77" s="548"/>
      <c r="TUV77" s="548"/>
      <c r="TUW77" s="548"/>
      <c r="TUX77" s="548"/>
      <c r="TUY77" s="548"/>
      <c r="TUZ77" s="452"/>
      <c r="TVA77" s="596"/>
      <c r="TVB77" s="548"/>
      <c r="TVC77" s="548"/>
      <c r="TVD77" s="548"/>
      <c r="TVE77" s="548"/>
      <c r="TVF77" s="548"/>
      <c r="TVG77" s="452"/>
      <c r="TVH77" s="596"/>
      <c r="TVI77" s="548"/>
      <c r="TVJ77" s="548"/>
      <c r="TVK77" s="548"/>
      <c r="TVL77" s="548"/>
      <c r="TVM77" s="548"/>
      <c r="TVN77" s="452"/>
      <c r="TVO77" s="596"/>
      <c r="TVP77" s="548"/>
      <c r="TVQ77" s="548"/>
      <c r="TVR77" s="548"/>
      <c r="TVS77" s="548"/>
      <c r="TVT77" s="548"/>
      <c r="TVU77" s="452"/>
      <c r="TVV77" s="596"/>
      <c r="TVW77" s="548"/>
      <c r="TVX77" s="548"/>
      <c r="TVY77" s="548"/>
      <c r="TVZ77" s="548"/>
      <c r="TWA77" s="548"/>
      <c r="TWB77" s="452"/>
      <c r="TWC77" s="596"/>
      <c r="TWD77" s="548"/>
      <c r="TWE77" s="548"/>
      <c r="TWF77" s="548"/>
      <c r="TWG77" s="548"/>
      <c r="TWH77" s="548"/>
      <c r="TWI77" s="452"/>
      <c r="TWJ77" s="596"/>
      <c r="TWK77" s="548"/>
      <c r="TWL77" s="548"/>
      <c r="TWM77" s="548"/>
      <c r="TWN77" s="548"/>
      <c r="TWO77" s="548"/>
      <c r="TWP77" s="452"/>
      <c r="TWQ77" s="596"/>
      <c r="TWR77" s="548"/>
      <c r="TWS77" s="548"/>
      <c r="TWT77" s="548"/>
      <c r="TWU77" s="548"/>
      <c r="TWV77" s="548"/>
      <c r="TWW77" s="452"/>
      <c r="TWX77" s="596"/>
      <c r="TWY77" s="548"/>
      <c r="TWZ77" s="548"/>
      <c r="TXA77" s="548"/>
      <c r="TXB77" s="548"/>
      <c r="TXC77" s="548"/>
      <c r="TXD77" s="452"/>
      <c r="TXE77" s="596"/>
      <c r="TXF77" s="548"/>
      <c r="TXG77" s="548"/>
      <c r="TXH77" s="548"/>
      <c r="TXI77" s="548"/>
      <c r="TXJ77" s="548"/>
      <c r="TXK77" s="452"/>
      <c r="TXL77" s="596"/>
      <c r="TXM77" s="548"/>
      <c r="TXN77" s="548"/>
      <c r="TXO77" s="548"/>
      <c r="TXP77" s="548"/>
      <c r="TXQ77" s="548"/>
      <c r="TXR77" s="452"/>
      <c r="TXS77" s="596"/>
      <c r="TXT77" s="548"/>
      <c r="TXU77" s="548"/>
      <c r="TXV77" s="548"/>
      <c r="TXW77" s="548"/>
      <c r="TXX77" s="548"/>
      <c r="TXY77" s="452"/>
      <c r="TXZ77" s="596"/>
      <c r="TYA77" s="548"/>
      <c r="TYB77" s="548"/>
      <c r="TYC77" s="548"/>
      <c r="TYD77" s="548"/>
      <c r="TYE77" s="548"/>
      <c r="TYF77" s="452"/>
      <c r="TYG77" s="596"/>
      <c r="TYH77" s="548"/>
      <c r="TYI77" s="548"/>
      <c r="TYJ77" s="548"/>
      <c r="TYK77" s="548"/>
      <c r="TYL77" s="548"/>
      <c r="TYM77" s="452"/>
      <c r="TYN77" s="596"/>
      <c r="TYO77" s="548"/>
      <c r="TYP77" s="548"/>
      <c r="TYQ77" s="548"/>
      <c r="TYR77" s="548"/>
      <c r="TYS77" s="548"/>
      <c r="TYT77" s="452"/>
      <c r="TYU77" s="596"/>
      <c r="TYV77" s="548"/>
      <c r="TYW77" s="548"/>
      <c r="TYX77" s="548"/>
      <c r="TYY77" s="548"/>
      <c r="TYZ77" s="548"/>
      <c r="TZA77" s="452"/>
      <c r="TZB77" s="596"/>
      <c r="TZC77" s="548"/>
      <c r="TZD77" s="548"/>
      <c r="TZE77" s="548"/>
      <c r="TZF77" s="548"/>
      <c r="TZG77" s="548"/>
      <c r="TZH77" s="452"/>
      <c r="TZI77" s="596"/>
      <c r="TZJ77" s="548"/>
      <c r="TZK77" s="548"/>
      <c r="TZL77" s="548"/>
      <c r="TZM77" s="548"/>
      <c r="TZN77" s="548"/>
      <c r="TZO77" s="452"/>
      <c r="TZP77" s="596"/>
      <c r="TZQ77" s="548"/>
      <c r="TZR77" s="548"/>
      <c r="TZS77" s="548"/>
      <c r="TZT77" s="548"/>
      <c r="TZU77" s="548"/>
      <c r="TZV77" s="452"/>
      <c r="TZW77" s="596"/>
      <c r="TZX77" s="548"/>
      <c r="TZY77" s="548"/>
      <c r="TZZ77" s="548"/>
      <c r="UAA77" s="548"/>
      <c r="UAB77" s="548"/>
      <c r="UAC77" s="452"/>
      <c r="UAD77" s="596"/>
      <c r="UAE77" s="548"/>
      <c r="UAF77" s="548"/>
      <c r="UAG77" s="548"/>
      <c r="UAH77" s="548"/>
      <c r="UAI77" s="548"/>
      <c r="UAJ77" s="452"/>
      <c r="UAK77" s="596"/>
      <c r="UAL77" s="548"/>
      <c r="UAM77" s="548"/>
      <c r="UAN77" s="548"/>
      <c r="UAO77" s="548"/>
      <c r="UAP77" s="548"/>
      <c r="UAQ77" s="452"/>
      <c r="UAR77" s="596"/>
      <c r="UAS77" s="548"/>
      <c r="UAT77" s="548"/>
      <c r="UAU77" s="548"/>
      <c r="UAV77" s="548"/>
      <c r="UAW77" s="548"/>
      <c r="UAX77" s="452"/>
      <c r="UAY77" s="596"/>
      <c r="UAZ77" s="548"/>
      <c r="UBA77" s="548"/>
      <c r="UBB77" s="548"/>
      <c r="UBC77" s="548"/>
      <c r="UBD77" s="548"/>
      <c r="UBE77" s="452"/>
      <c r="UBF77" s="596"/>
      <c r="UBG77" s="548"/>
      <c r="UBH77" s="548"/>
      <c r="UBI77" s="548"/>
      <c r="UBJ77" s="548"/>
      <c r="UBK77" s="548"/>
      <c r="UBL77" s="452"/>
      <c r="UBM77" s="596"/>
      <c r="UBN77" s="548"/>
      <c r="UBO77" s="548"/>
      <c r="UBP77" s="548"/>
      <c r="UBQ77" s="548"/>
      <c r="UBR77" s="548"/>
      <c r="UBS77" s="452"/>
      <c r="UBT77" s="596"/>
      <c r="UBU77" s="548"/>
      <c r="UBV77" s="548"/>
      <c r="UBW77" s="548"/>
      <c r="UBX77" s="548"/>
      <c r="UBY77" s="548"/>
      <c r="UBZ77" s="452"/>
      <c r="UCA77" s="596"/>
      <c r="UCB77" s="548"/>
      <c r="UCC77" s="548"/>
      <c r="UCD77" s="548"/>
      <c r="UCE77" s="548"/>
      <c r="UCF77" s="548"/>
      <c r="UCG77" s="452"/>
      <c r="UCH77" s="596"/>
      <c r="UCI77" s="548"/>
      <c r="UCJ77" s="548"/>
      <c r="UCK77" s="548"/>
      <c r="UCL77" s="548"/>
      <c r="UCM77" s="548"/>
      <c r="UCN77" s="452"/>
      <c r="UCO77" s="596"/>
      <c r="UCP77" s="548"/>
      <c r="UCQ77" s="548"/>
      <c r="UCR77" s="548"/>
      <c r="UCS77" s="548"/>
      <c r="UCT77" s="548"/>
      <c r="UCU77" s="452"/>
      <c r="UCV77" s="596"/>
      <c r="UCW77" s="548"/>
      <c r="UCX77" s="548"/>
      <c r="UCY77" s="548"/>
      <c r="UCZ77" s="548"/>
      <c r="UDA77" s="548"/>
      <c r="UDB77" s="452"/>
      <c r="UDC77" s="596"/>
      <c r="UDD77" s="548"/>
      <c r="UDE77" s="548"/>
      <c r="UDF77" s="548"/>
      <c r="UDG77" s="548"/>
      <c r="UDH77" s="548"/>
      <c r="UDI77" s="452"/>
      <c r="UDJ77" s="596"/>
      <c r="UDK77" s="548"/>
      <c r="UDL77" s="548"/>
      <c r="UDM77" s="548"/>
      <c r="UDN77" s="548"/>
      <c r="UDO77" s="548"/>
      <c r="UDP77" s="452"/>
      <c r="UDQ77" s="596"/>
      <c r="UDR77" s="548"/>
      <c r="UDS77" s="548"/>
      <c r="UDT77" s="548"/>
      <c r="UDU77" s="548"/>
      <c r="UDV77" s="548"/>
      <c r="UDW77" s="452"/>
      <c r="UDX77" s="596"/>
      <c r="UDY77" s="548"/>
      <c r="UDZ77" s="548"/>
      <c r="UEA77" s="548"/>
      <c r="UEB77" s="548"/>
      <c r="UEC77" s="548"/>
      <c r="UED77" s="452"/>
      <c r="UEE77" s="596"/>
      <c r="UEF77" s="548"/>
      <c r="UEG77" s="548"/>
      <c r="UEH77" s="548"/>
      <c r="UEI77" s="548"/>
      <c r="UEJ77" s="548"/>
      <c r="UEK77" s="452"/>
      <c r="UEL77" s="596"/>
      <c r="UEM77" s="548"/>
      <c r="UEN77" s="548"/>
      <c r="UEO77" s="548"/>
      <c r="UEP77" s="548"/>
      <c r="UEQ77" s="548"/>
      <c r="UER77" s="452"/>
      <c r="UES77" s="596"/>
      <c r="UET77" s="548"/>
      <c r="UEU77" s="548"/>
      <c r="UEV77" s="548"/>
      <c r="UEW77" s="548"/>
      <c r="UEX77" s="548"/>
      <c r="UEY77" s="452"/>
      <c r="UEZ77" s="596"/>
      <c r="UFA77" s="548"/>
      <c r="UFB77" s="548"/>
      <c r="UFC77" s="548"/>
      <c r="UFD77" s="548"/>
      <c r="UFE77" s="548"/>
      <c r="UFF77" s="452"/>
      <c r="UFG77" s="596"/>
      <c r="UFH77" s="548"/>
      <c r="UFI77" s="548"/>
      <c r="UFJ77" s="548"/>
      <c r="UFK77" s="548"/>
      <c r="UFL77" s="548"/>
      <c r="UFM77" s="452"/>
      <c r="UFN77" s="596"/>
      <c r="UFO77" s="548"/>
      <c r="UFP77" s="548"/>
      <c r="UFQ77" s="548"/>
      <c r="UFR77" s="548"/>
      <c r="UFS77" s="548"/>
      <c r="UFT77" s="452"/>
      <c r="UFU77" s="596"/>
      <c r="UFV77" s="548"/>
      <c r="UFW77" s="548"/>
      <c r="UFX77" s="548"/>
      <c r="UFY77" s="548"/>
      <c r="UFZ77" s="548"/>
      <c r="UGA77" s="452"/>
      <c r="UGB77" s="596"/>
      <c r="UGC77" s="548"/>
      <c r="UGD77" s="548"/>
      <c r="UGE77" s="548"/>
      <c r="UGF77" s="548"/>
      <c r="UGG77" s="548"/>
      <c r="UGH77" s="452"/>
      <c r="UGI77" s="596"/>
      <c r="UGJ77" s="548"/>
      <c r="UGK77" s="548"/>
      <c r="UGL77" s="548"/>
      <c r="UGM77" s="548"/>
      <c r="UGN77" s="548"/>
      <c r="UGO77" s="452"/>
      <c r="UGP77" s="596"/>
      <c r="UGQ77" s="548"/>
      <c r="UGR77" s="548"/>
      <c r="UGS77" s="548"/>
      <c r="UGT77" s="548"/>
      <c r="UGU77" s="548"/>
      <c r="UGV77" s="452"/>
      <c r="UGW77" s="596"/>
      <c r="UGX77" s="548"/>
      <c r="UGY77" s="548"/>
      <c r="UGZ77" s="548"/>
      <c r="UHA77" s="548"/>
      <c r="UHB77" s="548"/>
      <c r="UHC77" s="452"/>
      <c r="UHD77" s="596"/>
      <c r="UHE77" s="548"/>
      <c r="UHF77" s="548"/>
      <c r="UHG77" s="548"/>
      <c r="UHH77" s="548"/>
      <c r="UHI77" s="548"/>
      <c r="UHJ77" s="452"/>
      <c r="UHK77" s="596"/>
      <c r="UHL77" s="548"/>
      <c r="UHM77" s="548"/>
      <c r="UHN77" s="548"/>
      <c r="UHO77" s="548"/>
      <c r="UHP77" s="548"/>
      <c r="UHQ77" s="452"/>
      <c r="UHR77" s="596"/>
      <c r="UHS77" s="548"/>
      <c r="UHT77" s="548"/>
      <c r="UHU77" s="548"/>
      <c r="UHV77" s="548"/>
      <c r="UHW77" s="548"/>
      <c r="UHX77" s="452"/>
      <c r="UHY77" s="596"/>
      <c r="UHZ77" s="548"/>
      <c r="UIA77" s="548"/>
      <c r="UIB77" s="548"/>
      <c r="UIC77" s="548"/>
      <c r="UID77" s="548"/>
      <c r="UIE77" s="452"/>
      <c r="UIF77" s="596"/>
      <c r="UIG77" s="548"/>
      <c r="UIH77" s="548"/>
      <c r="UII77" s="548"/>
      <c r="UIJ77" s="548"/>
      <c r="UIK77" s="548"/>
      <c r="UIL77" s="452"/>
      <c r="UIM77" s="596"/>
      <c r="UIN77" s="548"/>
      <c r="UIO77" s="548"/>
      <c r="UIP77" s="548"/>
      <c r="UIQ77" s="548"/>
      <c r="UIR77" s="548"/>
      <c r="UIS77" s="452"/>
      <c r="UIT77" s="596"/>
      <c r="UIU77" s="548"/>
      <c r="UIV77" s="548"/>
      <c r="UIW77" s="548"/>
      <c r="UIX77" s="548"/>
      <c r="UIY77" s="548"/>
      <c r="UIZ77" s="452"/>
      <c r="UJA77" s="596"/>
      <c r="UJB77" s="548"/>
      <c r="UJC77" s="548"/>
      <c r="UJD77" s="548"/>
      <c r="UJE77" s="548"/>
      <c r="UJF77" s="548"/>
      <c r="UJG77" s="452"/>
      <c r="UJH77" s="596"/>
      <c r="UJI77" s="548"/>
      <c r="UJJ77" s="548"/>
      <c r="UJK77" s="548"/>
      <c r="UJL77" s="548"/>
      <c r="UJM77" s="548"/>
      <c r="UJN77" s="452"/>
      <c r="UJO77" s="596"/>
      <c r="UJP77" s="548"/>
      <c r="UJQ77" s="548"/>
      <c r="UJR77" s="548"/>
      <c r="UJS77" s="548"/>
      <c r="UJT77" s="548"/>
      <c r="UJU77" s="452"/>
      <c r="UJV77" s="596"/>
      <c r="UJW77" s="548"/>
      <c r="UJX77" s="548"/>
      <c r="UJY77" s="548"/>
      <c r="UJZ77" s="548"/>
      <c r="UKA77" s="548"/>
      <c r="UKB77" s="452"/>
      <c r="UKC77" s="596"/>
      <c r="UKD77" s="548"/>
      <c r="UKE77" s="548"/>
      <c r="UKF77" s="548"/>
      <c r="UKG77" s="548"/>
      <c r="UKH77" s="548"/>
      <c r="UKI77" s="452"/>
      <c r="UKJ77" s="596"/>
      <c r="UKK77" s="548"/>
      <c r="UKL77" s="548"/>
      <c r="UKM77" s="548"/>
      <c r="UKN77" s="548"/>
      <c r="UKO77" s="548"/>
      <c r="UKP77" s="452"/>
      <c r="UKQ77" s="596"/>
      <c r="UKR77" s="548"/>
      <c r="UKS77" s="548"/>
      <c r="UKT77" s="548"/>
      <c r="UKU77" s="548"/>
      <c r="UKV77" s="548"/>
      <c r="UKW77" s="452"/>
      <c r="UKX77" s="596"/>
      <c r="UKY77" s="548"/>
      <c r="UKZ77" s="548"/>
      <c r="ULA77" s="548"/>
      <c r="ULB77" s="548"/>
      <c r="ULC77" s="548"/>
      <c r="ULD77" s="452"/>
      <c r="ULE77" s="596"/>
      <c r="ULF77" s="548"/>
      <c r="ULG77" s="548"/>
      <c r="ULH77" s="548"/>
      <c r="ULI77" s="548"/>
      <c r="ULJ77" s="548"/>
      <c r="ULK77" s="452"/>
      <c r="ULL77" s="596"/>
      <c r="ULM77" s="548"/>
      <c r="ULN77" s="548"/>
      <c r="ULO77" s="548"/>
      <c r="ULP77" s="548"/>
      <c r="ULQ77" s="548"/>
      <c r="ULR77" s="452"/>
      <c r="ULS77" s="596"/>
      <c r="ULT77" s="548"/>
      <c r="ULU77" s="548"/>
      <c r="ULV77" s="548"/>
      <c r="ULW77" s="548"/>
      <c r="ULX77" s="548"/>
      <c r="ULY77" s="452"/>
      <c r="ULZ77" s="596"/>
      <c r="UMA77" s="548"/>
      <c r="UMB77" s="548"/>
      <c r="UMC77" s="548"/>
      <c r="UMD77" s="548"/>
      <c r="UME77" s="548"/>
      <c r="UMF77" s="452"/>
      <c r="UMG77" s="596"/>
      <c r="UMH77" s="548"/>
      <c r="UMI77" s="548"/>
      <c r="UMJ77" s="548"/>
      <c r="UMK77" s="548"/>
      <c r="UML77" s="548"/>
      <c r="UMM77" s="452"/>
      <c r="UMN77" s="596"/>
      <c r="UMO77" s="548"/>
      <c r="UMP77" s="548"/>
      <c r="UMQ77" s="548"/>
      <c r="UMR77" s="548"/>
      <c r="UMS77" s="548"/>
      <c r="UMT77" s="452"/>
      <c r="UMU77" s="596"/>
      <c r="UMV77" s="548"/>
      <c r="UMW77" s="548"/>
      <c r="UMX77" s="548"/>
      <c r="UMY77" s="548"/>
      <c r="UMZ77" s="548"/>
      <c r="UNA77" s="452"/>
      <c r="UNB77" s="596"/>
      <c r="UNC77" s="548"/>
      <c r="UND77" s="548"/>
      <c r="UNE77" s="548"/>
      <c r="UNF77" s="548"/>
      <c r="UNG77" s="548"/>
      <c r="UNH77" s="452"/>
      <c r="UNI77" s="596"/>
      <c r="UNJ77" s="548"/>
      <c r="UNK77" s="548"/>
      <c r="UNL77" s="548"/>
      <c r="UNM77" s="548"/>
      <c r="UNN77" s="548"/>
      <c r="UNO77" s="452"/>
      <c r="UNP77" s="596"/>
      <c r="UNQ77" s="548"/>
      <c r="UNR77" s="548"/>
      <c r="UNS77" s="548"/>
      <c r="UNT77" s="548"/>
      <c r="UNU77" s="548"/>
      <c r="UNV77" s="452"/>
      <c r="UNW77" s="596"/>
      <c r="UNX77" s="548"/>
      <c r="UNY77" s="548"/>
      <c r="UNZ77" s="548"/>
      <c r="UOA77" s="548"/>
      <c r="UOB77" s="548"/>
      <c r="UOC77" s="452"/>
      <c r="UOD77" s="596"/>
      <c r="UOE77" s="548"/>
      <c r="UOF77" s="548"/>
      <c r="UOG77" s="548"/>
      <c r="UOH77" s="548"/>
      <c r="UOI77" s="548"/>
      <c r="UOJ77" s="452"/>
      <c r="UOK77" s="596"/>
      <c r="UOL77" s="548"/>
      <c r="UOM77" s="548"/>
      <c r="UON77" s="548"/>
      <c r="UOO77" s="548"/>
      <c r="UOP77" s="548"/>
      <c r="UOQ77" s="452"/>
      <c r="UOR77" s="596"/>
      <c r="UOS77" s="548"/>
      <c r="UOT77" s="548"/>
      <c r="UOU77" s="548"/>
      <c r="UOV77" s="548"/>
      <c r="UOW77" s="548"/>
      <c r="UOX77" s="452"/>
      <c r="UOY77" s="596"/>
      <c r="UOZ77" s="548"/>
      <c r="UPA77" s="548"/>
      <c r="UPB77" s="548"/>
      <c r="UPC77" s="548"/>
      <c r="UPD77" s="548"/>
      <c r="UPE77" s="452"/>
      <c r="UPF77" s="596"/>
      <c r="UPG77" s="548"/>
      <c r="UPH77" s="548"/>
      <c r="UPI77" s="548"/>
      <c r="UPJ77" s="548"/>
      <c r="UPK77" s="548"/>
      <c r="UPL77" s="452"/>
      <c r="UPM77" s="596"/>
      <c r="UPN77" s="548"/>
      <c r="UPO77" s="548"/>
      <c r="UPP77" s="548"/>
      <c r="UPQ77" s="548"/>
      <c r="UPR77" s="548"/>
      <c r="UPS77" s="452"/>
      <c r="UPT77" s="596"/>
      <c r="UPU77" s="548"/>
      <c r="UPV77" s="548"/>
      <c r="UPW77" s="548"/>
      <c r="UPX77" s="548"/>
      <c r="UPY77" s="548"/>
      <c r="UPZ77" s="452"/>
      <c r="UQA77" s="596"/>
      <c r="UQB77" s="548"/>
      <c r="UQC77" s="548"/>
      <c r="UQD77" s="548"/>
      <c r="UQE77" s="548"/>
      <c r="UQF77" s="548"/>
      <c r="UQG77" s="452"/>
      <c r="UQH77" s="596"/>
      <c r="UQI77" s="548"/>
      <c r="UQJ77" s="548"/>
      <c r="UQK77" s="548"/>
      <c r="UQL77" s="548"/>
      <c r="UQM77" s="548"/>
      <c r="UQN77" s="452"/>
      <c r="UQO77" s="596"/>
      <c r="UQP77" s="548"/>
      <c r="UQQ77" s="548"/>
      <c r="UQR77" s="548"/>
      <c r="UQS77" s="548"/>
      <c r="UQT77" s="548"/>
      <c r="UQU77" s="452"/>
      <c r="UQV77" s="596"/>
      <c r="UQW77" s="548"/>
      <c r="UQX77" s="548"/>
      <c r="UQY77" s="548"/>
      <c r="UQZ77" s="548"/>
      <c r="URA77" s="548"/>
      <c r="URB77" s="452"/>
      <c r="URC77" s="596"/>
      <c r="URD77" s="548"/>
      <c r="URE77" s="548"/>
      <c r="URF77" s="548"/>
      <c r="URG77" s="548"/>
      <c r="URH77" s="548"/>
      <c r="URI77" s="452"/>
      <c r="URJ77" s="596"/>
      <c r="URK77" s="548"/>
      <c r="URL77" s="548"/>
      <c r="URM77" s="548"/>
      <c r="URN77" s="548"/>
      <c r="URO77" s="548"/>
      <c r="URP77" s="452"/>
      <c r="URQ77" s="596"/>
      <c r="URR77" s="548"/>
      <c r="URS77" s="548"/>
      <c r="URT77" s="548"/>
      <c r="URU77" s="548"/>
      <c r="URV77" s="548"/>
      <c r="URW77" s="452"/>
      <c r="URX77" s="596"/>
      <c r="URY77" s="548"/>
      <c r="URZ77" s="548"/>
      <c r="USA77" s="548"/>
      <c r="USB77" s="548"/>
      <c r="USC77" s="548"/>
      <c r="USD77" s="452"/>
      <c r="USE77" s="596"/>
      <c r="USF77" s="548"/>
      <c r="USG77" s="548"/>
      <c r="USH77" s="548"/>
      <c r="USI77" s="548"/>
      <c r="USJ77" s="548"/>
      <c r="USK77" s="452"/>
      <c r="USL77" s="596"/>
      <c r="USM77" s="548"/>
      <c r="USN77" s="548"/>
      <c r="USO77" s="548"/>
      <c r="USP77" s="548"/>
      <c r="USQ77" s="548"/>
      <c r="USR77" s="452"/>
      <c r="USS77" s="596"/>
      <c r="UST77" s="548"/>
      <c r="USU77" s="548"/>
      <c r="USV77" s="548"/>
      <c r="USW77" s="548"/>
      <c r="USX77" s="548"/>
      <c r="USY77" s="452"/>
      <c r="USZ77" s="596"/>
      <c r="UTA77" s="548"/>
      <c r="UTB77" s="548"/>
      <c r="UTC77" s="548"/>
      <c r="UTD77" s="548"/>
      <c r="UTE77" s="548"/>
      <c r="UTF77" s="452"/>
      <c r="UTG77" s="596"/>
      <c r="UTH77" s="548"/>
      <c r="UTI77" s="548"/>
      <c r="UTJ77" s="548"/>
      <c r="UTK77" s="548"/>
      <c r="UTL77" s="548"/>
      <c r="UTM77" s="452"/>
      <c r="UTN77" s="596"/>
      <c r="UTO77" s="548"/>
      <c r="UTP77" s="548"/>
      <c r="UTQ77" s="548"/>
      <c r="UTR77" s="548"/>
      <c r="UTS77" s="548"/>
      <c r="UTT77" s="452"/>
      <c r="UTU77" s="596"/>
      <c r="UTV77" s="548"/>
      <c r="UTW77" s="548"/>
      <c r="UTX77" s="548"/>
      <c r="UTY77" s="548"/>
      <c r="UTZ77" s="548"/>
      <c r="UUA77" s="452"/>
      <c r="UUB77" s="596"/>
      <c r="UUC77" s="548"/>
      <c r="UUD77" s="548"/>
      <c r="UUE77" s="548"/>
      <c r="UUF77" s="548"/>
      <c r="UUG77" s="548"/>
      <c r="UUH77" s="452"/>
      <c r="UUI77" s="596"/>
      <c r="UUJ77" s="548"/>
      <c r="UUK77" s="548"/>
      <c r="UUL77" s="548"/>
      <c r="UUM77" s="548"/>
      <c r="UUN77" s="548"/>
      <c r="UUO77" s="452"/>
      <c r="UUP77" s="596"/>
      <c r="UUQ77" s="548"/>
      <c r="UUR77" s="548"/>
      <c r="UUS77" s="548"/>
      <c r="UUT77" s="548"/>
      <c r="UUU77" s="548"/>
      <c r="UUV77" s="452"/>
      <c r="UUW77" s="596"/>
      <c r="UUX77" s="548"/>
      <c r="UUY77" s="548"/>
      <c r="UUZ77" s="548"/>
      <c r="UVA77" s="548"/>
      <c r="UVB77" s="548"/>
      <c r="UVC77" s="452"/>
      <c r="UVD77" s="596"/>
      <c r="UVE77" s="548"/>
      <c r="UVF77" s="548"/>
      <c r="UVG77" s="548"/>
      <c r="UVH77" s="548"/>
      <c r="UVI77" s="548"/>
      <c r="UVJ77" s="452"/>
      <c r="UVK77" s="596"/>
      <c r="UVL77" s="548"/>
      <c r="UVM77" s="548"/>
      <c r="UVN77" s="548"/>
      <c r="UVO77" s="548"/>
      <c r="UVP77" s="548"/>
      <c r="UVQ77" s="452"/>
      <c r="UVR77" s="596"/>
      <c r="UVS77" s="548"/>
      <c r="UVT77" s="548"/>
      <c r="UVU77" s="548"/>
      <c r="UVV77" s="548"/>
      <c r="UVW77" s="548"/>
      <c r="UVX77" s="452"/>
      <c r="UVY77" s="596"/>
      <c r="UVZ77" s="548"/>
      <c r="UWA77" s="548"/>
      <c r="UWB77" s="548"/>
      <c r="UWC77" s="548"/>
      <c r="UWD77" s="548"/>
      <c r="UWE77" s="452"/>
      <c r="UWF77" s="596"/>
      <c r="UWG77" s="548"/>
      <c r="UWH77" s="548"/>
      <c r="UWI77" s="548"/>
      <c r="UWJ77" s="548"/>
      <c r="UWK77" s="548"/>
      <c r="UWL77" s="452"/>
      <c r="UWM77" s="596"/>
      <c r="UWN77" s="548"/>
      <c r="UWO77" s="548"/>
      <c r="UWP77" s="548"/>
      <c r="UWQ77" s="548"/>
      <c r="UWR77" s="548"/>
      <c r="UWS77" s="452"/>
      <c r="UWT77" s="596"/>
      <c r="UWU77" s="548"/>
      <c r="UWV77" s="548"/>
      <c r="UWW77" s="548"/>
      <c r="UWX77" s="548"/>
      <c r="UWY77" s="548"/>
      <c r="UWZ77" s="452"/>
      <c r="UXA77" s="596"/>
      <c r="UXB77" s="548"/>
      <c r="UXC77" s="548"/>
      <c r="UXD77" s="548"/>
      <c r="UXE77" s="548"/>
      <c r="UXF77" s="548"/>
      <c r="UXG77" s="452"/>
      <c r="UXH77" s="596"/>
      <c r="UXI77" s="548"/>
      <c r="UXJ77" s="548"/>
      <c r="UXK77" s="548"/>
      <c r="UXL77" s="548"/>
      <c r="UXM77" s="548"/>
      <c r="UXN77" s="452"/>
      <c r="UXO77" s="596"/>
      <c r="UXP77" s="548"/>
      <c r="UXQ77" s="548"/>
      <c r="UXR77" s="548"/>
      <c r="UXS77" s="548"/>
      <c r="UXT77" s="548"/>
      <c r="UXU77" s="452"/>
      <c r="UXV77" s="596"/>
      <c r="UXW77" s="548"/>
      <c r="UXX77" s="548"/>
      <c r="UXY77" s="548"/>
      <c r="UXZ77" s="548"/>
      <c r="UYA77" s="548"/>
      <c r="UYB77" s="452"/>
      <c r="UYC77" s="596"/>
      <c r="UYD77" s="548"/>
      <c r="UYE77" s="548"/>
      <c r="UYF77" s="548"/>
      <c r="UYG77" s="548"/>
      <c r="UYH77" s="548"/>
      <c r="UYI77" s="452"/>
      <c r="UYJ77" s="596"/>
      <c r="UYK77" s="548"/>
      <c r="UYL77" s="548"/>
      <c r="UYM77" s="548"/>
      <c r="UYN77" s="548"/>
      <c r="UYO77" s="548"/>
      <c r="UYP77" s="452"/>
      <c r="UYQ77" s="596"/>
      <c r="UYR77" s="548"/>
      <c r="UYS77" s="548"/>
      <c r="UYT77" s="548"/>
      <c r="UYU77" s="548"/>
      <c r="UYV77" s="548"/>
      <c r="UYW77" s="452"/>
      <c r="UYX77" s="596"/>
      <c r="UYY77" s="548"/>
      <c r="UYZ77" s="548"/>
      <c r="UZA77" s="548"/>
      <c r="UZB77" s="548"/>
      <c r="UZC77" s="548"/>
      <c r="UZD77" s="452"/>
      <c r="UZE77" s="596"/>
      <c r="UZF77" s="548"/>
      <c r="UZG77" s="548"/>
      <c r="UZH77" s="548"/>
      <c r="UZI77" s="548"/>
      <c r="UZJ77" s="548"/>
      <c r="UZK77" s="452"/>
      <c r="UZL77" s="596"/>
      <c r="UZM77" s="548"/>
      <c r="UZN77" s="548"/>
      <c r="UZO77" s="548"/>
      <c r="UZP77" s="548"/>
      <c r="UZQ77" s="548"/>
      <c r="UZR77" s="452"/>
      <c r="UZS77" s="596"/>
      <c r="UZT77" s="548"/>
      <c r="UZU77" s="548"/>
      <c r="UZV77" s="548"/>
      <c r="UZW77" s="548"/>
      <c r="UZX77" s="548"/>
      <c r="UZY77" s="452"/>
      <c r="UZZ77" s="596"/>
      <c r="VAA77" s="548"/>
      <c r="VAB77" s="548"/>
      <c r="VAC77" s="548"/>
      <c r="VAD77" s="548"/>
      <c r="VAE77" s="548"/>
      <c r="VAF77" s="452"/>
      <c r="VAG77" s="596"/>
      <c r="VAH77" s="548"/>
      <c r="VAI77" s="548"/>
      <c r="VAJ77" s="548"/>
      <c r="VAK77" s="548"/>
      <c r="VAL77" s="548"/>
      <c r="VAM77" s="452"/>
      <c r="VAN77" s="596"/>
      <c r="VAO77" s="548"/>
      <c r="VAP77" s="548"/>
      <c r="VAQ77" s="548"/>
      <c r="VAR77" s="548"/>
      <c r="VAS77" s="548"/>
      <c r="VAT77" s="452"/>
      <c r="VAU77" s="596"/>
      <c r="VAV77" s="548"/>
      <c r="VAW77" s="548"/>
      <c r="VAX77" s="548"/>
      <c r="VAY77" s="548"/>
      <c r="VAZ77" s="548"/>
      <c r="VBA77" s="452"/>
      <c r="VBB77" s="596"/>
      <c r="VBC77" s="548"/>
      <c r="VBD77" s="548"/>
      <c r="VBE77" s="548"/>
      <c r="VBF77" s="548"/>
      <c r="VBG77" s="548"/>
      <c r="VBH77" s="452"/>
      <c r="VBI77" s="596"/>
      <c r="VBJ77" s="548"/>
      <c r="VBK77" s="548"/>
      <c r="VBL77" s="548"/>
      <c r="VBM77" s="548"/>
      <c r="VBN77" s="548"/>
      <c r="VBO77" s="452"/>
      <c r="VBP77" s="596"/>
      <c r="VBQ77" s="548"/>
      <c r="VBR77" s="548"/>
      <c r="VBS77" s="548"/>
      <c r="VBT77" s="548"/>
      <c r="VBU77" s="548"/>
      <c r="VBV77" s="452"/>
      <c r="VBW77" s="596"/>
      <c r="VBX77" s="548"/>
      <c r="VBY77" s="548"/>
      <c r="VBZ77" s="548"/>
      <c r="VCA77" s="548"/>
      <c r="VCB77" s="548"/>
      <c r="VCC77" s="452"/>
      <c r="VCD77" s="596"/>
      <c r="VCE77" s="548"/>
      <c r="VCF77" s="548"/>
      <c r="VCG77" s="548"/>
      <c r="VCH77" s="548"/>
      <c r="VCI77" s="548"/>
      <c r="VCJ77" s="452"/>
      <c r="VCK77" s="596"/>
      <c r="VCL77" s="548"/>
      <c r="VCM77" s="548"/>
      <c r="VCN77" s="548"/>
      <c r="VCO77" s="548"/>
      <c r="VCP77" s="548"/>
      <c r="VCQ77" s="452"/>
      <c r="VCR77" s="596"/>
      <c r="VCS77" s="548"/>
      <c r="VCT77" s="548"/>
      <c r="VCU77" s="548"/>
      <c r="VCV77" s="548"/>
      <c r="VCW77" s="548"/>
      <c r="VCX77" s="452"/>
      <c r="VCY77" s="596"/>
      <c r="VCZ77" s="548"/>
      <c r="VDA77" s="548"/>
      <c r="VDB77" s="548"/>
      <c r="VDC77" s="548"/>
      <c r="VDD77" s="548"/>
      <c r="VDE77" s="452"/>
      <c r="VDF77" s="596"/>
      <c r="VDG77" s="548"/>
      <c r="VDH77" s="548"/>
      <c r="VDI77" s="548"/>
      <c r="VDJ77" s="548"/>
      <c r="VDK77" s="548"/>
      <c r="VDL77" s="452"/>
      <c r="VDM77" s="596"/>
      <c r="VDN77" s="548"/>
      <c r="VDO77" s="548"/>
      <c r="VDP77" s="548"/>
      <c r="VDQ77" s="548"/>
      <c r="VDR77" s="548"/>
      <c r="VDS77" s="452"/>
      <c r="VDT77" s="596"/>
      <c r="VDU77" s="548"/>
      <c r="VDV77" s="548"/>
      <c r="VDW77" s="548"/>
      <c r="VDX77" s="548"/>
      <c r="VDY77" s="548"/>
      <c r="VDZ77" s="452"/>
      <c r="VEA77" s="596"/>
      <c r="VEB77" s="548"/>
      <c r="VEC77" s="548"/>
      <c r="VED77" s="548"/>
      <c r="VEE77" s="548"/>
      <c r="VEF77" s="548"/>
      <c r="VEG77" s="452"/>
      <c r="VEH77" s="596"/>
      <c r="VEI77" s="548"/>
      <c r="VEJ77" s="548"/>
      <c r="VEK77" s="548"/>
      <c r="VEL77" s="548"/>
      <c r="VEM77" s="548"/>
      <c r="VEN77" s="452"/>
      <c r="VEO77" s="596"/>
      <c r="VEP77" s="548"/>
      <c r="VEQ77" s="548"/>
      <c r="VER77" s="548"/>
      <c r="VES77" s="548"/>
      <c r="VET77" s="548"/>
      <c r="VEU77" s="452"/>
      <c r="VEV77" s="596"/>
      <c r="VEW77" s="548"/>
      <c r="VEX77" s="548"/>
      <c r="VEY77" s="548"/>
      <c r="VEZ77" s="548"/>
      <c r="VFA77" s="548"/>
      <c r="VFB77" s="452"/>
      <c r="VFC77" s="596"/>
      <c r="VFD77" s="548"/>
      <c r="VFE77" s="548"/>
      <c r="VFF77" s="548"/>
      <c r="VFG77" s="548"/>
      <c r="VFH77" s="548"/>
      <c r="VFI77" s="452"/>
      <c r="VFJ77" s="596"/>
      <c r="VFK77" s="548"/>
      <c r="VFL77" s="548"/>
      <c r="VFM77" s="548"/>
      <c r="VFN77" s="548"/>
      <c r="VFO77" s="548"/>
      <c r="VFP77" s="452"/>
      <c r="VFQ77" s="596"/>
      <c r="VFR77" s="548"/>
      <c r="VFS77" s="548"/>
      <c r="VFT77" s="548"/>
      <c r="VFU77" s="548"/>
      <c r="VFV77" s="548"/>
      <c r="VFW77" s="452"/>
      <c r="VFX77" s="596"/>
      <c r="VFY77" s="548"/>
      <c r="VFZ77" s="548"/>
      <c r="VGA77" s="548"/>
      <c r="VGB77" s="548"/>
      <c r="VGC77" s="548"/>
      <c r="VGD77" s="452"/>
      <c r="VGE77" s="596"/>
      <c r="VGF77" s="548"/>
      <c r="VGG77" s="548"/>
      <c r="VGH77" s="548"/>
      <c r="VGI77" s="548"/>
      <c r="VGJ77" s="548"/>
      <c r="VGK77" s="452"/>
      <c r="VGL77" s="596"/>
      <c r="VGM77" s="548"/>
      <c r="VGN77" s="548"/>
      <c r="VGO77" s="548"/>
      <c r="VGP77" s="548"/>
      <c r="VGQ77" s="548"/>
      <c r="VGR77" s="452"/>
      <c r="VGS77" s="596"/>
      <c r="VGT77" s="548"/>
      <c r="VGU77" s="548"/>
      <c r="VGV77" s="548"/>
      <c r="VGW77" s="548"/>
      <c r="VGX77" s="548"/>
      <c r="VGY77" s="452"/>
      <c r="VGZ77" s="596"/>
      <c r="VHA77" s="548"/>
      <c r="VHB77" s="548"/>
      <c r="VHC77" s="548"/>
      <c r="VHD77" s="548"/>
      <c r="VHE77" s="548"/>
      <c r="VHF77" s="452"/>
      <c r="VHG77" s="596"/>
      <c r="VHH77" s="548"/>
      <c r="VHI77" s="548"/>
      <c r="VHJ77" s="548"/>
      <c r="VHK77" s="548"/>
      <c r="VHL77" s="548"/>
      <c r="VHM77" s="452"/>
      <c r="VHN77" s="596"/>
      <c r="VHO77" s="548"/>
      <c r="VHP77" s="548"/>
      <c r="VHQ77" s="548"/>
      <c r="VHR77" s="548"/>
      <c r="VHS77" s="548"/>
      <c r="VHT77" s="452"/>
      <c r="VHU77" s="596"/>
      <c r="VHV77" s="548"/>
      <c r="VHW77" s="548"/>
      <c r="VHX77" s="548"/>
      <c r="VHY77" s="548"/>
      <c r="VHZ77" s="548"/>
      <c r="VIA77" s="452"/>
      <c r="VIB77" s="596"/>
      <c r="VIC77" s="548"/>
      <c r="VID77" s="548"/>
      <c r="VIE77" s="548"/>
      <c r="VIF77" s="548"/>
      <c r="VIG77" s="548"/>
      <c r="VIH77" s="452"/>
      <c r="VII77" s="596"/>
      <c r="VIJ77" s="548"/>
      <c r="VIK77" s="548"/>
      <c r="VIL77" s="548"/>
      <c r="VIM77" s="548"/>
      <c r="VIN77" s="548"/>
      <c r="VIO77" s="452"/>
      <c r="VIP77" s="596"/>
      <c r="VIQ77" s="548"/>
      <c r="VIR77" s="548"/>
      <c r="VIS77" s="548"/>
      <c r="VIT77" s="548"/>
      <c r="VIU77" s="548"/>
      <c r="VIV77" s="452"/>
      <c r="VIW77" s="596"/>
      <c r="VIX77" s="548"/>
      <c r="VIY77" s="548"/>
      <c r="VIZ77" s="548"/>
      <c r="VJA77" s="548"/>
      <c r="VJB77" s="548"/>
      <c r="VJC77" s="452"/>
      <c r="VJD77" s="596"/>
      <c r="VJE77" s="548"/>
      <c r="VJF77" s="548"/>
      <c r="VJG77" s="548"/>
      <c r="VJH77" s="548"/>
      <c r="VJI77" s="548"/>
      <c r="VJJ77" s="452"/>
      <c r="VJK77" s="596"/>
      <c r="VJL77" s="548"/>
      <c r="VJM77" s="548"/>
      <c r="VJN77" s="548"/>
      <c r="VJO77" s="548"/>
      <c r="VJP77" s="548"/>
      <c r="VJQ77" s="452"/>
      <c r="VJR77" s="596"/>
      <c r="VJS77" s="548"/>
      <c r="VJT77" s="548"/>
      <c r="VJU77" s="548"/>
      <c r="VJV77" s="548"/>
      <c r="VJW77" s="548"/>
      <c r="VJX77" s="452"/>
      <c r="VJY77" s="596"/>
      <c r="VJZ77" s="548"/>
      <c r="VKA77" s="548"/>
      <c r="VKB77" s="548"/>
      <c r="VKC77" s="548"/>
      <c r="VKD77" s="548"/>
      <c r="VKE77" s="452"/>
      <c r="VKF77" s="596"/>
      <c r="VKG77" s="548"/>
      <c r="VKH77" s="548"/>
      <c r="VKI77" s="548"/>
      <c r="VKJ77" s="548"/>
      <c r="VKK77" s="548"/>
      <c r="VKL77" s="452"/>
      <c r="VKM77" s="596"/>
      <c r="VKN77" s="548"/>
      <c r="VKO77" s="548"/>
      <c r="VKP77" s="548"/>
      <c r="VKQ77" s="548"/>
      <c r="VKR77" s="548"/>
      <c r="VKS77" s="452"/>
      <c r="VKT77" s="596"/>
      <c r="VKU77" s="548"/>
      <c r="VKV77" s="548"/>
      <c r="VKW77" s="548"/>
      <c r="VKX77" s="548"/>
      <c r="VKY77" s="548"/>
      <c r="VKZ77" s="452"/>
      <c r="VLA77" s="596"/>
      <c r="VLB77" s="548"/>
      <c r="VLC77" s="548"/>
      <c r="VLD77" s="548"/>
      <c r="VLE77" s="548"/>
      <c r="VLF77" s="548"/>
      <c r="VLG77" s="452"/>
      <c r="VLH77" s="596"/>
      <c r="VLI77" s="548"/>
      <c r="VLJ77" s="548"/>
      <c r="VLK77" s="548"/>
      <c r="VLL77" s="548"/>
      <c r="VLM77" s="548"/>
      <c r="VLN77" s="452"/>
      <c r="VLO77" s="596"/>
      <c r="VLP77" s="548"/>
      <c r="VLQ77" s="548"/>
      <c r="VLR77" s="548"/>
      <c r="VLS77" s="548"/>
      <c r="VLT77" s="548"/>
      <c r="VLU77" s="452"/>
      <c r="VLV77" s="596"/>
      <c r="VLW77" s="548"/>
      <c r="VLX77" s="548"/>
      <c r="VLY77" s="548"/>
      <c r="VLZ77" s="548"/>
      <c r="VMA77" s="548"/>
      <c r="VMB77" s="452"/>
      <c r="VMC77" s="596"/>
      <c r="VMD77" s="548"/>
      <c r="VME77" s="548"/>
      <c r="VMF77" s="548"/>
      <c r="VMG77" s="548"/>
      <c r="VMH77" s="548"/>
      <c r="VMI77" s="452"/>
      <c r="VMJ77" s="596"/>
      <c r="VMK77" s="548"/>
      <c r="VML77" s="548"/>
      <c r="VMM77" s="548"/>
      <c r="VMN77" s="548"/>
      <c r="VMO77" s="548"/>
      <c r="VMP77" s="452"/>
      <c r="VMQ77" s="596"/>
      <c r="VMR77" s="548"/>
      <c r="VMS77" s="548"/>
      <c r="VMT77" s="548"/>
      <c r="VMU77" s="548"/>
      <c r="VMV77" s="548"/>
      <c r="VMW77" s="452"/>
      <c r="VMX77" s="596"/>
      <c r="VMY77" s="548"/>
      <c r="VMZ77" s="548"/>
      <c r="VNA77" s="548"/>
      <c r="VNB77" s="548"/>
      <c r="VNC77" s="548"/>
      <c r="VND77" s="452"/>
      <c r="VNE77" s="596"/>
      <c r="VNF77" s="548"/>
      <c r="VNG77" s="548"/>
      <c r="VNH77" s="548"/>
      <c r="VNI77" s="548"/>
      <c r="VNJ77" s="548"/>
      <c r="VNK77" s="452"/>
      <c r="VNL77" s="596"/>
      <c r="VNM77" s="548"/>
      <c r="VNN77" s="548"/>
      <c r="VNO77" s="548"/>
      <c r="VNP77" s="548"/>
      <c r="VNQ77" s="548"/>
      <c r="VNR77" s="452"/>
      <c r="VNS77" s="596"/>
      <c r="VNT77" s="548"/>
      <c r="VNU77" s="548"/>
      <c r="VNV77" s="548"/>
      <c r="VNW77" s="548"/>
      <c r="VNX77" s="548"/>
      <c r="VNY77" s="452"/>
      <c r="VNZ77" s="596"/>
      <c r="VOA77" s="548"/>
      <c r="VOB77" s="548"/>
      <c r="VOC77" s="548"/>
      <c r="VOD77" s="548"/>
      <c r="VOE77" s="548"/>
      <c r="VOF77" s="452"/>
      <c r="VOG77" s="596"/>
      <c r="VOH77" s="548"/>
      <c r="VOI77" s="548"/>
      <c r="VOJ77" s="548"/>
      <c r="VOK77" s="548"/>
      <c r="VOL77" s="548"/>
      <c r="VOM77" s="452"/>
      <c r="VON77" s="596"/>
      <c r="VOO77" s="548"/>
      <c r="VOP77" s="548"/>
      <c r="VOQ77" s="548"/>
      <c r="VOR77" s="548"/>
      <c r="VOS77" s="548"/>
      <c r="VOT77" s="452"/>
      <c r="VOU77" s="596"/>
      <c r="VOV77" s="548"/>
      <c r="VOW77" s="548"/>
      <c r="VOX77" s="548"/>
      <c r="VOY77" s="548"/>
      <c r="VOZ77" s="548"/>
      <c r="VPA77" s="452"/>
      <c r="VPB77" s="596"/>
      <c r="VPC77" s="548"/>
      <c r="VPD77" s="548"/>
      <c r="VPE77" s="548"/>
      <c r="VPF77" s="548"/>
      <c r="VPG77" s="548"/>
      <c r="VPH77" s="452"/>
      <c r="VPI77" s="596"/>
      <c r="VPJ77" s="548"/>
      <c r="VPK77" s="548"/>
      <c r="VPL77" s="548"/>
      <c r="VPM77" s="548"/>
      <c r="VPN77" s="548"/>
      <c r="VPO77" s="452"/>
      <c r="VPP77" s="596"/>
      <c r="VPQ77" s="548"/>
      <c r="VPR77" s="548"/>
      <c r="VPS77" s="548"/>
      <c r="VPT77" s="548"/>
      <c r="VPU77" s="548"/>
      <c r="VPV77" s="452"/>
      <c r="VPW77" s="596"/>
      <c r="VPX77" s="548"/>
      <c r="VPY77" s="548"/>
      <c r="VPZ77" s="548"/>
      <c r="VQA77" s="548"/>
      <c r="VQB77" s="548"/>
      <c r="VQC77" s="452"/>
      <c r="VQD77" s="596"/>
      <c r="VQE77" s="548"/>
      <c r="VQF77" s="548"/>
      <c r="VQG77" s="548"/>
      <c r="VQH77" s="548"/>
      <c r="VQI77" s="548"/>
      <c r="VQJ77" s="452"/>
      <c r="VQK77" s="596"/>
      <c r="VQL77" s="548"/>
      <c r="VQM77" s="548"/>
      <c r="VQN77" s="548"/>
      <c r="VQO77" s="548"/>
      <c r="VQP77" s="548"/>
      <c r="VQQ77" s="452"/>
      <c r="VQR77" s="596"/>
      <c r="VQS77" s="548"/>
      <c r="VQT77" s="548"/>
      <c r="VQU77" s="548"/>
      <c r="VQV77" s="548"/>
      <c r="VQW77" s="548"/>
      <c r="VQX77" s="452"/>
      <c r="VQY77" s="596"/>
      <c r="VQZ77" s="548"/>
      <c r="VRA77" s="548"/>
      <c r="VRB77" s="548"/>
      <c r="VRC77" s="548"/>
      <c r="VRD77" s="548"/>
      <c r="VRE77" s="452"/>
      <c r="VRF77" s="596"/>
      <c r="VRG77" s="548"/>
      <c r="VRH77" s="548"/>
      <c r="VRI77" s="548"/>
      <c r="VRJ77" s="548"/>
      <c r="VRK77" s="548"/>
      <c r="VRL77" s="452"/>
      <c r="VRM77" s="596"/>
      <c r="VRN77" s="548"/>
      <c r="VRO77" s="548"/>
      <c r="VRP77" s="548"/>
      <c r="VRQ77" s="548"/>
      <c r="VRR77" s="548"/>
      <c r="VRS77" s="452"/>
      <c r="VRT77" s="596"/>
      <c r="VRU77" s="548"/>
      <c r="VRV77" s="548"/>
      <c r="VRW77" s="548"/>
      <c r="VRX77" s="548"/>
      <c r="VRY77" s="548"/>
      <c r="VRZ77" s="452"/>
      <c r="VSA77" s="596"/>
      <c r="VSB77" s="548"/>
      <c r="VSC77" s="548"/>
      <c r="VSD77" s="548"/>
      <c r="VSE77" s="548"/>
      <c r="VSF77" s="548"/>
      <c r="VSG77" s="452"/>
      <c r="VSH77" s="596"/>
      <c r="VSI77" s="548"/>
      <c r="VSJ77" s="548"/>
      <c r="VSK77" s="548"/>
      <c r="VSL77" s="548"/>
      <c r="VSM77" s="548"/>
      <c r="VSN77" s="452"/>
      <c r="VSO77" s="596"/>
      <c r="VSP77" s="548"/>
      <c r="VSQ77" s="548"/>
      <c r="VSR77" s="548"/>
      <c r="VSS77" s="548"/>
      <c r="VST77" s="548"/>
      <c r="VSU77" s="452"/>
      <c r="VSV77" s="596"/>
      <c r="VSW77" s="548"/>
      <c r="VSX77" s="548"/>
      <c r="VSY77" s="548"/>
      <c r="VSZ77" s="548"/>
      <c r="VTA77" s="548"/>
      <c r="VTB77" s="452"/>
      <c r="VTC77" s="596"/>
      <c r="VTD77" s="548"/>
      <c r="VTE77" s="548"/>
      <c r="VTF77" s="548"/>
      <c r="VTG77" s="548"/>
      <c r="VTH77" s="548"/>
      <c r="VTI77" s="452"/>
      <c r="VTJ77" s="596"/>
      <c r="VTK77" s="548"/>
      <c r="VTL77" s="548"/>
      <c r="VTM77" s="548"/>
      <c r="VTN77" s="548"/>
      <c r="VTO77" s="548"/>
      <c r="VTP77" s="452"/>
      <c r="VTQ77" s="596"/>
      <c r="VTR77" s="548"/>
      <c r="VTS77" s="548"/>
      <c r="VTT77" s="548"/>
      <c r="VTU77" s="548"/>
      <c r="VTV77" s="548"/>
      <c r="VTW77" s="452"/>
      <c r="VTX77" s="596"/>
      <c r="VTY77" s="548"/>
      <c r="VTZ77" s="548"/>
      <c r="VUA77" s="548"/>
      <c r="VUB77" s="548"/>
      <c r="VUC77" s="548"/>
      <c r="VUD77" s="452"/>
      <c r="VUE77" s="596"/>
      <c r="VUF77" s="548"/>
      <c r="VUG77" s="548"/>
      <c r="VUH77" s="548"/>
      <c r="VUI77" s="548"/>
      <c r="VUJ77" s="548"/>
      <c r="VUK77" s="452"/>
      <c r="VUL77" s="596"/>
      <c r="VUM77" s="548"/>
      <c r="VUN77" s="548"/>
      <c r="VUO77" s="548"/>
      <c r="VUP77" s="548"/>
      <c r="VUQ77" s="548"/>
      <c r="VUR77" s="452"/>
      <c r="VUS77" s="596"/>
      <c r="VUT77" s="548"/>
      <c r="VUU77" s="548"/>
      <c r="VUV77" s="548"/>
      <c r="VUW77" s="548"/>
      <c r="VUX77" s="548"/>
      <c r="VUY77" s="452"/>
      <c r="VUZ77" s="596"/>
      <c r="VVA77" s="548"/>
      <c r="VVB77" s="548"/>
      <c r="VVC77" s="548"/>
      <c r="VVD77" s="548"/>
      <c r="VVE77" s="548"/>
      <c r="VVF77" s="452"/>
      <c r="VVG77" s="596"/>
      <c r="VVH77" s="548"/>
      <c r="VVI77" s="548"/>
      <c r="VVJ77" s="548"/>
      <c r="VVK77" s="548"/>
      <c r="VVL77" s="548"/>
      <c r="VVM77" s="452"/>
      <c r="VVN77" s="596"/>
      <c r="VVO77" s="548"/>
      <c r="VVP77" s="548"/>
      <c r="VVQ77" s="548"/>
      <c r="VVR77" s="548"/>
      <c r="VVS77" s="548"/>
      <c r="VVT77" s="452"/>
      <c r="VVU77" s="596"/>
      <c r="VVV77" s="548"/>
      <c r="VVW77" s="548"/>
      <c r="VVX77" s="548"/>
      <c r="VVY77" s="548"/>
      <c r="VVZ77" s="548"/>
      <c r="VWA77" s="452"/>
      <c r="VWB77" s="596"/>
      <c r="VWC77" s="548"/>
      <c r="VWD77" s="548"/>
      <c r="VWE77" s="548"/>
      <c r="VWF77" s="548"/>
      <c r="VWG77" s="548"/>
      <c r="VWH77" s="452"/>
      <c r="VWI77" s="596"/>
      <c r="VWJ77" s="548"/>
      <c r="VWK77" s="548"/>
      <c r="VWL77" s="548"/>
      <c r="VWM77" s="548"/>
      <c r="VWN77" s="548"/>
      <c r="VWO77" s="452"/>
      <c r="VWP77" s="596"/>
      <c r="VWQ77" s="548"/>
      <c r="VWR77" s="548"/>
      <c r="VWS77" s="548"/>
      <c r="VWT77" s="548"/>
      <c r="VWU77" s="548"/>
      <c r="VWV77" s="452"/>
      <c r="VWW77" s="596"/>
      <c r="VWX77" s="548"/>
      <c r="VWY77" s="548"/>
      <c r="VWZ77" s="548"/>
      <c r="VXA77" s="548"/>
      <c r="VXB77" s="548"/>
      <c r="VXC77" s="452"/>
      <c r="VXD77" s="596"/>
      <c r="VXE77" s="548"/>
      <c r="VXF77" s="548"/>
      <c r="VXG77" s="548"/>
      <c r="VXH77" s="548"/>
      <c r="VXI77" s="548"/>
      <c r="VXJ77" s="452"/>
      <c r="VXK77" s="596"/>
      <c r="VXL77" s="548"/>
      <c r="VXM77" s="548"/>
      <c r="VXN77" s="548"/>
      <c r="VXO77" s="548"/>
      <c r="VXP77" s="548"/>
      <c r="VXQ77" s="452"/>
      <c r="VXR77" s="596"/>
      <c r="VXS77" s="548"/>
      <c r="VXT77" s="548"/>
      <c r="VXU77" s="548"/>
      <c r="VXV77" s="548"/>
      <c r="VXW77" s="548"/>
      <c r="VXX77" s="452"/>
      <c r="VXY77" s="596"/>
      <c r="VXZ77" s="548"/>
      <c r="VYA77" s="548"/>
      <c r="VYB77" s="548"/>
      <c r="VYC77" s="548"/>
      <c r="VYD77" s="548"/>
      <c r="VYE77" s="452"/>
      <c r="VYF77" s="596"/>
      <c r="VYG77" s="548"/>
      <c r="VYH77" s="548"/>
      <c r="VYI77" s="548"/>
      <c r="VYJ77" s="548"/>
      <c r="VYK77" s="548"/>
      <c r="VYL77" s="452"/>
      <c r="VYM77" s="596"/>
      <c r="VYN77" s="548"/>
      <c r="VYO77" s="548"/>
      <c r="VYP77" s="548"/>
      <c r="VYQ77" s="548"/>
      <c r="VYR77" s="548"/>
      <c r="VYS77" s="452"/>
      <c r="VYT77" s="596"/>
      <c r="VYU77" s="548"/>
      <c r="VYV77" s="548"/>
      <c r="VYW77" s="548"/>
      <c r="VYX77" s="548"/>
      <c r="VYY77" s="548"/>
      <c r="VYZ77" s="452"/>
      <c r="VZA77" s="596"/>
      <c r="VZB77" s="548"/>
      <c r="VZC77" s="548"/>
      <c r="VZD77" s="548"/>
      <c r="VZE77" s="548"/>
      <c r="VZF77" s="548"/>
      <c r="VZG77" s="452"/>
      <c r="VZH77" s="596"/>
      <c r="VZI77" s="548"/>
      <c r="VZJ77" s="548"/>
      <c r="VZK77" s="548"/>
      <c r="VZL77" s="548"/>
      <c r="VZM77" s="548"/>
      <c r="VZN77" s="452"/>
      <c r="VZO77" s="596"/>
      <c r="VZP77" s="548"/>
      <c r="VZQ77" s="548"/>
      <c r="VZR77" s="548"/>
      <c r="VZS77" s="548"/>
      <c r="VZT77" s="548"/>
      <c r="VZU77" s="452"/>
      <c r="VZV77" s="596"/>
      <c r="VZW77" s="548"/>
      <c r="VZX77" s="548"/>
      <c r="VZY77" s="548"/>
      <c r="VZZ77" s="548"/>
      <c r="WAA77" s="548"/>
      <c r="WAB77" s="452"/>
      <c r="WAC77" s="596"/>
      <c r="WAD77" s="548"/>
      <c r="WAE77" s="548"/>
      <c r="WAF77" s="548"/>
      <c r="WAG77" s="548"/>
      <c r="WAH77" s="548"/>
      <c r="WAI77" s="452"/>
      <c r="WAJ77" s="596"/>
      <c r="WAK77" s="548"/>
      <c r="WAL77" s="548"/>
      <c r="WAM77" s="548"/>
      <c r="WAN77" s="548"/>
      <c r="WAO77" s="548"/>
      <c r="WAP77" s="452"/>
      <c r="WAQ77" s="596"/>
      <c r="WAR77" s="548"/>
      <c r="WAS77" s="548"/>
      <c r="WAT77" s="548"/>
      <c r="WAU77" s="548"/>
      <c r="WAV77" s="548"/>
      <c r="WAW77" s="452"/>
      <c r="WAX77" s="596"/>
      <c r="WAY77" s="548"/>
      <c r="WAZ77" s="548"/>
      <c r="WBA77" s="548"/>
      <c r="WBB77" s="548"/>
      <c r="WBC77" s="548"/>
      <c r="WBD77" s="452"/>
      <c r="WBE77" s="596"/>
      <c r="WBF77" s="548"/>
      <c r="WBG77" s="548"/>
      <c r="WBH77" s="548"/>
      <c r="WBI77" s="548"/>
      <c r="WBJ77" s="548"/>
      <c r="WBK77" s="452"/>
      <c r="WBL77" s="596"/>
      <c r="WBM77" s="548"/>
      <c r="WBN77" s="548"/>
      <c r="WBO77" s="548"/>
      <c r="WBP77" s="548"/>
      <c r="WBQ77" s="548"/>
      <c r="WBR77" s="452"/>
      <c r="WBS77" s="596"/>
      <c r="WBT77" s="548"/>
      <c r="WBU77" s="548"/>
      <c r="WBV77" s="548"/>
      <c r="WBW77" s="548"/>
      <c r="WBX77" s="548"/>
      <c r="WBY77" s="452"/>
      <c r="WBZ77" s="596"/>
      <c r="WCA77" s="548"/>
      <c r="WCB77" s="548"/>
      <c r="WCC77" s="548"/>
      <c r="WCD77" s="548"/>
      <c r="WCE77" s="548"/>
      <c r="WCF77" s="452"/>
      <c r="WCG77" s="596"/>
      <c r="WCH77" s="548"/>
      <c r="WCI77" s="548"/>
      <c r="WCJ77" s="548"/>
      <c r="WCK77" s="548"/>
      <c r="WCL77" s="548"/>
      <c r="WCM77" s="452"/>
      <c r="WCN77" s="596"/>
      <c r="WCO77" s="548"/>
      <c r="WCP77" s="548"/>
      <c r="WCQ77" s="548"/>
      <c r="WCR77" s="548"/>
      <c r="WCS77" s="548"/>
      <c r="WCT77" s="452"/>
      <c r="WCU77" s="596"/>
      <c r="WCV77" s="548"/>
      <c r="WCW77" s="548"/>
      <c r="WCX77" s="548"/>
      <c r="WCY77" s="548"/>
      <c r="WCZ77" s="548"/>
      <c r="WDA77" s="452"/>
      <c r="WDB77" s="596"/>
      <c r="WDC77" s="548"/>
      <c r="WDD77" s="548"/>
      <c r="WDE77" s="548"/>
      <c r="WDF77" s="548"/>
      <c r="WDG77" s="548"/>
      <c r="WDH77" s="452"/>
      <c r="WDI77" s="596"/>
      <c r="WDJ77" s="548"/>
      <c r="WDK77" s="548"/>
      <c r="WDL77" s="548"/>
      <c r="WDM77" s="548"/>
      <c r="WDN77" s="548"/>
      <c r="WDO77" s="452"/>
      <c r="WDP77" s="596"/>
      <c r="WDQ77" s="548"/>
      <c r="WDR77" s="548"/>
      <c r="WDS77" s="548"/>
      <c r="WDT77" s="548"/>
      <c r="WDU77" s="548"/>
      <c r="WDV77" s="452"/>
      <c r="WDW77" s="596"/>
      <c r="WDX77" s="548"/>
      <c r="WDY77" s="548"/>
      <c r="WDZ77" s="548"/>
      <c r="WEA77" s="548"/>
      <c r="WEB77" s="548"/>
      <c r="WEC77" s="452"/>
      <c r="WED77" s="596"/>
      <c r="WEE77" s="548"/>
      <c r="WEF77" s="548"/>
      <c r="WEG77" s="548"/>
      <c r="WEH77" s="548"/>
      <c r="WEI77" s="548"/>
      <c r="WEJ77" s="452"/>
      <c r="WEK77" s="596"/>
      <c r="WEL77" s="548"/>
      <c r="WEM77" s="548"/>
      <c r="WEN77" s="548"/>
      <c r="WEO77" s="548"/>
      <c r="WEP77" s="548"/>
      <c r="WEQ77" s="452"/>
      <c r="WER77" s="596"/>
      <c r="WES77" s="548"/>
      <c r="WET77" s="548"/>
      <c r="WEU77" s="548"/>
      <c r="WEV77" s="548"/>
      <c r="WEW77" s="548"/>
      <c r="WEX77" s="452"/>
      <c r="WEY77" s="596"/>
      <c r="WEZ77" s="548"/>
      <c r="WFA77" s="548"/>
      <c r="WFB77" s="548"/>
      <c r="WFC77" s="548"/>
      <c r="WFD77" s="548"/>
      <c r="WFE77" s="452"/>
      <c r="WFF77" s="596"/>
      <c r="WFG77" s="548"/>
      <c r="WFH77" s="548"/>
      <c r="WFI77" s="548"/>
      <c r="WFJ77" s="548"/>
      <c r="WFK77" s="548"/>
      <c r="WFL77" s="452"/>
      <c r="WFM77" s="596"/>
      <c r="WFN77" s="548"/>
      <c r="WFO77" s="548"/>
      <c r="WFP77" s="548"/>
      <c r="WFQ77" s="548"/>
      <c r="WFR77" s="548"/>
      <c r="WFS77" s="452"/>
      <c r="WFT77" s="596"/>
      <c r="WFU77" s="548"/>
      <c r="WFV77" s="548"/>
      <c r="WFW77" s="548"/>
      <c r="WFX77" s="548"/>
      <c r="WFY77" s="548"/>
      <c r="WFZ77" s="452"/>
      <c r="WGA77" s="596"/>
      <c r="WGB77" s="548"/>
      <c r="WGC77" s="548"/>
      <c r="WGD77" s="548"/>
      <c r="WGE77" s="548"/>
      <c r="WGF77" s="548"/>
      <c r="WGG77" s="452"/>
      <c r="WGH77" s="596"/>
      <c r="WGI77" s="548"/>
      <c r="WGJ77" s="548"/>
      <c r="WGK77" s="548"/>
      <c r="WGL77" s="548"/>
      <c r="WGM77" s="548"/>
      <c r="WGN77" s="452"/>
      <c r="WGO77" s="596"/>
      <c r="WGP77" s="548"/>
      <c r="WGQ77" s="548"/>
      <c r="WGR77" s="548"/>
      <c r="WGS77" s="548"/>
      <c r="WGT77" s="548"/>
      <c r="WGU77" s="452"/>
      <c r="WGV77" s="596"/>
      <c r="WGW77" s="548"/>
      <c r="WGX77" s="548"/>
      <c r="WGY77" s="548"/>
      <c r="WGZ77" s="548"/>
      <c r="WHA77" s="548"/>
      <c r="WHB77" s="452"/>
      <c r="WHC77" s="596"/>
      <c r="WHD77" s="548"/>
      <c r="WHE77" s="548"/>
      <c r="WHF77" s="548"/>
      <c r="WHG77" s="548"/>
      <c r="WHH77" s="548"/>
      <c r="WHI77" s="452"/>
      <c r="WHJ77" s="596"/>
      <c r="WHK77" s="548"/>
      <c r="WHL77" s="548"/>
      <c r="WHM77" s="548"/>
      <c r="WHN77" s="548"/>
      <c r="WHO77" s="548"/>
      <c r="WHP77" s="452"/>
      <c r="WHQ77" s="596"/>
      <c r="WHR77" s="548"/>
      <c r="WHS77" s="548"/>
      <c r="WHT77" s="548"/>
      <c r="WHU77" s="548"/>
      <c r="WHV77" s="548"/>
      <c r="WHW77" s="452"/>
      <c r="WHX77" s="596"/>
      <c r="WHY77" s="548"/>
      <c r="WHZ77" s="548"/>
      <c r="WIA77" s="548"/>
      <c r="WIB77" s="548"/>
      <c r="WIC77" s="548"/>
      <c r="WID77" s="452"/>
      <c r="WIE77" s="596"/>
      <c r="WIF77" s="548"/>
      <c r="WIG77" s="548"/>
      <c r="WIH77" s="548"/>
      <c r="WII77" s="548"/>
      <c r="WIJ77" s="548"/>
      <c r="WIK77" s="452"/>
      <c r="WIL77" s="596"/>
      <c r="WIM77" s="548"/>
      <c r="WIN77" s="548"/>
      <c r="WIO77" s="548"/>
      <c r="WIP77" s="548"/>
      <c r="WIQ77" s="548"/>
      <c r="WIR77" s="452"/>
      <c r="WIS77" s="596"/>
      <c r="WIT77" s="548"/>
      <c r="WIU77" s="548"/>
      <c r="WIV77" s="548"/>
      <c r="WIW77" s="548"/>
      <c r="WIX77" s="548"/>
      <c r="WIY77" s="452"/>
      <c r="WIZ77" s="596"/>
      <c r="WJA77" s="548"/>
      <c r="WJB77" s="548"/>
      <c r="WJC77" s="548"/>
      <c r="WJD77" s="548"/>
      <c r="WJE77" s="548"/>
      <c r="WJF77" s="452"/>
      <c r="WJG77" s="596"/>
      <c r="WJH77" s="548"/>
      <c r="WJI77" s="548"/>
      <c r="WJJ77" s="548"/>
      <c r="WJK77" s="548"/>
      <c r="WJL77" s="548"/>
      <c r="WJM77" s="452"/>
      <c r="WJN77" s="596"/>
      <c r="WJO77" s="548"/>
      <c r="WJP77" s="548"/>
      <c r="WJQ77" s="548"/>
      <c r="WJR77" s="548"/>
      <c r="WJS77" s="548"/>
      <c r="WJT77" s="452"/>
      <c r="WJU77" s="596"/>
      <c r="WJV77" s="548"/>
      <c r="WJW77" s="548"/>
      <c r="WJX77" s="548"/>
      <c r="WJY77" s="548"/>
      <c r="WJZ77" s="548"/>
      <c r="WKA77" s="452"/>
      <c r="WKB77" s="596"/>
      <c r="WKC77" s="548"/>
      <c r="WKD77" s="548"/>
      <c r="WKE77" s="548"/>
      <c r="WKF77" s="548"/>
      <c r="WKG77" s="548"/>
      <c r="WKH77" s="452"/>
      <c r="WKI77" s="596"/>
      <c r="WKJ77" s="548"/>
      <c r="WKK77" s="548"/>
      <c r="WKL77" s="548"/>
      <c r="WKM77" s="548"/>
      <c r="WKN77" s="548"/>
      <c r="WKO77" s="452"/>
      <c r="WKP77" s="596"/>
      <c r="WKQ77" s="548"/>
      <c r="WKR77" s="548"/>
      <c r="WKS77" s="548"/>
      <c r="WKT77" s="548"/>
      <c r="WKU77" s="548"/>
      <c r="WKV77" s="452"/>
      <c r="WKW77" s="596"/>
      <c r="WKX77" s="548"/>
      <c r="WKY77" s="548"/>
      <c r="WKZ77" s="548"/>
      <c r="WLA77" s="548"/>
      <c r="WLB77" s="548"/>
      <c r="WLC77" s="452"/>
      <c r="WLD77" s="596"/>
      <c r="WLE77" s="548"/>
      <c r="WLF77" s="548"/>
      <c r="WLG77" s="548"/>
      <c r="WLH77" s="548"/>
      <c r="WLI77" s="548"/>
      <c r="WLJ77" s="452"/>
      <c r="WLK77" s="596"/>
      <c r="WLL77" s="548"/>
      <c r="WLM77" s="548"/>
      <c r="WLN77" s="548"/>
      <c r="WLO77" s="548"/>
      <c r="WLP77" s="548"/>
      <c r="WLQ77" s="452"/>
      <c r="WLR77" s="596"/>
      <c r="WLS77" s="548"/>
      <c r="WLT77" s="548"/>
      <c r="WLU77" s="548"/>
      <c r="WLV77" s="548"/>
      <c r="WLW77" s="548"/>
      <c r="WLX77" s="452"/>
      <c r="WLY77" s="596"/>
      <c r="WLZ77" s="548"/>
      <c r="WMA77" s="548"/>
      <c r="WMB77" s="548"/>
      <c r="WMC77" s="548"/>
      <c r="WMD77" s="548"/>
      <c r="WME77" s="452"/>
      <c r="WMF77" s="596"/>
      <c r="WMG77" s="548"/>
      <c r="WMH77" s="548"/>
      <c r="WMI77" s="548"/>
      <c r="WMJ77" s="548"/>
      <c r="WMK77" s="548"/>
      <c r="WML77" s="452"/>
      <c r="WMM77" s="596"/>
      <c r="WMN77" s="548"/>
      <c r="WMO77" s="548"/>
      <c r="WMP77" s="548"/>
      <c r="WMQ77" s="548"/>
      <c r="WMR77" s="548"/>
      <c r="WMS77" s="452"/>
      <c r="WMT77" s="596"/>
      <c r="WMU77" s="548"/>
      <c r="WMV77" s="548"/>
      <c r="WMW77" s="548"/>
      <c r="WMX77" s="548"/>
      <c r="WMY77" s="548"/>
      <c r="WMZ77" s="452"/>
      <c r="WNA77" s="596"/>
      <c r="WNB77" s="548"/>
      <c r="WNC77" s="548"/>
      <c r="WND77" s="548"/>
      <c r="WNE77" s="548"/>
      <c r="WNF77" s="548"/>
      <c r="WNG77" s="452"/>
      <c r="WNH77" s="596"/>
      <c r="WNI77" s="548"/>
      <c r="WNJ77" s="548"/>
      <c r="WNK77" s="548"/>
      <c r="WNL77" s="548"/>
      <c r="WNM77" s="548"/>
      <c r="WNN77" s="452"/>
      <c r="WNO77" s="596"/>
      <c r="WNP77" s="548"/>
      <c r="WNQ77" s="548"/>
      <c r="WNR77" s="548"/>
      <c r="WNS77" s="548"/>
      <c r="WNT77" s="548"/>
      <c r="WNU77" s="452"/>
      <c r="WNV77" s="596"/>
      <c r="WNW77" s="548"/>
      <c r="WNX77" s="548"/>
      <c r="WNY77" s="548"/>
      <c r="WNZ77" s="548"/>
      <c r="WOA77" s="548"/>
      <c r="WOB77" s="452"/>
      <c r="WOC77" s="596"/>
      <c r="WOD77" s="548"/>
      <c r="WOE77" s="548"/>
      <c r="WOF77" s="548"/>
      <c r="WOG77" s="548"/>
      <c r="WOH77" s="548"/>
      <c r="WOI77" s="452"/>
      <c r="WOJ77" s="596"/>
      <c r="WOK77" s="548"/>
      <c r="WOL77" s="548"/>
      <c r="WOM77" s="548"/>
      <c r="WON77" s="548"/>
      <c r="WOO77" s="548"/>
      <c r="WOP77" s="452"/>
      <c r="WOQ77" s="596"/>
      <c r="WOR77" s="548"/>
      <c r="WOS77" s="548"/>
      <c r="WOT77" s="548"/>
      <c r="WOU77" s="548"/>
      <c r="WOV77" s="548"/>
      <c r="WOW77" s="452"/>
      <c r="WOX77" s="596"/>
      <c r="WOY77" s="548"/>
      <c r="WOZ77" s="548"/>
      <c r="WPA77" s="548"/>
      <c r="WPB77" s="548"/>
      <c r="WPC77" s="548"/>
      <c r="WPD77" s="452"/>
      <c r="WPE77" s="596"/>
      <c r="WPF77" s="548"/>
      <c r="WPG77" s="548"/>
      <c r="WPH77" s="548"/>
      <c r="WPI77" s="548"/>
      <c r="WPJ77" s="548"/>
      <c r="WPK77" s="452"/>
      <c r="WPL77" s="596"/>
      <c r="WPM77" s="548"/>
      <c r="WPN77" s="548"/>
      <c r="WPO77" s="548"/>
      <c r="WPP77" s="548"/>
      <c r="WPQ77" s="548"/>
      <c r="WPR77" s="452"/>
      <c r="WPS77" s="596"/>
      <c r="WPT77" s="548"/>
      <c r="WPU77" s="548"/>
      <c r="WPV77" s="548"/>
      <c r="WPW77" s="548"/>
      <c r="WPX77" s="548"/>
      <c r="WPY77" s="452"/>
      <c r="WPZ77" s="596"/>
      <c r="WQA77" s="548"/>
      <c r="WQB77" s="548"/>
      <c r="WQC77" s="548"/>
      <c r="WQD77" s="548"/>
      <c r="WQE77" s="548"/>
      <c r="WQF77" s="452"/>
      <c r="WQG77" s="596"/>
      <c r="WQH77" s="548"/>
      <c r="WQI77" s="548"/>
      <c r="WQJ77" s="548"/>
      <c r="WQK77" s="548"/>
      <c r="WQL77" s="548"/>
      <c r="WQM77" s="452"/>
      <c r="WQN77" s="596"/>
      <c r="WQO77" s="548"/>
      <c r="WQP77" s="548"/>
      <c r="WQQ77" s="548"/>
      <c r="WQR77" s="548"/>
      <c r="WQS77" s="548"/>
      <c r="WQT77" s="452"/>
      <c r="WQU77" s="596"/>
      <c r="WQV77" s="548"/>
      <c r="WQW77" s="548"/>
      <c r="WQX77" s="548"/>
      <c r="WQY77" s="548"/>
      <c r="WQZ77" s="548"/>
      <c r="WRA77" s="452"/>
      <c r="WRB77" s="596"/>
      <c r="WRC77" s="548"/>
      <c r="WRD77" s="548"/>
      <c r="WRE77" s="548"/>
      <c r="WRF77" s="548"/>
      <c r="WRG77" s="548"/>
      <c r="WRH77" s="452"/>
      <c r="WRI77" s="596"/>
      <c r="WRJ77" s="548"/>
      <c r="WRK77" s="548"/>
      <c r="WRL77" s="548"/>
      <c r="WRM77" s="548"/>
      <c r="WRN77" s="548"/>
      <c r="WRO77" s="452"/>
      <c r="WRP77" s="596"/>
      <c r="WRQ77" s="548"/>
      <c r="WRR77" s="548"/>
      <c r="WRS77" s="548"/>
      <c r="WRT77" s="548"/>
      <c r="WRU77" s="548"/>
      <c r="WRV77" s="452"/>
      <c r="WRW77" s="596"/>
      <c r="WRX77" s="548"/>
      <c r="WRY77" s="548"/>
      <c r="WRZ77" s="548"/>
      <c r="WSA77" s="548"/>
      <c r="WSB77" s="548"/>
      <c r="WSC77" s="452"/>
      <c r="WSD77" s="596"/>
      <c r="WSE77" s="548"/>
      <c r="WSF77" s="548"/>
      <c r="WSG77" s="548"/>
      <c r="WSH77" s="548"/>
      <c r="WSI77" s="548"/>
      <c r="WSJ77" s="452"/>
      <c r="WSK77" s="596"/>
      <c r="WSL77" s="548"/>
      <c r="WSM77" s="548"/>
      <c r="WSN77" s="548"/>
      <c r="WSO77" s="548"/>
      <c r="WSP77" s="548"/>
      <c r="WSQ77" s="452"/>
      <c r="WSR77" s="596"/>
      <c r="WSS77" s="548"/>
      <c r="WST77" s="548"/>
      <c r="WSU77" s="548"/>
      <c r="WSV77" s="548"/>
      <c r="WSW77" s="548"/>
      <c r="WSX77" s="452"/>
      <c r="WSY77" s="596"/>
      <c r="WSZ77" s="548"/>
      <c r="WTA77" s="548"/>
      <c r="WTB77" s="548"/>
      <c r="WTC77" s="548"/>
      <c r="WTD77" s="548"/>
      <c r="WTE77" s="452"/>
      <c r="WTF77" s="596"/>
      <c r="WTG77" s="548"/>
      <c r="WTH77" s="548"/>
      <c r="WTI77" s="548"/>
      <c r="WTJ77" s="548"/>
      <c r="WTK77" s="548"/>
      <c r="WTL77" s="452"/>
      <c r="WTM77" s="596"/>
      <c r="WTN77" s="548"/>
      <c r="WTO77" s="548"/>
      <c r="WTP77" s="548"/>
      <c r="WTQ77" s="548"/>
      <c r="WTR77" s="548"/>
      <c r="WTS77" s="452"/>
      <c r="WTT77" s="596"/>
      <c r="WTU77" s="548"/>
      <c r="WTV77" s="548"/>
      <c r="WTW77" s="548"/>
      <c r="WTX77" s="548"/>
      <c r="WTY77" s="548"/>
      <c r="WTZ77" s="452"/>
      <c r="WUA77" s="596"/>
      <c r="WUB77" s="548"/>
      <c r="WUC77" s="548"/>
      <c r="WUD77" s="548"/>
      <c r="WUE77" s="548"/>
      <c r="WUF77" s="548"/>
      <c r="WUG77" s="452"/>
      <c r="WUH77" s="596"/>
      <c r="WUI77" s="548"/>
      <c r="WUJ77" s="548"/>
      <c r="WUK77" s="548"/>
      <c r="WUL77" s="548"/>
      <c r="WUM77" s="548"/>
      <c r="WUN77" s="452"/>
      <c r="WUO77" s="596"/>
      <c r="WUP77" s="548"/>
      <c r="WUQ77" s="548"/>
      <c r="WUR77" s="548"/>
      <c r="WUS77" s="548"/>
      <c r="WUT77" s="548"/>
      <c r="WUU77" s="452"/>
      <c r="WUV77" s="596"/>
      <c r="WUW77" s="548"/>
      <c r="WUX77" s="548"/>
      <c r="WUY77" s="548"/>
      <c r="WUZ77" s="548"/>
      <c r="WVA77" s="548"/>
      <c r="WVB77" s="452"/>
      <c r="WVC77" s="596"/>
      <c r="WVD77" s="548"/>
      <c r="WVE77" s="548"/>
      <c r="WVF77" s="548"/>
      <c r="WVG77" s="548"/>
      <c r="WVH77" s="548"/>
      <c r="WVI77" s="452"/>
      <c r="WVJ77" s="596"/>
      <c r="WVK77" s="548"/>
      <c r="WVL77" s="548"/>
      <c r="WVM77" s="548"/>
      <c r="WVN77" s="548"/>
      <c r="WVO77" s="548"/>
      <c r="WVP77" s="452"/>
      <c r="WVQ77" s="596"/>
      <c r="WVR77" s="548"/>
      <c r="WVS77" s="548"/>
      <c r="WVT77" s="548"/>
      <c r="WVU77" s="548"/>
      <c r="WVV77" s="548"/>
      <c r="WVW77" s="452"/>
      <c r="WVX77" s="596"/>
      <c r="WVY77" s="548"/>
      <c r="WVZ77" s="548"/>
      <c r="WWA77" s="548"/>
      <c r="WWB77" s="548"/>
      <c r="WWC77" s="548"/>
      <c r="WWD77" s="452"/>
      <c r="WWE77" s="596"/>
      <c r="WWF77" s="548"/>
      <c r="WWG77" s="548"/>
      <c r="WWH77" s="548"/>
      <c r="WWI77" s="548"/>
      <c r="WWJ77" s="548"/>
      <c r="WWK77" s="452"/>
      <c r="WWL77" s="596"/>
      <c r="WWM77" s="548"/>
      <c r="WWN77" s="548"/>
      <c r="WWO77" s="548"/>
      <c r="WWP77" s="548"/>
      <c r="WWQ77" s="548"/>
      <c r="WWR77" s="452"/>
      <c r="WWS77" s="596"/>
      <c r="WWT77" s="548"/>
      <c r="WWU77" s="548"/>
      <c r="WWV77" s="548"/>
      <c r="WWW77" s="548"/>
      <c r="WWX77" s="548"/>
      <c r="WWY77" s="452"/>
      <c r="WWZ77" s="596"/>
      <c r="WXA77" s="548"/>
      <c r="WXB77" s="548"/>
      <c r="WXC77" s="548"/>
      <c r="WXD77" s="548"/>
      <c r="WXE77" s="548"/>
      <c r="WXF77" s="452"/>
      <c r="WXG77" s="596"/>
      <c r="WXH77" s="548"/>
      <c r="WXI77" s="548"/>
      <c r="WXJ77" s="548"/>
      <c r="WXK77" s="548"/>
      <c r="WXL77" s="548"/>
      <c r="WXM77" s="452"/>
      <c r="WXN77" s="596"/>
      <c r="WXO77" s="548"/>
      <c r="WXP77" s="548"/>
      <c r="WXQ77" s="548"/>
      <c r="WXR77" s="548"/>
      <c r="WXS77" s="548"/>
      <c r="WXT77" s="452"/>
      <c r="WXU77" s="596"/>
      <c r="WXV77" s="548"/>
      <c r="WXW77" s="548"/>
      <c r="WXX77" s="548"/>
      <c r="WXY77" s="548"/>
      <c r="WXZ77" s="548"/>
      <c r="WYA77" s="452"/>
      <c r="WYB77" s="596"/>
      <c r="WYC77" s="548"/>
      <c r="WYD77" s="548"/>
      <c r="WYE77" s="548"/>
      <c r="WYF77" s="548"/>
      <c r="WYG77" s="548"/>
      <c r="WYH77" s="452"/>
      <c r="WYI77" s="596"/>
      <c r="WYJ77" s="548"/>
      <c r="WYK77" s="548"/>
      <c r="WYL77" s="548"/>
      <c r="WYM77" s="548"/>
      <c r="WYN77" s="548"/>
      <c r="WYO77" s="452"/>
      <c r="WYP77" s="596"/>
      <c r="WYQ77" s="548"/>
      <c r="WYR77" s="548"/>
      <c r="WYS77" s="548"/>
      <c r="WYT77" s="548"/>
      <c r="WYU77" s="548"/>
      <c r="WYV77" s="452"/>
      <c r="WYW77" s="596"/>
      <c r="WYX77" s="548"/>
      <c r="WYY77" s="548"/>
      <c r="WYZ77" s="548"/>
      <c r="WZA77" s="548"/>
      <c r="WZB77" s="548"/>
      <c r="WZC77" s="452"/>
      <c r="WZD77" s="596"/>
      <c r="WZE77" s="548"/>
      <c r="WZF77" s="548"/>
      <c r="WZG77" s="548"/>
      <c r="WZH77" s="548"/>
      <c r="WZI77" s="548"/>
      <c r="WZJ77" s="452"/>
      <c r="WZK77" s="596"/>
      <c r="WZL77" s="548"/>
      <c r="WZM77" s="548"/>
      <c r="WZN77" s="548"/>
      <c r="WZO77" s="548"/>
      <c r="WZP77" s="548"/>
      <c r="WZQ77" s="452"/>
      <c r="WZR77" s="596"/>
      <c r="WZS77" s="548"/>
      <c r="WZT77" s="548"/>
      <c r="WZU77" s="548"/>
      <c r="WZV77" s="548"/>
      <c r="WZW77" s="548"/>
      <c r="WZX77" s="452"/>
      <c r="WZY77" s="596"/>
      <c r="WZZ77" s="548"/>
      <c r="XAA77" s="548"/>
      <c r="XAB77" s="548"/>
      <c r="XAC77" s="548"/>
      <c r="XAD77" s="548"/>
      <c r="XAE77" s="452"/>
      <c r="XAF77" s="596"/>
      <c r="XAG77" s="548"/>
      <c r="XAH77" s="548"/>
      <c r="XAI77" s="548"/>
      <c r="XAJ77" s="548"/>
      <c r="XAK77" s="548"/>
      <c r="XAL77" s="452"/>
      <c r="XAM77" s="596"/>
      <c r="XAN77" s="548"/>
      <c r="XAO77" s="548"/>
      <c r="XAP77" s="548"/>
      <c r="XAQ77" s="548"/>
      <c r="XAR77" s="548"/>
      <c r="XAS77" s="452"/>
      <c r="XAT77" s="596"/>
      <c r="XAU77" s="548"/>
      <c r="XAV77" s="548"/>
      <c r="XAW77" s="548"/>
      <c r="XAX77" s="548"/>
      <c r="XAY77" s="548"/>
      <c r="XAZ77" s="452"/>
      <c r="XBA77" s="596"/>
      <c r="XBB77" s="548"/>
      <c r="XBC77" s="548"/>
      <c r="XBD77" s="548"/>
      <c r="XBE77" s="548"/>
      <c r="XBF77" s="548"/>
      <c r="XBG77" s="452"/>
      <c r="XBH77" s="596"/>
      <c r="XBI77" s="548"/>
      <c r="XBJ77" s="548"/>
      <c r="XBK77" s="548"/>
      <c r="XBL77" s="548"/>
      <c r="XBM77" s="548"/>
      <c r="XBN77" s="452"/>
      <c r="XBO77" s="596"/>
      <c r="XBP77" s="548"/>
      <c r="XBQ77" s="548"/>
      <c r="XBR77" s="548"/>
      <c r="XBS77" s="548"/>
      <c r="XBT77" s="548"/>
      <c r="XBU77" s="452"/>
      <c r="XBV77" s="596"/>
      <c r="XBW77" s="548"/>
      <c r="XBX77" s="548"/>
      <c r="XBY77" s="548"/>
      <c r="XBZ77" s="548"/>
      <c r="XCA77" s="548"/>
      <c r="XCB77" s="452"/>
      <c r="XCC77" s="596"/>
      <c r="XCD77" s="548"/>
      <c r="XCE77" s="548"/>
      <c r="XCF77" s="548"/>
      <c r="XCG77" s="548"/>
      <c r="XCH77" s="548"/>
      <c r="XCI77" s="452"/>
      <c r="XCJ77" s="596"/>
      <c r="XCK77" s="548"/>
      <c r="XCL77" s="548"/>
      <c r="XCM77" s="548"/>
      <c r="XCN77" s="548"/>
      <c r="XCO77" s="548"/>
      <c r="XCP77" s="452"/>
      <c r="XCQ77" s="596"/>
      <c r="XCR77" s="548"/>
      <c r="XCS77" s="548"/>
      <c r="XCT77" s="548"/>
      <c r="XCU77" s="548"/>
      <c r="XCV77" s="548"/>
      <c r="XCW77" s="452"/>
      <c r="XCX77" s="596"/>
      <c r="XCY77" s="548"/>
      <c r="XCZ77" s="548"/>
      <c r="XDA77" s="548"/>
      <c r="XDB77" s="548"/>
      <c r="XDC77" s="548"/>
      <c r="XDD77" s="452"/>
      <c r="XDE77" s="596"/>
      <c r="XDF77" s="548"/>
      <c r="XDG77" s="548"/>
      <c r="XDH77" s="548"/>
      <c r="XDI77" s="548"/>
      <c r="XDJ77" s="548"/>
      <c r="XDK77" s="452"/>
      <c r="XDL77" s="596"/>
      <c r="XDM77" s="548"/>
      <c r="XDN77" s="548"/>
      <c r="XDO77" s="548"/>
      <c r="XDP77" s="548"/>
      <c r="XDQ77" s="548"/>
      <c r="XDR77" s="452"/>
      <c r="XDS77" s="596"/>
      <c r="XDT77" s="548"/>
      <c r="XDU77" s="548"/>
      <c r="XDV77" s="548"/>
      <c r="XDW77" s="548"/>
      <c r="XDX77" s="548"/>
      <c r="XDY77" s="452"/>
      <c r="XDZ77" s="596"/>
      <c r="XEA77" s="548"/>
      <c r="XEB77" s="548"/>
      <c r="XEC77" s="548"/>
      <c r="XED77" s="548"/>
      <c r="XEE77" s="548"/>
      <c r="XEF77" s="452"/>
      <c r="XEG77" s="596"/>
      <c r="XEH77" s="548"/>
      <c r="XEI77" s="548"/>
      <c r="XEJ77" s="548"/>
      <c r="XEK77" s="548"/>
      <c r="XEL77" s="548"/>
      <c r="XEM77" s="452"/>
      <c r="XEN77" s="596"/>
      <c r="XEO77" s="548"/>
      <c r="XEP77" s="548"/>
      <c r="XEQ77" s="548"/>
      <c r="XER77" s="548"/>
      <c r="XES77" s="548"/>
      <c r="XET77" s="452"/>
      <c r="XEU77" s="596"/>
      <c r="XEV77" s="548"/>
      <c r="XEW77" s="548"/>
      <c r="XEX77" s="548"/>
      <c r="XEY77" s="548"/>
      <c r="XEZ77" s="548"/>
      <c r="XFA77" s="452"/>
      <c r="XFB77" s="596"/>
      <c r="XFC77" s="548"/>
      <c r="XFD77" s="548"/>
    </row>
    <row r="78" spans="1:16384" s="442" customFormat="1" ht="46.5" customHeight="1">
      <c r="A78" s="452" t="s">
        <v>200</v>
      </c>
      <c r="B78" s="594" t="s">
        <v>201</v>
      </c>
      <c r="C78" s="595"/>
      <c r="D78" s="595"/>
      <c r="E78" s="595"/>
      <c r="F78" s="595"/>
      <c r="G78" s="595"/>
      <c r="H78" s="453"/>
      <c r="I78" s="597"/>
      <c r="J78" s="598"/>
      <c r="K78" s="598"/>
      <c r="L78" s="598"/>
      <c r="M78" s="598"/>
      <c r="N78" s="598"/>
      <c r="O78" s="453"/>
      <c r="P78" s="597"/>
      <c r="Q78" s="598"/>
      <c r="R78" s="598"/>
      <c r="S78" s="598"/>
      <c r="T78" s="598"/>
      <c r="U78" s="598"/>
      <c r="V78" s="453"/>
      <c r="W78" s="597"/>
      <c r="X78" s="598"/>
      <c r="Y78" s="598"/>
      <c r="Z78" s="598"/>
      <c r="AA78" s="598"/>
      <c r="AB78" s="598"/>
      <c r="AC78" s="453"/>
      <c r="AD78" s="597"/>
      <c r="AE78" s="598"/>
      <c r="AF78" s="598"/>
      <c r="AG78" s="598"/>
      <c r="AH78" s="598"/>
      <c r="AI78" s="598"/>
      <c r="AJ78" s="453"/>
      <c r="AK78" s="597"/>
      <c r="AL78" s="598"/>
      <c r="AM78" s="598"/>
      <c r="AN78" s="598"/>
      <c r="AO78" s="598"/>
      <c r="AP78" s="598"/>
      <c r="AQ78" s="453"/>
      <c r="AR78" s="597"/>
      <c r="AS78" s="598"/>
      <c r="AT78" s="598"/>
      <c r="AU78" s="598"/>
      <c r="AV78" s="598"/>
      <c r="AW78" s="598"/>
      <c r="AX78" s="453"/>
      <c r="AY78" s="597"/>
      <c r="AZ78" s="598"/>
      <c r="BA78" s="598"/>
      <c r="BB78" s="598"/>
      <c r="BC78" s="598"/>
      <c r="BD78" s="598"/>
      <c r="BE78" s="454"/>
      <c r="BF78" s="596"/>
      <c r="BG78" s="548"/>
      <c r="BH78" s="548"/>
      <c r="BI78" s="548"/>
      <c r="BJ78" s="548"/>
      <c r="BK78" s="548"/>
      <c r="BL78" s="452"/>
      <c r="BM78" s="596"/>
      <c r="BN78" s="548"/>
      <c r="BO78" s="548"/>
      <c r="BP78" s="548"/>
      <c r="BQ78" s="548"/>
      <c r="BR78" s="548"/>
      <c r="BS78" s="452"/>
      <c r="BT78" s="596"/>
      <c r="BU78" s="548"/>
      <c r="BV78" s="548"/>
      <c r="BW78" s="548"/>
      <c r="BX78" s="548"/>
      <c r="BY78" s="548"/>
      <c r="BZ78" s="452"/>
      <c r="CA78" s="596"/>
      <c r="CB78" s="548"/>
      <c r="CC78" s="548"/>
      <c r="CD78" s="548"/>
      <c r="CE78" s="548"/>
      <c r="CF78" s="548"/>
      <c r="CG78" s="452"/>
      <c r="CH78" s="596"/>
      <c r="CI78" s="548"/>
      <c r="CJ78" s="548"/>
      <c r="CK78" s="548"/>
      <c r="CL78" s="548"/>
      <c r="CM78" s="548"/>
      <c r="CN78" s="452"/>
      <c r="CO78" s="596"/>
      <c r="CP78" s="548"/>
      <c r="CQ78" s="548"/>
      <c r="CR78" s="548"/>
      <c r="CS78" s="548"/>
      <c r="CT78" s="548"/>
      <c r="CU78" s="452"/>
      <c r="CV78" s="596"/>
      <c r="CW78" s="548"/>
      <c r="CX78" s="548"/>
      <c r="CY78" s="548"/>
      <c r="CZ78" s="548"/>
      <c r="DA78" s="548"/>
      <c r="DB78" s="452"/>
      <c r="DC78" s="596"/>
      <c r="DD78" s="548"/>
      <c r="DE78" s="548"/>
      <c r="DF78" s="548"/>
      <c r="DG78" s="548"/>
      <c r="DH78" s="548"/>
      <c r="DI78" s="452"/>
      <c r="DJ78" s="596"/>
      <c r="DK78" s="548"/>
      <c r="DL78" s="548"/>
      <c r="DM78" s="548"/>
      <c r="DN78" s="548"/>
      <c r="DO78" s="548"/>
      <c r="DP78" s="452"/>
      <c r="DQ78" s="596"/>
      <c r="DR78" s="548"/>
      <c r="DS78" s="548"/>
      <c r="DT78" s="548"/>
      <c r="DU78" s="548"/>
      <c r="DV78" s="548"/>
      <c r="DW78" s="452"/>
      <c r="DX78" s="596"/>
      <c r="DY78" s="548"/>
      <c r="DZ78" s="548"/>
      <c r="EA78" s="548"/>
      <c r="EB78" s="548"/>
      <c r="EC78" s="548"/>
      <c r="ED78" s="452"/>
      <c r="EE78" s="596"/>
      <c r="EF78" s="548"/>
      <c r="EG78" s="548"/>
      <c r="EH78" s="548"/>
      <c r="EI78" s="548"/>
      <c r="EJ78" s="548"/>
      <c r="EK78" s="452"/>
      <c r="EL78" s="596"/>
      <c r="EM78" s="548"/>
      <c r="EN78" s="548"/>
      <c r="EO78" s="548"/>
      <c r="EP78" s="548"/>
      <c r="EQ78" s="548"/>
      <c r="ER78" s="452"/>
      <c r="ES78" s="596"/>
      <c r="ET78" s="548"/>
      <c r="EU78" s="548"/>
      <c r="EV78" s="548"/>
      <c r="EW78" s="548"/>
      <c r="EX78" s="548"/>
      <c r="EY78" s="452"/>
      <c r="EZ78" s="596"/>
      <c r="FA78" s="548"/>
      <c r="FB78" s="548"/>
      <c r="FC78" s="548"/>
      <c r="FD78" s="548"/>
      <c r="FE78" s="548"/>
      <c r="FF78" s="452"/>
      <c r="FG78" s="596"/>
      <c r="FH78" s="548"/>
      <c r="FI78" s="548"/>
      <c r="FJ78" s="548"/>
      <c r="FK78" s="548"/>
      <c r="FL78" s="548"/>
      <c r="FM78" s="452"/>
      <c r="FN78" s="596"/>
      <c r="FO78" s="548"/>
      <c r="FP78" s="548"/>
      <c r="FQ78" s="548"/>
      <c r="FR78" s="548"/>
      <c r="FS78" s="548"/>
      <c r="FT78" s="452"/>
      <c r="FU78" s="596"/>
      <c r="FV78" s="548"/>
      <c r="FW78" s="548"/>
      <c r="FX78" s="548"/>
      <c r="FY78" s="548"/>
      <c r="FZ78" s="548"/>
      <c r="GA78" s="452"/>
      <c r="GB78" s="596"/>
      <c r="GC78" s="548"/>
      <c r="GD78" s="548"/>
      <c r="GE78" s="548"/>
      <c r="GF78" s="548"/>
      <c r="GG78" s="548"/>
      <c r="GH78" s="452"/>
      <c r="GI78" s="596"/>
      <c r="GJ78" s="548"/>
      <c r="GK78" s="548"/>
      <c r="GL78" s="548"/>
      <c r="GM78" s="548"/>
      <c r="GN78" s="548"/>
      <c r="GO78" s="452"/>
      <c r="GP78" s="596"/>
      <c r="GQ78" s="548"/>
      <c r="GR78" s="548"/>
      <c r="GS78" s="548"/>
      <c r="GT78" s="548"/>
      <c r="GU78" s="548"/>
      <c r="GV78" s="452"/>
      <c r="GW78" s="596"/>
      <c r="GX78" s="548"/>
      <c r="GY78" s="548"/>
      <c r="GZ78" s="548"/>
      <c r="HA78" s="548"/>
      <c r="HB78" s="548"/>
      <c r="HC78" s="452"/>
      <c r="HD78" s="596"/>
      <c r="HE78" s="548"/>
      <c r="HF78" s="548"/>
      <c r="HG78" s="548"/>
      <c r="HH78" s="548"/>
      <c r="HI78" s="548"/>
      <c r="HJ78" s="452"/>
      <c r="HK78" s="596"/>
      <c r="HL78" s="548"/>
      <c r="HM78" s="548"/>
      <c r="HN78" s="548"/>
      <c r="HO78" s="548"/>
      <c r="HP78" s="548"/>
      <c r="HQ78" s="452"/>
      <c r="HR78" s="596"/>
      <c r="HS78" s="548"/>
      <c r="HT78" s="548"/>
      <c r="HU78" s="548"/>
      <c r="HV78" s="548"/>
      <c r="HW78" s="548"/>
      <c r="HX78" s="452"/>
      <c r="HY78" s="596"/>
      <c r="HZ78" s="548"/>
      <c r="IA78" s="548"/>
      <c r="IB78" s="548"/>
      <c r="IC78" s="548"/>
      <c r="ID78" s="548"/>
      <c r="IE78" s="452"/>
      <c r="IF78" s="596"/>
      <c r="IG78" s="548"/>
      <c r="IH78" s="548"/>
      <c r="II78" s="548"/>
      <c r="IJ78" s="548"/>
      <c r="IK78" s="548"/>
      <c r="IL78" s="452"/>
      <c r="IM78" s="596"/>
      <c r="IN78" s="548"/>
      <c r="IO78" s="548"/>
      <c r="IP78" s="548"/>
      <c r="IQ78" s="548"/>
      <c r="IR78" s="548"/>
      <c r="IS78" s="452"/>
      <c r="IT78" s="596"/>
      <c r="IU78" s="548"/>
      <c r="IV78" s="548"/>
      <c r="IW78" s="548"/>
      <c r="IX78" s="548"/>
      <c r="IY78" s="548"/>
      <c r="IZ78" s="452"/>
      <c r="JA78" s="596"/>
      <c r="JB78" s="548"/>
      <c r="JC78" s="548"/>
      <c r="JD78" s="548"/>
      <c r="JE78" s="548"/>
      <c r="JF78" s="548"/>
      <c r="JG78" s="452"/>
      <c r="JH78" s="596"/>
      <c r="JI78" s="548"/>
      <c r="JJ78" s="548"/>
      <c r="JK78" s="548"/>
      <c r="JL78" s="548"/>
      <c r="JM78" s="548"/>
      <c r="JN78" s="452"/>
      <c r="JO78" s="596"/>
      <c r="JP78" s="548"/>
      <c r="JQ78" s="548"/>
      <c r="JR78" s="548"/>
      <c r="JS78" s="548"/>
      <c r="JT78" s="548"/>
      <c r="JU78" s="452"/>
      <c r="JV78" s="596"/>
      <c r="JW78" s="548"/>
      <c r="JX78" s="548"/>
      <c r="JY78" s="548"/>
      <c r="JZ78" s="548"/>
      <c r="KA78" s="548"/>
      <c r="KB78" s="452"/>
      <c r="KC78" s="596"/>
      <c r="KD78" s="548"/>
      <c r="KE78" s="548"/>
      <c r="KF78" s="548"/>
      <c r="KG78" s="548"/>
      <c r="KH78" s="548"/>
      <c r="KI78" s="452"/>
      <c r="KJ78" s="596"/>
      <c r="KK78" s="548"/>
      <c r="KL78" s="548"/>
      <c r="KM78" s="548"/>
      <c r="KN78" s="548"/>
      <c r="KO78" s="548"/>
      <c r="KP78" s="452"/>
      <c r="KQ78" s="596"/>
      <c r="KR78" s="548"/>
      <c r="KS78" s="548"/>
      <c r="KT78" s="548"/>
      <c r="KU78" s="548"/>
      <c r="KV78" s="548"/>
      <c r="KW78" s="452"/>
      <c r="KX78" s="596"/>
      <c r="KY78" s="548"/>
      <c r="KZ78" s="548"/>
      <c r="LA78" s="548"/>
      <c r="LB78" s="548"/>
      <c r="LC78" s="548"/>
      <c r="LD78" s="452"/>
      <c r="LE78" s="596"/>
      <c r="LF78" s="548"/>
      <c r="LG78" s="548"/>
      <c r="LH78" s="548"/>
      <c r="LI78" s="548"/>
      <c r="LJ78" s="548"/>
      <c r="LK78" s="452"/>
      <c r="LL78" s="596"/>
      <c r="LM78" s="548"/>
      <c r="LN78" s="548"/>
      <c r="LO78" s="548"/>
      <c r="LP78" s="548"/>
      <c r="LQ78" s="548"/>
      <c r="LR78" s="452"/>
      <c r="LS78" s="596"/>
      <c r="LT78" s="548"/>
      <c r="LU78" s="548"/>
      <c r="LV78" s="548"/>
      <c r="LW78" s="548"/>
      <c r="LX78" s="548"/>
      <c r="LY78" s="452"/>
      <c r="LZ78" s="596"/>
      <c r="MA78" s="548"/>
      <c r="MB78" s="548"/>
      <c r="MC78" s="548"/>
      <c r="MD78" s="548"/>
      <c r="ME78" s="548"/>
      <c r="MF78" s="452"/>
      <c r="MG78" s="596"/>
      <c r="MH78" s="548"/>
      <c r="MI78" s="548"/>
      <c r="MJ78" s="548"/>
      <c r="MK78" s="548"/>
      <c r="ML78" s="548"/>
      <c r="MM78" s="452"/>
      <c r="MN78" s="596"/>
      <c r="MO78" s="548"/>
      <c r="MP78" s="548"/>
      <c r="MQ78" s="548"/>
      <c r="MR78" s="548"/>
      <c r="MS78" s="548"/>
      <c r="MT78" s="452"/>
      <c r="MU78" s="596"/>
      <c r="MV78" s="548"/>
      <c r="MW78" s="548"/>
      <c r="MX78" s="548"/>
      <c r="MY78" s="548"/>
      <c r="MZ78" s="548"/>
      <c r="NA78" s="452"/>
      <c r="NB78" s="596"/>
      <c r="NC78" s="548"/>
      <c r="ND78" s="548"/>
      <c r="NE78" s="548"/>
      <c r="NF78" s="548"/>
      <c r="NG78" s="548"/>
      <c r="NH78" s="452"/>
      <c r="NI78" s="596"/>
      <c r="NJ78" s="548"/>
      <c r="NK78" s="548"/>
      <c r="NL78" s="548"/>
      <c r="NM78" s="548"/>
      <c r="NN78" s="548"/>
      <c r="NO78" s="452"/>
      <c r="NP78" s="596"/>
      <c r="NQ78" s="548"/>
      <c r="NR78" s="548"/>
      <c r="NS78" s="548"/>
      <c r="NT78" s="548"/>
      <c r="NU78" s="548"/>
      <c r="NV78" s="452"/>
      <c r="NW78" s="596"/>
      <c r="NX78" s="548"/>
      <c r="NY78" s="548"/>
      <c r="NZ78" s="548"/>
      <c r="OA78" s="548"/>
      <c r="OB78" s="548"/>
      <c r="OC78" s="452"/>
      <c r="OD78" s="596"/>
      <c r="OE78" s="548"/>
      <c r="OF78" s="548"/>
      <c r="OG78" s="548"/>
      <c r="OH78" s="548"/>
      <c r="OI78" s="548"/>
      <c r="OJ78" s="452"/>
      <c r="OK78" s="596"/>
      <c r="OL78" s="548"/>
      <c r="OM78" s="548"/>
      <c r="ON78" s="548"/>
      <c r="OO78" s="548"/>
      <c r="OP78" s="548"/>
      <c r="OQ78" s="452"/>
      <c r="OR78" s="596"/>
      <c r="OS78" s="548"/>
      <c r="OT78" s="548"/>
      <c r="OU78" s="548"/>
      <c r="OV78" s="548"/>
      <c r="OW78" s="548"/>
      <c r="OX78" s="452"/>
      <c r="OY78" s="596"/>
      <c r="OZ78" s="548"/>
      <c r="PA78" s="548"/>
      <c r="PB78" s="548"/>
      <c r="PC78" s="548"/>
      <c r="PD78" s="548"/>
      <c r="PE78" s="452"/>
      <c r="PF78" s="596"/>
      <c r="PG78" s="548"/>
      <c r="PH78" s="548"/>
      <c r="PI78" s="548"/>
      <c r="PJ78" s="548"/>
      <c r="PK78" s="548"/>
      <c r="PL78" s="452"/>
      <c r="PM78" s="596"/>
      <c r="PN78" s="548"/>
      <c r="PO78" s="548"/>
      <c r="PP78" s="548"/>
      <c r="PQ78" s="548"/>
      <c r="PR78" s="548"/>
      <c r="PS78" s="452"/>
      <c r="PT78" s="596"/>
      <c r="PU78" s="548"/>
      <c r="PV78" s="548"/>
      <c r="PW78" s="548"/>
      <c r="PX78" s="548"/>
      <c r="PY78" s="548"/>
      <c r="PZ78" s="452"/>
      <c r="QA78" s="596"/>
      <c r="QB78" s="548"/>
      <c r="QC78" s="548"/>
      <c r="QD78" s="548"/>
      <c r="QE78" s="548"/>
      <c r="QF78" s="548"/>
      <c r="QG78" s="452"/>
      <c r="QH78" s="596"/>
      <c r="QI78" s="548"/>
      <c r="QJ78" s="548"/>
      <c r="QK78" s="548"/>
      <c r="QL78" s="548"/>
      <c r="QM78" s="548"/>
      <c r="QN78" s="452"/>
      <c r="QO78" s="596"/>
      <c r="QP78" s="548"/>
      <c r="QQ78" s="548"/>
      <c r="QR78" s="548"/>
      <c r="QS78" s="548"/>
      <c r="QT78" s="548"/>
      <c r="QU78" s="452"/>
      <c r="QV78" s="596"/>
      <c r="QW78" s="548"/>
      <c r="QX78" s="548"/>
      <c r="QY78" s="548"/>
      <c r="QZ78" s="548"/>
      <c r="RA78" s="548"/>
      <c r="RB78" s="452"/>
      <c r="RC78" s="596"/>
      <c r="RD78" s="548"/>
      <c r="RE78" s="548"/>
      <c r="RF78" s="548"/>
      <c r="RG78" s="548"/>
      <c r="RH78" s="548"/>
      <c r="RI78" s="452"/>
      <c r="RJ78" s="596"/>
      <c r="RK78" s="548"/>
      <c r="RL78" s="548"/>
      <c r="RM78" s="548"/>
      <c r="RN78" s="548"/>
      <c r="RO78" s="548"/>
      <c r="RP78" s="452"/>
      <c r="RQ78" s="596"/>
      <c r="RR78" s="548"/>
      <c r="RS78" s="548"/>
      <c r="RT78" s="548"/>
      <c r="RU78" s="548"/>
      <c r="RV78" s="548"/>
      <c r="RW78" s="452"/>
      <c r="RX78" s="596"/>
      <c r="RY78" s="548"/>
      <c r="RZ78" s="548"/>
      <c r="SA78" s="548"/>
      <c r="SB78" s="548"/>
      <c r="SC78" s="548"/>
      <c r="SD78" s="452"/>
      <c r="SE78" s="596"/>
      <c r="SF78" s="548"/>
      <c r="SG78" s="548"/>
      <c r="SH78" s="548"/>
      <c r="SI78" s="548"/>
      <c r="SJ78" s="548"/>
      <c r="SK78" s="452"/>
      <c r="SL78" s="596"/>
      <c r="SM78" s="548"/>
      <c r="SN78" s="548"/>
      <c r="SO78" s="548"/>
      <c r="SP78" s="548"/>
      <c r="SQ78" s="548"/>
      <c r="SR78" s="452"/>
      <c r="SS78" s="596"/>
      <c r="ST78" s="548"/>
      <c r="SU78" s="548"/>
      <c r="SV78" s="548"/>
      <c r="SW78" s="548"/>
      <c r="SX78" s="548"/>
      <c r="SY78" s="452"/>
      <c r="SZ78" s="596"/>
      <c r="TA78" s="548"/>
      <c r="TB78" s="548"/>
      <c r="TC78" s="548"/>
      <c r="TD78" s="548"/>
      <c r="TE78" s="548"/>
      <c r="TF78" s="452"/>
      <c r="TG78" s="596"/>
      <c r="TH78" s="548"/>
      <c r="TI78" s="548"/>
      <c r="TJ78" s="548"/>
      <c r="TK78" s="548"/>
      <c r="TL78" s="548"/>
      <c r="TM78" s="452"/>
      <c r="TN78" s="596"/>
      <c r="TO78" s="548"/>
      <c r="TP78" s="548"/>
      <c r="TQ78" s="548"/>
      <c r="TR78" s="548"/>
      <c r="TS78" s="548"/>
      <c r="TT78" s="452"/>
      <c r="TU78" s="596"/>
      <c r="TV78" s="548"/>
      <c r="TW78" s="548"/>
      <c r="TX78" s="548"/>
      <c r="TY78" s="548"/>
      <c r="TZ78" s="548"/>
      <c r="UA78" s="452"/>
      <c r="UB78" s="596"/>
      <c r="UC78" s="548"/>
      <c r="UD78" s="548"/>
      <c r="UE78" s="548"/>
      <c r="UF78" s="548"/>
      <c r="UG78" s="548"/>
      <c r="UH78" s="452"/>
      <c r="UI78" s="596"/>
      <c r="UJ78" s="548"/>
      <c r="UK78" s="548"/>
      <c r="UL78" s="548"/>
      <c r="UM78" s="548"/>
      <c r="UN78" s="548"/>
      <c r="UO78" s="452"/>
      <c r="UP78" s="596"/>
      <c r="UQ78" s="548"/>
      <c r="UR78" s="548"/>
      <c r="US78" s="548"/>
      <c r="UT78" s="548"/>
      <c r="UU78" s="548"/>
      <c r="UV78" s="452"/>
      <c r="UW78" s="596"/>
      <c r="UX78" s="548"/>
      <c r="UY78" s="548"/>
      <c r="UZ78" s="548"/>
      <c r="VA78" s="548"/>
      <c r="VB78" s="548"/>
      <c r="VC78" s="452"/>
      <c r="VD78" s="596"/>
      <c r="VE78" s="548"/>
      <c r="VF78" s="548"/>
      <c r="VG78" s="548"/>
      <c r="VH78" s="548"/>
      <c r="VI78" s="548"/>
      <c r="VJ78" s="452"/>
      <c r="VK78" s="596"/>
      <c r="VL78" s="548"/>
      <c r="VM78" s="548"/>
      <c r="VN78" s="548"/>
      <c r="VO78" s="548"/>
      <c r="VP78" s="548"/>
      <c r="VQ78" s="452"/>
      <c r="VR78" s="596"/>
      <c r="VS78" s="548"/>
      <c r="VT78" s="548"/>
      <c r="VU78" s="548"/>
      <c r="VV78" s="548"/>
      <c r="VW78" s="548"/>
      <c r="VX78" s="452"/>
      <c r="VY78" s="596"/>
      <c r="VZ78" s="548"/>
      <c r="WA78" s="548"/>
      <c r="WB78" s="548"/>
      <c r="WC78" s="548"/>
      <c r="WD78" s="548"/>
      <c r="WE78" s="452"/>
      <c r="WF78" s="596"/>
      <c r="WG78" s="548"/>
      <c r="WH78" s="548"/>
      <c r="WI78" s="548"/>
      <c r="WJ78" s="548"/>
      <c r="WK78" s="548"/>
      <c r="WL78" s="452"/>
      <c r="WM78" s="596"/>
      <c r="WN78" s="548"/>
      <c r="WO78" s="548"/>
      <c r="WP78" s="548"/>
      <c r="WQ78" s="548"/>
      <c r="WR78" s="548"/>
      <c r="WS78" s="452"/>
      <c r="WT78" s="596"/>
      <c r="WU78" s="548"/>
      <c r="WV78" s="548"/>
      <c r="WW78" s="548"/>
      <c r="WX78" s="548"/>
      <c r="WY78" s="548"/>
      <c r="WZ78" s="452"/>
      <c r="XA78" s="596"/>
      <c r="XB78" s="548"/>
      <c r="XC78" s="548"/>
      <c r="XD78" s="548"/>
      <c r="XE78" s="548"/>
      <c r="XF78" s="548"/>
      <c r="XG78" s="452"/>
      <c r="XH78" s="596"/>
      <c r="XI78" s="548"/>
      <c r="XJ78" s="548"/>
      <c r="XK78" s="548"/>
      <c r="XL78" s="548"/>
      <c r="XM78" s="548"/>
      <c r="XN78" s="452"/>
      <c r="XO78" s="596"/>
      <c r="XP78" s="548"/>
      <c r="XQ78" s="548"/>
      <c r="XR78" s="548"/>
      <c r="XS78" s="548"/>
      <c r="XT78" s="548"/>
      <c r="XU78" s="452"/>
      <c r="XV78" s="596"/>
      <c r="XW78" s="548"/>
      <c r="XX78" s="548"/>
      <c r="XY78" s="548"/>
      <c r="XZ78" s="548"/>
      <c r="YA78" s="548"/>
      <c r="YB78" s="452"/>
      <c r="YC78" s="596"/>
      <c r="YD78" s="548"/>
      <c r="YE78" s="548"/>
      <c r="YF78" s="548"/>
      <c r="YG78" s="548"/>
      <c r="YH78" s="548"/>
      <c r="YI78" s="452"/>
      <c r="YJ78" s="596"/>
      <c r="YK78" s="548"/>
      <c r="YL78" s="548"/>
      <c r="YM78" s="548"/>
      <c r="YN78" s="548"/>
      <c r="YO78" s="548"/>
      <c r="YP78" s="452"/>
      <c r="YQ78" s="596"/>
      <c r="YR78" s="548"/>
      <c r="YS78" s="548"/>
      <c r="YT78" s="548"/>
      <c r="YU78" s="548"/>
      <c r="YV78" s="548"/>
      <c r="YW78" s="452"/>
      <c r="YX78" s="596"/>
      <c r="YY78" s="548"/>
      <c r="YZ78" s="548"/>
      <c r="ZA78" s="548"/>
      <c r="ZB78" s="548"/>
      <c r="ZC78" s="548"/>
      <c r="ZD78" s="452"/>
      <c r="ZE78" s="596"/>
      <c r="ZF78" s="548"/>
      <c r="ZG78" s="548"/>
      <c r="ZH78" s="548"/>
      <c r="ZI78" s="548"/>
      <c r="ZJ78" s="548"/>
      <c r="ZK78" s="452"/>
      <c r="ZL78" s="596"/>
      <c r="ZM78" s="548"/>
      <c r="ZN78" s="548"/>
      <c r="ZO78" s="548"/>
      <c r="ZP78" s="548"/>
      <c r="ZQ78" s="548"/>
      <c r="ZR78" s="452"/>
      <c r="ZS78" s="596"/>
      <c r="ZT78" s="548"/>
      <c r="ZU78" s="548"/>
      <c r="ZV78" s="548"/>
      <c r="ZW78" s="548"/>
      <c r="ZX78" s="548"/>
      <c r="ZY78" s="452"/>
      <c r="ZZ78" s="596"/>
      <c r="AAA78" s="548"/>
      <c r="AAB78" s="548"/>
      <c r="AAC78" s="548"/>
      <c r="AAD78" s="548"/>
      <c r="AAE78" s="548"/>
      <c r="AAF78" s="452"/>
      <c r="AAG78" s="596"/>
      <c r="AAH78" s="548"/>
      <c r="AAI78" s="548"/>
      <c r="AAJ78" s="548"/>
      <c r="AAK78" s="548"/>
      <c r="AAL78" s="548"/>
      <c r="AAM78" s="452"/>
      <c r="AAN78" s="596"/>
      <c r="AAO78" s="548"/>
      <c r="AAP78" s="548"/>
      <c r="AAQ78" s="548"/>
      <c r="AAR78" s="548"/>
      <c r="AAS78" s="548"/>
      <c r="AAT78" s="452"/>
      <c r="AAU78" s="596"/>
      <c r="AAV78" s="548"/>
      <c r="AAW78" s="548"/>
      <c r="AAX78" s="548"/>
      <c r="AAY78" s="548"/>
      <c r="AAZ78" s="548"/>
      <c r="ABA78" s="452"/>
      <c r="ABB78" s="596"/>
      <c r="ABC78" s="548"/>
      <c r="ABD78" s="548"/>
      <c r="ABE78" s="548"/>
      <c r="ABF78" s="548"/>
      <c r="ABG78" s="548"/>
      <c r="ABH78" s="452"/>
      <c r="ABI78" s="596"/>
      <c r="ABJ78" s="548"/>
      <c r="ABK78" s="548"/>
      <c r="ABL78" s="548"/>
      <c r="ABM78" s="548"/>
      <c r="ABN78" s="548"/>
      <c r="ABO78" s="452"/>
      <c r="ABP78" s="596"/>
      <c r="ABQ78" s="548"/>
      <c r="ABR78" s="548"/>
      <c r="ABS78" s="548"/>
      <c r="ABT78" s="548"/>
      <c r="ABU78" s="548"/>
      <c r="ABV78" s="452"/>
      <c r="ABW78" s="596"/>
      <c r="ABX78" s="548"/>
      <c r="ABY78" s="548"/>
      <c r="ABZ78" s="548"/>
      <c r="ACA78" s="548"/>
      <c r="ACB78" s="548"/>
      <c r="ACC78" s="452"/>
      <c r="ACD78" s="596"/>
      <c r="ACE78" s="548"/>
      <c r="ACF78" s="548"/>
      <c r="ACG78" s="548"/>
      <c r="ACH78" s="548"/>
      <c r="ACI78" s="548"/>
      <c r="ACJ78" s="452"/>
      <c r="ACK78" s="596"/>
      <c r="ACL78" s="548"/>
      <c r="ACM78" s="548"/>
      <c r="ACN78" s="548"/>
      <c r="ACO78" s="548"/>
      <c r="ACP78" s="548"/>
      <c r="ACQ78" s="452"/>
      <c r="ACR78" s="596"/>
      <c r="ACS78" s="548"/>
      <c r="ACT78" s="548"/>
      <c r="ACU78" s="548"/>
      <c r="ACV78" s="548"/>
      <c r="ACW78" s="548"/>
      <c r="ACX78" s="452"/>
      <c r="ACY78" s="596"/>
      <c r="ACZ78" s="548"/>
      <c r="ADA78" s="548"/>
      <c r="ADB78" s="548"/>
      <c r="ADC78" s="548"/>
      <c r="ADD78" s="548"/>
      <c r="ADE78" s="452"/>
      <c r="ADF78" s="596"/>
      <c r="ADG78" s="548"/>
      <c r="ADH78" s="548"/>
      <c r="ADI78" s="548"/>
      <c r="ADJ78" s="548"/>
      <c r="ADK78" s="548"/>
      <c r="ADL78" s="452"/>
      <c r="ADM78" s="596"/>
      <c r="ADN78" s="548"/>
      <c r="ADO78" s="548"/>
      <c r="ADP78" s="548"/>
      <c r="ADQ78" s="548"/>
      <c r="ADR78" s="548"/>
      <c r="ADS78" s="452"/>
      <c r="ADT78" s="596"/>
      <c r="ADU78" s="548"/>
      <c r="ADV78" s="548"/>
      <c r="ADW78" s="548"/>
      <c r="ADX78" s="548"/>
      <c r="ADY78" s="548"/>
      <c r="ADZ78" s="452"/>
      <c r="AEA78" s="596"/>
      <c r="AEB78" s="548"/>
      <c r="AEC78" s="548"/>
      <c r="AED78" s="548"/>
      <c r="AEE78" s="548"/>
      <c r="AEF78" s="548"/>
      <c r="AEG78" s="452"/>
      <c r="AEH78" s="596"/>
      <c r="AEI78" s="548"/>
      <c r="AEJ78" s="548"/>
      <c r="AEK78" s="548"/>
      <c r="AEL78" s="548"/>
      <c r="AEM78" s="548"/>
      <c r="AEN78" s="452"/>
      <c r="AEO78" s="596"/>
      <c r="AEP78" s="548"/>
      <c r="AEQ78" s="548"/>
      <c r="AER78" s="548"/>
      <c r="AES78" s="548"/>
      <c r="AET78" s="548"/>
      <c r="AEU78" s="452"/>
      <c r="AEV78" s="596"/>
      <c r="AEW78" s="548"/>
      <c r="AEX78" s="548"/>
      <c r="AEY78" s="548"/>
      <c r="AEZ78" s="548"/>
      <c r="AFA78" s="548"/>
      <c r="AFB78" s="452"/>
      <c r="AFC78" s="596"/>
      <c r="AFD78" s="548"/>
      <c r="AFE78" s="548"/>
      <c r="AFF78" s="548"/>
      <c r="AFG78" s="548"/>
      <c r="AFH78" s="548"/>
      <c r="AFI78" s="452"/>
      <c r="AFJ78" s="596"/>
      <c r="AFK78" s="548"/>
      <c r="AFL78" s="548"/>
      <c r="AFM78" s="548"/>
      <c r="AFN78" s="548"/>
      <c r="AFO78" s="548"/>
      <c r="AFP78" s="452"/>
      <c r="AFQ78" s="596"/>
      <c r="AFR78" s="548"/>
      <c r="AFS78" s="548"/>
      <c r="AFT78" s="548"/>
      <c r="AFU78" s="548"/>
      <c r="AFV78" s="548"/>
      <c r="AFW78" s="452"/>
      <c r="AFX78" s="596"/>
      <c r="AFY78" s="548"/>
      <c r="AFZ78" s="548"/>
      <c r="AGA78" s="548"/>
      <c r="AGB78" s="548"/>
      <c r="AGC78" s="548"/>
      <c r="AGD78" s="452"/>
      <c r="AGE78" s="596"/>
      <c r="AGF78" s="548"/>
      <c r="AGG78" s="548"/>
      <c r="AGH78" s="548"/>
      <c r="AGI78" s="548"/>
      <c r="AGJ78" s="548"/>
      <c r="AGK78" s="452"/>
      <c r="AGL78" s="596"/>
      <c r="AGM78" s="548"/>
      <c r="AGN78" s="548"/>
      <c r="AGO78" s="548"/>
      <c r="AGP78" s="548"/>
      <c r="AGQ78" s="548"/>
      <c r="AGR78" s="452"/>
      <c r="AGS78" s="596"/>
      <c r="AGT78" s="548"/>
      <c r="AGU78" s="548"/>
      <c r="AGV78" s="548"/>
      <c r="AGW78" s="548"/>
      <c r="AGX78" s="548"/>
      <c r="AGY78" s="452"/>
      <c r="AGZ78" s="596"/>
      <c r="AHA78" s="548"/>
      <c r="AHB78" s="548"/>
      <c r="AHC78" s="548"/>
      <c r="AHD78" s="548"/>
      <c r="AHE78" s="548"/>
      <c r="AHF78" s="452"/>
      <c r="AHG78" s="596"/>
      <c r="AHH78" s="548"/>
      <c r="AHI78" s="548"/>
      <c r="AHJ78" s="548"/>
      <c r="AHK78" s="548"/>
      <c r="AHL78" s="548"/>
      <c r="AHM78" s="452"/>
      <c r="AHN78" s="596"/>
      <c r="AHO78" s="548"/>
      <c r="AHP78" s="548"/>
      <c r="AHQ78" s="548"/>
      <c r="AHR78" s="548"/>
      <c r="AHS78" s="548"/>
      <c r="AHT78" s="452"/>
      <c r="AHU78" s="596"/>
      <c r="AHV78" s="548"/>
      <c r="AHW78" s="548"/>
      <c r="AHX78" s="548"/>
      <c r="AHY78" s="548"/>
      <c r="AHZ78" s="548"/>
      <c r="AIA78" s="452"/>
      <c r="AIB78" s="596"/>
      <c r="AIC78" s="548"/>
      <c r="AID78" s="548"/>
      <c r="AIE78" s="548"/>
      <c r="AIF78" s="548"/>
      <c r="AIG78" s="548"/>
      <c r="AIH78" s="452"/>
      <c r="AII78" s="596"/>
      <c r="AIJ78" s="548"/>
      <c r="AIK78" s="548"/>
      <c r="AIL78" s="548"/>
      <c r="AIM78" s="548"/>
      <c r="AIN78" s="548"/>
      <c r="AIO78" s="452"/>
      <c r="AIP78" s="596"/>
      <c r="AIQ78" s="548"/>
      <c r="AIR78" s="548"/>
      <c r="AIS78" s="548"/>
      <c r="AIT78" s="548"/>
      <c r="AIU78" s="548"/>
      <c r="AIV78" s="452"/>
      <c r="AIW78" s="596"/>
      <c r="AIX78" s="548"/>
      <c r="AIY78" s="548"/>
      <c r="AIZ78" s="548"/>
      <c r="AJA78" s="548"/>
      <c r="AJB78" s="548"/>
      <c r="AJC78" s="452"/>
      <c r="AJD78" s="596"/>
      <c r="AJE78" s="548"/>
      <c r="AJF78" s="548"/>
      <c r="AJG78" s="548"/>
      <c r="AJH78" s="548"/>
      <c r="AJI78" s="548"/>
      <c r="AJJ78" s="452"/>
      <c r="AJK78" s="596"/>
      <c r="AJL78" s="548"/>
      <c r="AJM78" s="548"/>
      <c r="AJN78" s="548"/>
      <c r="AJO78" s="548"/>
      <c r="AJP78" s="548"/>
      <c r="AJQ78" s="452"/>
      <c r="AJR78" s="596"/>
      <c r="AJS78" s="548"/>
      <c r="AJT78" s="548"/>
      <c r="AJU78" s="548"/>
      <c r="AJV78" s="548"/>
      <c r="AJW78" s="548"/>
      <c r="AJX78" s="452"/>
      <c r="AJY78" s="596"/>
      <c r="AJZ78" s="548"/>
      <c r="AKA78" s="548"/>
      <c r="AKB78" s="548"/>
      <c r="AKC78" s="548"/>
      <c r="AKD78" s="548"/>
      <c r="AKE78" s="452"/>
      <c r="AKF78" s="596"/>
      <c r="AKG78" s="548"/>
      <c r="AKH78" s="548"/>
      <c r="AKI78" s="548"/>
      <c r="AKJ78" s="548"/>
      <c r="AKK78" s="548"/>
      <c r="AKL78" s="452"/>
      <c r="AKM78" s="596"/>
      <c r="AKN78" s="548"/>
      <c r="AKO78" s="548"/>
      <c r="AKP78" s="548"/>
      <c r="AKQ78" s="548"/>
      <c r="AKR78" s="548"/>
      <c r="AKS78" s="452"/>
      <c r="AKT78" s="596"/>
      <c r="AKU78" s="548"/>
      <c r="AKV78" s="548"/>
      <c r="AKW78" s="548"/>
      <c r="AKX78" s="548"/>
      <c r="AKY78" s="548"/>
      <c r="AKZ78" s="452"/>
      <c r="ALA78" s="596"/>
      <c r="ALB78" s="548"/>
      <c r="ALC78" s="548"/>
      <c r="ALD78" s="548"/>
      <c r="ALE78" s="548"/>
      <c r="ALF78" s="548"/>
      <c r="ALG78" s="452"/>
      <c r="ALH78" s="596"/>
      <c r="ALI78" s="548"/>
      <c r="ALJ78" s="548"/>
      <c r="ALK78" s="548"/>
      <c r="ALL78" s="548"/>
      <c r="ALM78" s="548"/>
      <c r="ALN78" s="452"/>
      <c r="ALO78" s="596"/>
      <c r="ALP78" s="548"/>
      <c r="ALQ78" s="548"/>
      <c r="ALR78" s="548"/>
      <c r="ALS78" s="548"/>
      <c r="ALT78" s="548"/>
      <c r="ALU78" s="452"/>
      <c r="ALV78" s="596"/>
      <c r="ALW78" s="548"/>
      <c r="ALX78" s="548"/>
      <c r="ALY78" s="548"/>
      <c r="ALZ78" s="548"/>
      <c r="AMA78" s="548"/>
      <c r="AMB78" s="452"/>
      <c r="AMC78" s="596"/>
      <c r="AMD78" s="548"/>
      <c r="AME78" s="548"/>
      <c r="AMF78" s="548"/>
      <c r="AMG78" s="548"/>
      <c r="AMH78" s="548"/>
      <c r="AMI78" s="452"/>
      <c r="AMJ78" s="596"/>
      <c r="AMK78" s="548"/>
      <c r="AML78" s="548"/>
      <c r="AMM78" s="548"/>
      <c r="AMN78" s="548"/>
      <c r="AMO78" s="548"/>
      <c r="AMP78" s="452"/>
      <c r="AMQ78" s="596"/>
      <c r="AMR78" s="548"/>
      <c r="AMS78" s="548"/>
      <c r="AMT78" s="548"/>
      <c r="AMU78" s="548"/>
      <c r="AMV78" s="548"/>
      <c r="AMW78" s="452"/>
      <c r="AMX78" s="596"/>
      <c r="AMY78" s="548"/>
      <c r="AMZ78" s="548"/>
      <c r="ANA78" s="548"/>
      <c r="ANB78" s="548"/>
      <c r="ANC78" s="548"/>
      <c r="AND78" s="452"/>
      <c r="ANE78" s="596"/>
      <c r="ANF78" s="548"/>
      <c r="ANG78" s="548"/>
      <c r="ANH78" s="548"/>
      <c r="ANI78" s="548"/>
      <c r="ANJ78" s="548"/>
      <c r="ANK78" s="452"/>
      <c r="ANL78" s="596"/>
      <c r="ANM78" s="548"/>
      <c r="ANN78" s="548"/>
      <c r="ANO78" s="548"/>
      <c r="ANP78" s="548"/>
      <c r="ANQ78" s="548"/>
      <c r="ANR78" s="452"/>
      <c r="ANS78" s="596"/>
      <c r="ANT78" s="548"/>
      <c r="ANU78" s="548"/>
      <c r="ANV78" s="548"/>
      <c r="ANW78" s="548"/>
      <c r="ANX78" s="548"/>
      <c r="ANY78" s="452"/>
      <c r="ANZ78" s="596"/>
      <c r="AOA78" s="548"/>
      <c r="AOB78" s="548"/>
      <c r="AOC78" s="548"/>
      <c r="AOD78" s="548"/>
      <c r="AOE78" s="548"/>
      <c r="AOF78" s="452"/>
      <c r="AOG78" s="596"/>
      <c r="AOH78" s="548"/>
      <c r="AOI78" s="548"/>
      <c r="AOJ78" s="548"/>
      <c r="AOK78" s="548"/>
      <c r="AOL78" s="548"/>
      <c r="AOM78" s="452"/>
      <c r="AON78" s="596"/>
      <c r="AOO78" s="548"/>
      <c r="AOP78" s="548"/>
      <c r="AOQ78" s="548"/>
      <c r="AOR78" s="548"/>
      <c r="AOS78" s="548"/>
      <c r="AOT78" s="452"/>
      <c r="AOU78" s="596"/>
      <c r="AOV78" s="548"/>
      <c r="AOW78" s="548"/>
      <c r="AOX78" s="548"/>
      <c r="AOY78" s="548"/>
      <c r="AOZ78" s="548"/>
      <c r="APA78" s="452"/>
      <c r="APB78" s="596"/>
      <c r="APC78" s="548"/>
      <c r="APD78" s="548"/>
      <c r="APE78" s="548"/>
      <c r="APF78" s="548"/>
      <c r="APG78" s="548"/>
      <c r="APH78" s="452"/>
      <c r="API78" s="596"/>
      <c r="APJ78" s="548"/>
      <c r="APK78" s="548"/>
      <c r="APL78" s="548"/>
      <c r="APM78" s="548"/>
      <c r="APN78" s="548"/>
      <c r="APO78" s="452"/>
      <c r="APP78" s="596"/>
      <c r="APQ78" s="548"/>
      <c r="APR78" s="548"/>
      <c r="APS78" s="548"/>
      <c r="APT78" s="548"/>
      <c r="APU78" s="548"/>
      <c r="APV78" s="452"/>
      <c r="APW78" s="596"/>
      <c r="APX78" s="548"/>
      <c r="APY78" s="548"/>
      <c r="APZ78" s="548"/>
      <c r="AQA78" s="548"/>
      <c r="AQB78" s="548"/>
      <c r="AQC78" s="452"/>
      <c r="AQD78" s="596"/>
      <c r="AQE78" s="548"/>
      <c r="AQF78" s="548"/>
      <c r="AQG78" s="548"/>
      <c r="AQH78" s="548"/>
      <c r="AQI78" s="548"/>
      <c r="AQJ78" s="452"/>
      <c r="AQK78" s="596"/>
      <c r="AQL78" s="548"/>
      <c r="AQM78" s="548"/>
      <c r="AQN78" s="548"/>
      <c r="AQO78" s="548"/>
      <c r="AQP78" s="548"/>
      <c r="AQQ78" s="452"/>
      <c r="AQR78" s="596"/>
      <c r="AQS78" s="548"/>
      <c r="AQT78" s="548"/>
      <c r="AQU78" s="548"/>
      <c r="AQV78" s="548"/>
      <c r="AQW78" s="548"/>
      <c r="AQX78" s="452"/>
      <c r="AQY78" s="596"/>
      <c r="AQZ78" s="548"/>
      <c r="ARA78" s="548"/>
      <c r="ARB78" s="548"/>
      <c r="ARC78" s="548"/>
      <c r="ARD78" s="548"/>
      <c r="ARE78" s="452"/>
      <c r="ARF78" s="596"/>
      <c r="ARG78" s="548"/>
      <c r="ARH78" s="548"/>
      <c r="ARI78" s="548"/>
      <c r="ARJ78" s="548"/>
      <c r="ARK78" s="548"/>
      <c r="ARL78" s="452"/>
      <c r="ARM78" s="596"/>
      <c r="ARN78" s="548"/>
      <c r="ARO78" s="548"/>
      <c r="ARP78" s="548"/>
      <c r="ARQ78" s="548"/>
      <c r="ARR78" s="548"/>
      <c r="ARS78" s="452"/>
      <c r="ART78" s="596"/>
      <c r="ARU78" s="548"/>
      <c r="ARV78" s="548"/>
      <c r="ARW78" s="548"/>
      <c r="ARX78" s="548"/>
      <c r="ARY78" s="548"/>
      <c r="ARZ78" s="452"/>
      <c r="ASA78" s="596"/>
      <c r="ASB78" s="548"/>
      <c r="ASC78" s="548"/>
      <c r="ASD78" s="548"/>
      <c r="ASE78" s="548"/>
      <c r="ASF78" s="548"/>
      <c r="ASG78" s="452"/>
      <c r="ASH78" s="596"/>
      <c r="ASI78" s="548"/>
      <c r="ASJ78" s="548"/>
      <c r="ASK78" s="548"/>
      <c r="ASL78" s="548"/>
      <c r="ASM78" s="548"/>
      <c r="ASN78" s="452"/>
      <c r="ASO78" s="596"/>
      <c r="ASP78" s="548"/>
      <c r="ASQ78" s="548"/>
      <c r="ASR78" s="548"/>
      <c r="ASS78" s="548"/>
      <c r="AST78" s="548"/>
      <c r="ASU78" s="452"/>
      <c r="ASV78" s="596"/>
      <c r="ASW78" s="548"/>
      <c r="ASX78" s="548"/>
      <c r="ASY78" s="548"/>
      <c r="ASZ78" s="548"/>
      <c r="ATA78" s="548"/>
      <c r="ATB78" s="452"/>
      <c r="ATC78" s="596"/>
      <c r="ATD78" s="548"/>
      <c r="ATE78" s="548"/>
      <c r="ATF78" s="548"/>
      <c r="ATG78" s="548"/>
      <c r="ATH78" s="548"/>
      <c r="ATI78" s="452"/>
      <c r="ATJ78" s="596"/>
      <c r="ATK78" s="548"/>
      <c r="ATL78" s="548"/>
      <c r="ATM78" s="548"/>
      <c r="ATN78" s="548"/>
      <c r="ATO78" s="548"/>
      <c r="ATP78" s="452"/>
      <c r="ATQ78" s="596"/>
      <c r="ATR78" s="548"/>
      <c r="ATS78" s="548"/>
      <c r="ATT78" s="548"/>
      <c r="ATU78" s="548"/>
      <c r="ATV78" s="548"/>
      <c r="ATW78" s="452"/>
      <c r="ATX78" s="596"/>
      <c r="ATY78" s="548"/>
      <c r="ATZ78" s="548"/>
      <c r="AUA78" s="548"/>
      <c r="AUB78" s="548"/>
      <c r="AUC78" s="548"/>
      <c r="AUD78" s="452"/>
      <c r="AUE78" s="596"/>
      <c r="AUF78" s="548"/>
      <c r="AUG78" s="548"/>
      <c r="AUH78" s="548"/>
      <c r="AUI78" s="548"/>
      <c r="AUJ78" s="548"/>
      <c r="AUK78" s="452"/>
      <c r="AUL78" s="596"/>
      <c r="AUM78" s="548"/>
      <c r="AUN78" s="548"/>
      <c r="AUO78" s="548"/>
      <c r="AUP78" s="548"/>
      <c r="AUQ78" s="548"/>
      <c r="AUR78" s="452"/>
      <c r="AUS78" s="596"/>
      <c r="AUT78" s="548"/>
      <c r="AUU78" s="548"/>
      <c r="AUV78" s="548"/>
      <c r="AUW78" s="548"/>
      <c r="AUX78" s="548"/>
      <c r="AUY78" s="452"/>
      <c r="AUZ78" s="596"/>
      <c r="AVA78" s="548"/>
      <c r="AVB78" s="548"/>
      <c r="AVC78" s="548"/>
      <c r="AVD78" s="548"/>
      <c r="AVE78" s="548"/>
      <c r="AVF78" s="452"/>
      <c r="AVG78" s="596"/>
      <c r="AVH78" s="548"/>
      <c r="AVI78" s="548"/>
      <c r="AVJ78" s="548"/>
      <c r="AVK78" s="548"/>
      <c r="AVL78" s="548"/>
      <c r="AVM78" s="452"/>
      <c r="AVN78" s="596"/>
      <c r="AVO78" s="548"/>
      <c r="AVP78" s="548"/>
      <c r="AVQ78" s="548"/>
      <c r="AVR78" s="548"/>
      <c r="AVS78" s="548"/>
      <c r="AVT78" s="452"/>
      <c r="AVU78" s="596"/>
      <c r="AVV78" s="548"/>
      <c r="AVW78" s="548"/>
      <c r="AVX78" s="548"/>
      <c r="AVY78" s="548"/>
      <c r="AVZ78" s="548"/>
      <c r="AWA78" s="452"/>
      <c r="AWB78" s="596"/>
      <c r="AWC78" s="548"/>
      <c r="AWD78" s="548"/>
      <c r="AWE78" s="548"/>
      <c r="AWF78" s="548"/>
      <c r="AWG78" s="548"/>
      <c r="AWH78" s="452"/>
      <c r="AWI78" s="596"/>
      <c r="AWJ78" s="548"/>
      <c r="AWK78" s="548"/>
      <c r="AWL78" s="548"/>
      <c r="AWM78" s="548"/>
      <c r="AWN78" s="548"/>
      <c r="AWO78" s="452"/>
      <c r="AWP78" s="596"/>
      <c r="AWQ78" s="548"/>
      <c r="AWR78" s="548"/>
      <c r="AWS78" s="548"/>
      <c r="AWT78" s="548"/>
      <c r="AWU78" s="548"/>
      <c r="AWV78" s="452"/>
      <c r="AWW78" s="596"/>
      <c r="AWX78" s="548"/>
      <c r="AWY78" s="548"/>
      <c r="AWZ78" s="548"/>
      <c r="AXA78" s="548"/>
      <c r="AXB78" s="548"/>
      <c r="AXC78" s="452"/>
      <c r="AXD78" s="596"/>
      <c r="AXE78" s="548"/>
      <c r="AXF78" s="548"/>
      <c r="AXG78" s="548"/>
      <c r="AXH78" s="548"/>
      <c r="AXI78" s="548"/>
      <c r="AXJ78" s="452"/>
      <c r="AXK78" s="596"/>
      <c r="AXL78" s="548"/>
      <c r="AXM78" s="548"/>
      <c r="AXN78" s="548"/>
      <c r="AXO78" s="548"/>
      <c r="AXP78" s="548"/>
      <c r="AXQ78" s="452"/>
      <c r="AXR78" s="596"/>
      <c r="AXS78" s="548"/>
      <c r="AXT78" s="548"/>
      <c r="AXU78" s="548"/>
      <c r="AXV78" s="548"/>
      <c r="AXW78" s="548"/>
      <c r="AXX78" s="452"/>
      <c r="AXY78" s="596"/>
      <c r="AXZ78" s="548"/>
      <c r="AYA78" s="548"/>
      <c r="AYB78" s="548"/>
      <c r="AYC78" s="548"/>
      <c r="AYD78" s="548"/>
      <c r="AYE78" s="452"/>
      <c r="AYF78" s="596"/>
      <c r="AYG78" s="548"/>
      <c r="AYH78" s="548"/>
      <c r="AYI78" s="548"/>
      <c r="AYJ78" s="548"/>
      <c r="AYK78" s="548"/>
      <c r="AYL78" s="452"/>
      <c r="AYM78" s="596"/>
      <c r="AYN78" s="548"/>
      <c r="AYO78" s="548"/>
      <c r="AYP78" s="548"/>
      <c r="AYQ78" s="548"/>
      <c r="AYR78" s="548"/>
      <c r="AYS78" s="452"/>
      <c r="AYT78" s="596"/>
      <c r="AYU78" s="548"/>
      <c r="AYV78" s="548"/>
      <c r="AYW78" s="548"/>
      <c r="AYX78" s="548"/>
      <c r="AYY78" s="548"/>
      <c r="AYZ78" s="452"/>
      <c r="AZA78" s="596"/>
      <c r="AZB78" s="548"/>
      <c r="AZC78" s="548"/>
      <c r="AZD78" s="548"/>
      <c r="AZE78" s="548"/>
      <c r="AZF78" s="548"/>
      <c r="AZG78" s="452"/>
      <c r="AZH78" s="596"/>
      <c r="AZI78" s="548"/>
      <c r="AZJ78" s="548"/>
      <c r="AZK78" s="548"/>
      <c r="AZL78" s="548"/>
      <c r="AZM78" s="548"/>
      <c r="AZN78" s="452"/>
      <c r="AZO78" s="596"/>
      <c r="AZP78" s="548"/>
      <c r="AZQ78" s="548"/>
      <c r="AZR78" s="548"/>
      <c r="AZS78" s="548"/>
      <c r="AZT78" s="548"/>
      <c r="AZU78" s="452"/>
      <c r="AZV78" s="596"/>
      <c r="AZW78" s="548"/>
      <c r="AZX78" s="548"/>
      <c r="AZY78" s="548"/>
      <c r="AZZ78" s="548"/>
      <c r="BAA78" s="548"/>
      <c r="BAB78" s="452"/>
      <c r="BAC78" s="596"/>
      <c r="BAD78" s="548"/>
      <c r="BAE78" s="548"/>
      <c r="BAF78" s="548"/>
      <c r="BAG78" s="548"/>
      <c r="BAH78" s="548"/>
      <c r="BAI78" s="452"/>
      <c r="BAJ78" s="596"/>
      <c r="BAK78" s="548"/>
      <c r="BAL78" s="548"/>
      <c r="BAM78" s="548"/>
      <c r="BAN78" s="548"/>
      <c r="BAO78" s="548"/>
      <c r="BAP78" s="452"/>
      <c r="BAQ78" s="596"/>
      <c r="BAR78" s="548"/>
      <c r="BAS78" s="548"/>
      <c r="BAT78" s="548"/>
      <c r="BAU78" s="548"/>
      <c r="BAV78" s="548"/>
      <c r="BAW78" s="452"/>
      <c r="BAX78" s="596"/>
      <c r="BAY78" s="548"/>
      <c r="BAZ78" s="548"/>
      <c r="BBA78" s="548"/>
      <c r="BBB78" s="548"/>
      <c r="BBC78" s="548"/>
      <c r="BBD78" s="452"/>
      <c r="BBE78" s="596"/>
      <c r="BBF78" s="548"/>
      <c r="BBG78" s="548"/>
      <c r="BBH78" s="548"/>
      <c r="BBI78" s="548"/>
      <c r="BBJ78" s="548"/>
      <c r="BBK78" s="452"/>
      <c r="BBL78" s="596"/>
      <c r="BBM78" s="548"/>
      <c r="BBN78" s="548"/>
      <c r="BBO78" s="548"/>
      <c r="BBP78" s="548"/>
      <c r="BBQ78" s="548"/>
      <c r="BBR78" s="452"/>
      <c r="BBS78" s="596"/>
      <c r="BBT78" s="548"/>
      <c r="BBU78" s="548"/>
      <c r="BBV78" s="548"/>
      <c r="BBW78" s="548"/>
      <c r="BBX78" s="548"/>
      <c r="BBY78" s="452"/>
      <c r="BBZ78" s="596"/>
      <c r="BCA78" s="548"/>
      <c r="BCB78" s="548"/>
      <c r="BCC78" s="548"/>
      <c r="BCD78" s="548"/>
      <c r="BCE78" s="548"/>
      <c r="BCF78" s="452"/>
      <c r="BCG78" s="596"/>
      <c r="BCH78" s="548"/>
      <c r="BCI78" s="548"/>
      <c r="BCJ78" s="548"/>
      <c r="BCK78" s="548"/>
      <c r="BCL78" s="548"/>
      <c r="BCM78" s="452"/>
      <c r="BCN78" s="596"/>
      <c r="BCO78" s="548"/>
      <c r="BCP78" s="548"/>
      <c r="BCQ78" s="548"/>
      <c r="BCR78" s="548"/>
      <c r="BCS78" s="548"/>
      <c r="BCT78" s="452"/>
      <c r="BCU78" s="596"/>
      <c r="BCV78" s="548"/>
      <c r="BCW78" s="548"/>
      <c r="BCX78" s="548"/>
      <c r="BCY78" s="548"/>
      <c r="BCZ78" s="548"/>
      <c r="BDA78" s="452"/>
      <c r="BDB78" s="596"/>
      <c r="BDC78" s="548"/>
      <c r="BDD78" s="548"/>
      <c r="BDE78" s="548"/>
      <c r="BDF78" s="548"/>
      <c r="BDG78" s="548"/>
      <c r="BDH78" s="452"/>
      <c r="BDI78" s="596"/>
      <c r="BDJ78" s="548"/>
      <c r="BDK78" s="548"/>
      <c r="BDL78" s="548"/>
      <c r="BDM78" s="548"/>
      <c r="BDN78" s="548"/>
      <c r="BDO78" s="452"/>
      <c r="BDP78" s="596"/>
      <c r="BDQ78" s="548"/>
      <c r="BDR78" s="548"/>
      <c r="BDS78" s="548"/>
      <c r="BDT78" s="548"/>
      <c r="BDU78" s="548"/>
      <c r="BDV78" s="452"/>
      <c r="BDW78" s="596"/>
      <c r="BDX78" s="548"/>
      <c r="BDY78" s="548"/>
      <c r="BDZ78" s="548"/>
      <c r="BEA78" s="548"/>
      <c r="BEB78" s="548"/>
      <c r="BEC78" s="452"/>
      <c r="BED78" s="596"/>
      <c r="BEE78" s="548"/>
      <c r="BEF78" s="548"/>
      <c r="BEG78" s="548"/>
      <c r="BEH78" s="548"/>
      <c r="BEI78" s="548"/>
      <c r="BEJ78" s="452"/>
      <c r="BEK78" s="596"/>
      <c r="BEL78" s="548"/>
      <c r="BEM78" s="548"/>
      <c r="BEN78" s="548"/>
      <c r="BEO78" s="548"/>
      <c r="BEP78" s="548"/>
      <c r="BEQ78" s="452"/>
      <c r="BER78" s="596"/>
      <c r="BES78" s="548"/>
      <c r="BET78" s="548"/>
      <c r="BEU78" s="548"/>
      <c r="BEV78" s="548"/>
      <c r="BEW78" s="548"/>
      <c r="BEX78" s="452"/>
      <c r="BEY78" s="596"/>
      <c r="BEZ78" s="548"/>
      <c r="BFA78" s="548"/>
      <c r="BFB78" s="548"/>
      <c r="BFC78" s="548"/>
      <c r="BFD78" s="548"/>
      <c r="BFE78" s="452"/>
      <c r="BFF78" s="596"/>
      <c r="BFG78" s="548"/>
      <c r="BFH78" s="548"/>
      <c r="BFI78" s="548"/>
      <c r="BFJ78" s="548"/>
      <c r="BFK78" s="548"/>
      <c r="BFL78" s="452"/>
      <c r="BFM78" s="596"/>
      <c r="BFN78" s="548"/>
      <c r="BFO78" s="548"/>
      <c r="BFP78" s="548"/>
      <c r="BFQ78" s="548"/>
      <c r="BFR78" s="548"/>
      <c r="BFS78" s="452"/>
      <c r="BFT78" s="596"/>
      <c r="BFU78" s="548"/>
      <c r="BFV78" s="548"/>
      <c r="BFW78" s="548"/>
      <c r="BFX78" s="548"/>
      <c r="BFY78" s="548"/>
      <c r="BFZ78" s="452"/>
      <c r="BGA78" s="596"/>
      <c r="BGB78" s="548"/>
      <c r="BGC78" s="548"/>
      <c r="BGD78" s="548"/>
      <c r="BGE78" s="548"/>
      <c r="BGF78" s="548"/>
      <c r="BGG78" s="452"/>
      <c r="BGH78" s="596"/>
      <c r="BGI78" s="548"/>
      <c r="BGJ78" s="548"/>
      <c r="BGK78" s="548"/>
      <c r="BGL78" s="548"/>
      <c r="BGM78" s="548"/>
      <c r="BGN78" s="452"/>
      <c r="BGO78" s="596"/>
      <c r="BGP78" s="548"/>
      <c r="BGQ78" s="548"/>
      <c r="BGR78" s="548"/>
      <c r="BGS78" s="548"/>
      <c r="BGT78" s="548"/>
      <c r="BGU78" s="452"/>
      <c r="BGV78" s="596"/>
      <c r="BGW78" s="548"/>
      <c r="BGX78" s="548"/>
      <c r="BGY78" s="548"/>
      <c r="BGZ78" s="548"/>
      <c r="BHA78" s="548"/>
      <c r="BHB78" s="452"/>
      <c r="BHC78" s="596"/>
      <c r="BHD78" s="548"/>
      <c r="BHE78" s="548"/>
      <c r="BHF78" s="548"/>
      <c r="BHG78" s="548"/>
      <c r="BHH78" s="548"/>
      <c r="BHI78" s="452"/>
      <c r="BHJ78" s="596"/>
      <c r="BHK78" s="548"/>
      <c r="BHL78" s="548"/>
      <c r="BHM78" s="548"/>
      <c r="BHN78" s="548"/>
      <c r="BHO78" s="548"/>
      <c r="BHP78" s="452"/>
      <c r="BHQ78" s="596"/>
      <c r="BHR78" s="548"/>
      <c r="BHS78" s="548"/>
      <c r="BHT78" s="548"/>
      <c r="BHU78" s="548"/>
      <c r="BHV78" s="548"/>
      <c r="BHW78" s="452"/>
      <c r="BHX78" s="596"/>
      <c r="BHY78" s="548"/>
      <c r="BHZ78" s="548"/>
      <c r="BIA78" s="548"/>
      <c r="BIB78" s="548"/>
      <c r="BIC78" s="548"/>
      <c r="BID78" s="452"/>
      <c r="BIE78" s="596"/>
      <c r="BIF78" s="548"/>
      <c r="BIG78" s="548"/>
      <c r="BIH78" s="548"/>
      <c r="BII78" s="548"/>
      <c r="BIJ78" s="548"/>
      <c r="BIK78" s="452"/>
      <c r="BIL78" s="596"/>
      <c r="BIM78" s="548"/>
      <c r="BIN78" s="548"/>
      <c r="BIO78" s="548"/>
      <c r="BIP78" s="548"/>
      <c r="BIQ78" s="548"/>
      <c r="BIR78" s="452"/>
      <c r="BIS78" s="596"/>
      <c r="BIT78" s="548"/>
      <c r="BIU78" s="548"/>
      <c r="BIV78" s="548"/>
      <c r="BIW78" s="548"/>
      <c r="BIX78" s="548"/>
      <c r="BIY78" s="452"/>
      <c r="BIZ78" s="596"/>
      <c r="BJA78" s="548"/>
      <c r="BJB78" s="548"/>
      <c r="BJC78" s="548"/>
      <c r="BJD78" s="548"/>
      <c r="BJE78" s="548"/>
      <c r="BJF78" s="452"/>
      <c r="BJG78" s="596"/>
      <c r="BJH78" s="548"/>
      <c r="BJI78" s="548"/>
      <c r="BJJ78" s="548"/>
      <c r="BJK78" s="548"/>
      <c r="BJL78" s="548"/>
      <c r="BJM78" s="452"/>
      <c r="BJN78" s="596"/>
      <c r="BJO78" s="548"/>
      <c r="BJP78" s="548"/>
      <c r="BJQ78" s="548"/>
      <c r="BJR78" s="548"/>
      <c r="BJS78" s="548"/>
      <c r="BJT78" s="452"/>
      <c r="BJU78" s="596"/>
      <c r="BJV78" s="548"/>
      <c r="BJW78" s="548"/>
      <c r="BJX78" s="548"/>
      <c r="BJY78" s="548"/>
      <c r="BJZ78" s="548"/>
      <c r="BKA78" s="452"/>
      <c r="BKB78" s="596"/>
      <c r="BKC78" s="548"/>
      <c r="BKD78" s="548"/>
      <c r="BKE78" s="548"/>
      <c r="BKF78" s="548"/>
      <c r="BKG78" s="548"/>
      <c r="BKH78" s="452"/>
      <c r="BKI78" s="596"/>
      <c r="BKJ78" s="548"/>
      <c r="BKK78" s="548"/>
      <c r="BKL78" s="548"/>
      <c r="BKM78" s="548"/>
      <c r="BKN78" s="548"/>
      <c r="BKO78" s="452"/>
      <c r="BKP78" s="596"/>
      <c r="BKQ78" s="548"/>
      <c r="BKR78" s="548"/>
      <c r="BKS78" s="548"/>
      <c r="BKT78" s="548"/>
      <c r="BKU78" s="548"/>
      <c r="BKV78" s="452"/>
      <c r="BKW78" s="596"/>
      <c r="BKX78" s="548"/>
      <c r="BKY78" s="548"/>
      <c r="BKZ78" s="548"/>
      <c r="BLA78" s="548"/>
      <c r="BLB78" s="548"/>
      <c r="BLC78" s="452"/>
      <c r="BLD78" s="596"/>
      <c r="BLE78" s="548"/>
      <c r="BLF78" s="548"/>
      <c r="BLG78" s="548"/>
      <c r="BLH78" s="548"/>
      <c r="BLI78" s="548"/>
      <c r="BLJ78" s="452"/>
      <c r="BLK78" s="596"/>
      <c r="BLL78" s="548"/>
      <c r="BLM78" s="548"/>
      <c r="BLN78" s="548"/>
      <c r="BLO78" s="548"/>
      <c r="BLP78" s="548"/>
      <c r="BLQ78" s="452"/>
      <c r="BLR78" s="596"/>
      <c r="BLS78" s="548"/>
      <c r="BLT78" s="548"/>
      <c r="BLU78" s="548"/>
      <c r="BLV78" s="548"/>
      <c r="BLW78" s="548"/>
      <c r="BLX78" s="452"/>
      <c r="BLY78" s="596"/>
      <c r="BLZ78" s="548"/>
      <c r="BMA78" s="548"/>
      <c r="BMB78" s="548"/>
      <c r="BMC78" s="548"/>
      <c r="BMD78" s="548"/>
      <c r="BME78" s="452"/>
      <c r="BMF78" s="596"/>
      <c r="BMG78" s="548"/>
      <c r="BMH78" s="548"/>
      <c r="BMI78" s="548"/>
      <c r="BMJ78" s="548"/>
      <c r="BMK78" s="548"/>
      <c r="BML78" s="452"/>
      <c r="BMM78" s="596"/>
      <c r="BMN78" s="548"/>
      <c r="BMO78" s="548"/>
      <c r="BMP78" s="548"/>
      <c r="BMQ78" s="548"/>
      <c r="BMR78" s="548"/>
      <c r="BMS78" s="452"/>
      <c r="BMT78" s="596"/>
      <c r="BMU78" s="548"/>
      <c r="BMV78" s="548"/>
      <c r="BMW78" s="548"/>
      <c r="BMX78" s="548"/>
      <c r="BMY78" s="548"/>
      <c r="BMZ78" s="452"/>
      <c r="BNA78" s="596"/>
      <c r="BNB78" s="548"/>
      <c r="BNC78" s="548"/>
      <c r="BND78" s="548"/>
      <c r="BNE78" s="548"/>
      <c r="BNF78" s="548"/>
      <c r="BNG78" s="452"/>
      <c r="BNH78" s="596"/>
      <c r="BNI78" s="548"/>
      <c r="BNJ78" s="548"/>
      <c r="BNK78" s="548"/>
      <c r="BNL78" s="548"/>
      <c r="BNM78" s="548"/>
      <c r="BNN78" s="452"/>
      <c r="BNO78" s="596"/>
      <c r="BNP78" s="548"/>
      <c r="BNQ78" s="548"/>
      <c r="BNR78" s="548"/>
      <c r="BNS78" s="548"/>
      <c r="BNT78" s="548"/>
      <c r="BNU78" s="452"/>
      <c r="BNV78" s="596"/>
      <c r="BNW78" s="548"/>
      <c r="BNX78" s="548"/>
      <c r="BNY78" s="548"/>
      <c r="BNZ78" s="548"/>
      <c r="BOA78" s="548"/>
      <c r="BOB78" s="452"/>
      <c r="BOC78" s="596"/>
      <c r="BOD78" s="548"/>
      <c r="BOE78" s="548"/>
      <c r="BOF78" s="548"/>
      <c r="BOG78" s="548"/>
      <c r="BOH78" s="548"/>
      <c r="BOI78" s="452"/>
      <c r="BOJ78" s="596"/>
      <c r="BOK78" s="548"/>
      <c r="BOL78" s="548"/>
      <c r="BOM78" s="548"/>
      <c r="BON78" s="548"/>
      <c r="BOO78" s="548"/>
      <c r="BOP78" s="452"/>
      <c r="BOQ78" s="596"/>
      <c r="BOR78" s="548"/>
      <c r="BOS78" s="548"/>
      <c r="BOT78" s="548"/>
      <c r="BOU78" s="548"/>
      <c r="BOV78" s="548"/>
      <c r="BOW78" s="452"/>
      <c r="BOX78" s="596"/>
      <c r="BOY78" s="548"/>
      <c r="BOZ78" s="548"/>
      <c r="BPA78" s="548"/>
      <c r="BPB78" s="548"/>
      <c r="BPC78" s="548"/>
      <c r="BPD78" s="452"/>
      <c r="BPE78" s="596"/>
      <c r="BPF78" s="548"/>
      <c r="BPG78" s="548"/>
      <c r="BPH78" s="548"/>
      <c r="BPI78" s="548"/>
      <c r="BPJ78" s="548"/>
      <c r="BPK78" s="452"/>
      <c r="BPL78" s="596"/>
      <c r="BPM78" s="548"/>
      <c r="BPN78" s="548"/>
      <c r="BPO78" s="548"/>
      <c r="BPP78" s="548"/>
      <c r="BPQ78" s="548"/>
      <c r="BPR78" s="452"/>
      <c r="BPS78" s="596"/>
      <c r="BPT78" s="548"/>
      <c r="BPU78" s="548"/>
      <c r="BPV78" s="548"/>
      <c r="BPW78" s="548"/>
      <c r="BPX78" s="548"/>
      <c r="BPY78" s="452"/>
      <c r="BPZ78" s="596"/>
      <c r="BQA78" s="548"/>
      <c r="BQB78" s="548"/>
      <c r="BQC78" s="548"/>
      <c r="BQD78" s="548"/>
      <c r="BQE78" s="548"/>
      <c r="BQF78" s="452"/>
      <c r="BQG78" s="596"/>
      <c r="BQH78" s="548"/>
      <c r="BQI78" s="548"/>
      <c r="BQJ78" s="548"/>
      <c r="BQK78" s="548"/>
      <c r="BQL78" s="548"/>
      <c r="BQM78" s="452"/>
      <c r="BQN78" s="596"/>
      <c r="BQO78" s="548"/>
      <c r="BQP78" s="548"/>
      <c r="BQQ78" s="548"/>
      <c r="BQR78" s="548"/>
      <c r="BQS78" s="548"/>
      <c r="BQT78" s="452"/>
      <c r="BQU78" s="596"/>
      <c r="BQV78" s="548"/>
      <c r="BQW78" s="548"/>
      <c r="BQX78" s="548"/>
      <c r="BQY78" s="548"/>
      <c r="BQZ78" s="548"/>
      <c r="BRA78" s="452"/>
      <c r="BRB78" s="596"/>
      <c r="BRC78" s="548"/>
      <c r="BRD78" s="548"/>
      <c r="BRE78" s="548"/>
      <c r="BRF78" s="548"/>
      <c r="BRG78" s="548"/>
      <c r="BRH78" s="452"/>
      <c r="BRI78" s="596"/>
      <c r="BRJ78" s="548"/>
      <c r="BRK78" s="548"/>
      <c r="BRL78" s="548"/>
      <c r="BRM78" s="548"/>
      <c r="BRN78" s="548"/>
      <c r="BRO78" s="452"/>
      <c r="BRP78" s="596"/>
      <c r="BRQ78" s="548"/>
      <c r="BRR78" s="548"/>
      <c r="BRS78" s="548"/>
      <c r="BRT78" s="548"/>
      <c r="BRU78" s="548"/>
      <c r="BRV78" s="452"/>
      <c r="BRW78" s="596"/>
      <c r="BRX78" s="548"/>
      <c r="BRY78" s="548"/>
      <c r="BRZ78" s="548"/>
      <c r="BSA78" s="548"/>
      <c r="BSB78" s="548"/>
      <c r="BSC78" s="452"/>
      <c r="BSD78" s="596"/>
      <c r="BSE78" s="548"/>
      <c r="BSF78" s="548"/>
      <c r="BSG78" s="548"/>
      <c r="BSH78" s="548"/>
      <c r="BSI78" s="548"/>
      <c r="BSJ78" s="452"/>
      <c r="BSK78" s="596"/>
      <c r="BSL78" s="548"/>
      <c r="BSM78" s="548"/>
      <c r="BSN78" s="548"/>
      <c r="BSO78" s="548"/>
      <c r="BSP78" s="548"/>
      <c r="BSQ78" s="452"/>
      <c r="BSR78" s="596"/>
      <c r="BSS78" s="548"/>
      <c r="BST78" s="548"/>
      <c r="BSU78" s="548"/>
      <c r="BSV78" s="548"/>
      <c r="BSW78" s="548"/>
      <c r="BSX78" s="452"/>
      <c r="BSY78" s="596"/>
      <c r="BSZ78" s="548"/>
      <c r="BTA78" s="548"/>
      <c r="BTB78" s="548"/>
      <c r="BTC78" s="548"/>
      <c r="BTD78" s="548"/>
      <c r="BTE78" s="452"/>
      <c r="BTF78" s="596"/>
      <c r="BTG78" s="548"/>
      <c r="BTH78" s="548"/>
      <c r="BTI78" s="548"/>
      <c r="BTJ78" s="548"/>
      <c r="BTK78" s="548"/>
      <c r="BTL78" s="452"/>
      <c r="BTM78" s="596"/>
      <c r="BTN78" s="548"/>
      <c r="BTO78" s="548"/>
      <c r="BTP78" s="548"/>
      <c r="BTQ78" s="548"/>
      <c r="BTR78" s="548"/>
      <c r="BTS78" s="452"/>
      <c r="BTT78" s="596"/>
      <c r="BTU78" s="548"/>
      <c r="BTV78" s="548"/>
      <c r="BTW78" s="548"/>
      <c r="BTX78" s="548"/>
      <c r="BTY78" s="548"/>
      <c r="BTZ78" s="452"/>
      <c r="BUA78" s="596"/>
      <c r="BUB78" s="548"/>
      <c r="BUC78" s="548"/>
      <c r="BUD78" s="548"/>
      <c r="BUE78" s="548"/>
      <c r="BUF78" s="548"/>
      <c r="BUG78" s="452"/>
      <c r="BUH78" s="596"/>
      <c r="BUI78" s="548"/>
      <c r="BUJ78" s="548"/>
      <c r="BUK78" s="548"/>
      <c r="BUL78" s="548"/>
      <c r="BUM78" s="548"/>
      <c r="BUN78" s="452"/>
      <c r="BUO78" s="596"/>
      <c r="BUP78" s="548"/>
      <c r="BUQ78" s="548"/>
      <c r="BUR78" s="548"/>
      <c r="BUS78" s="548"/>
      <c r="BUT78" s="548"/>
      <c r="BUU78" s="452"/>
      <c r="BUV78" s="596"/>
      <c r="BUW78" s="548"/>
      <c r="BUX78" s="548"/>
      <c r="BUY78" s="548"/>
      <c r="BUZ78" s="548"/>
      <c r="BVA78" s="548"/>
      <c r="BVB78" s="452"/>
      <c r="BVC78" s="596"/>
      <c r="BVD78" s="548"/>
      <c r="BVE78" s="548"/>
      <c r="BVF78" s="548"/>
      <c r="BVG78" s="548"/>
      <c r="BVH78" s="548"/>
      <c r="BVI78" s="452"/>
      <c r="BVJ78" s="596"/>
      <c r="BVK78" s="548"/>
      <c r="BVL78" s="548"/>
      <c r="BVM78" s="548"/>
      <c r="BVN78" s="548"/>
      <c r="BVO78" s="548"/>
      <c r="BVP78" s="452"/>
      <c r="BVQ78" s="596"/>
      <c r="BVR78" s="548"/>
      <c r="BVS78" s="548"/>
      <c r="BVT78" s="548"/>
      <c r="BVU78" s="548"/>
      <c r="BVV78" s="548"/>
      <c r="BVW78" s="452"/>
      <c r="BVX78" s="596"/>
      <c r="BVY78" s="548"/>
      <c r="BVZ78" s="548"/>
      <c r="BWA78" s="548"/>
      <c r="BWB78" s="548"/>
      <c r="BWC78" s="548"/>
      <c r="BWD78" s="452"/>
      <c r="BWE78" s="596"/>
      <c r="BWF78" s="548"/>
      <c r="BWG78" s="548"/>
      <c r="BWH78" s="548"/>
      <c r="BWI78" s="548"/>
      <c r="BWJ78" s="548"/>
      <c r="BWK78" s="452"/>
      <c r="BWL78" s="596"/>
      <c r="BWM78" s="548"/>
      <c r="BWN78" s="548"/>
      <c r="BWO78" s="548"/>
      <c r="BWP78" s="548"/>
      <c r="BWQ78" s="548"/>
      <c r="BWR78" s="452"/>
      <c r="BWS78" s="596"/>
      <c r="BWT78" s="548"/>
      <c r="BWU78" s="548"/>
      <c r="BWV78" s="548"/>
      <c r="BWW78" s="548"/>
      <c r="BWX78" s="548"/>
      <c r="BWY78" s="452"/>
      <c r="BWZ78" s="596"/>
      <c r="BXA78" s="548"/>
      <c r="BXB78" s="548"/>
      <c r="BXC78" s="548"/>
      <c r="BXD78" s="548"/>
      <c r="BXE78" s="548"/>
      <c r="BXF78" s="452"/>
      <c r="BXG78" s="596"/>
      <c r="BXH78" s="548"/>
      <c r="BXI78" s="548"/>
      <c r="BXJ78" s="548"/>
      <c r="BXK78" s="548"/>
      <c r="BXL78" s="548"/>
      <c r="BXM78" s="452"/>
      <c r="BXN78" s="596"/>
      <c r="BXO78" s="548"/>
      <c r="BXP78" s="548"/>
      <c r="BXQ78" s="548"/>
      <c r="BXR78" s="548"/>
      <c r="BXS78" s="548"/>
      <c r="BXT78" s="452"/>
      <c r="BXU78" s="596"/>
      <c r="BXV78" s="548"/>
      <c r="BXW78" s="548"/>
      <c r="BXX78" s="548"/>
      <c r="BXY78" s="548"/>
      <c r="BXZ78" s="548"/>
      <c r="BYA78" s="452"/>
      <c r="BYB78" s="596"/>
      <c r="BYC78" s="548"/>
      <c r="BYD78" s="548"/>
      <c r="BYE78" s="548"/>
      <c r="BYF78" s="548"/>
      <c r="BYG78" s="548"/>
      <c r="BYH78" s="452"/>
      <c r="BYI78" s="596"/>
      <c r="BYJ78" s="548"/>
      <c r="BYK78" s="548"/>
      <c r="BYL78" s="548"/>
      <c r="BYM78" s="548"/>
      <c r="BYN78" s="548"/>
      <c r="BYO78" s="452"/>
      <c r="BYP78" s="596"/>
      <c r="BYQ78" s="548"/>
      <c r="BYR78" s="548"/>
      <c r="BYS78" s="548"/>
      <c r="BYT78" s="548"/>
      <c r="BYU78" s="548"/>
      <c r="BYV78" s="452"/>
      <c r="BYW78" s="596"/>
      <c r="BYX78" s="548"/>
      <c r="BYY78" s="548"/>
      <c r="BYZ78" s="548"/>
      <c r="BZA78" s="548"/>
      <c r="BZB78" s="548"/>
      <c r="BZC78" s="452"/>
      <c r="BZD78" s="596"/>
      <c r="BZE78" s="548"/>
      <c r="BZF78" s="548"/>
      <c r="BZG78" s="548"/>
      <c r="BZH78" s="548"/>
      <c r="BZI78" s="548"/>
      <c r="BZJ78" s="452"/>
      <c r="BZK78" s="596"/>
      <c r="BZL78" s="548"/>
      <c r="BZM78" s="548"/>
      <c r="BZN78" s="548"/>
      <c r="BZO78" s="548"/>
      <c r="BZP78" s="548"/>
      <c r="BZQ78" s="452"/>
      <c r="BZR78" s="596"/>
      <c r="BZS78" s="548"/>
      <c r="BZT78" s="548"/>
      <c r="BZU78" s="548"/>
      <c r="BZV78" s="548"/>
      <c r="BZW78" s="548"/>
      <c r="BZX78" s="452"/>
      <c r="BZY78" s="596"/>
      <c r="BZZ78" s="548"/>
      <c r="CAA78" s="548"/>
      <c r="CAB78" s="548"/>
      <c r="CAC78" s="548"/>
      <c r="CAD78" s="548"/>
      <c r="CAE78" s="452"/>
      <c r="CAF78" s="596"/>
      <c r="CAG78" s="548"/>
      <c r="CAH78" s="548"/>
      <c r="CAI78" s="548"/>
      <c r="CAJ78" s="548"/>
      <c r="CAK78" s="548"/>
      <c r="CAL78" s="452"/>
      <c r="CAM78" s="596"/>
      <c r="CAN78" s="548"/>
      <c r="CAO78" s="548"/>
      <c r="CAP78" s="548"/>
      <c r="CAQ78" s="548"/>
      <c r="CAR78" s="548"/>
      <c r="CAS78" s="452"/>
      <c r="CAT78" s="596"/>
      <c r="CAU78" s="548"/>
      <c r="CAV78" s="548"/>
      <c r="CAW78" s="548"/>
      <c r="CAX78" s="548"/>
      <c r="CAY78" s="548"/>
      <c r="CAZ78" s="452"/>
      <c r="CBA78" s="596"/>
      <c r="CBB78" s="548"/>
      <c r="CBC78" s="548"/>
      <c r="CBD78" s="548"/>
      <c r="CBE78" s="548"/>
      <c r="CBF78" s="548"/>
      <c r="CBG78" s="452"/>
      <c r="CBH78" s="596"/>
      <c r="CBI78" s="548"/>
      <c r="CBJ78" s="548"/>
      <c r="CBK78" s="548"/>
      <c r="CBL78" s="548"/>
      <c r="CBM78" s="548"/>
      <c r="CBN78" s="452"/>
      <c r="CBO78" s="596"/>
      <c r="CBP78" s="548"/>
      <c r="CBQ78" s="548"/>
      <c r="CBR78" s="548"/>
      <c r="CBS78" s="548"/>
      <c r="CBT78" s="548"/>
      <c r="CBU78" s="452"/>
      <c r="CBV78" s="596"/>
      <c r="CBW78" s="548"/>
      <c r="CBX78" s="548"/>
      <c r="CBY78" s="548"/>
      <c r="CBZ78" s="548"/>
      <c r="CCA78" s="548"/>
      <c r="CCB78" s="452"/>
      <c r="CCC78" s="596"/>
      <c r="CCD78" s="548"/>
      <c r="CCE78" s="548"/>
      <c r="CCF78" s="548"/>
      <c r="CCG78" s="548"/>
      <c r="CCH78" s="548"/>
      <c r="CCI78" s="452"/>
      <c r="CCJ78" s="596"/>
      <c r="CCK78" s="548"/>
      <c r="CCL78" s="548"/>
      <c r="CCM78" s="548"/>
      <c r="CCN78" s="548"/>
      <c r="CCO78" s="548"/>
      <c r="CCP78" s="452"/>
      <c r="CCQ78" s="596"/>
      <c r="CCR78" s="548"/>
      <c r="CCS78" s="548"/>
      <c r="CCT78" s="548"/>
      <c r="CCU78" s="548"/>
      <c r="CCV78" s="548"/>
      <c r="CCW78" s="452"/>
      <c r="CCX78" s="596"/>
      <c r="CCY78" s="548"/>
      <c r="CCZ78" s="548"/>
      <c r="CDA78" s="548"/>
      <c r="CDB78" s="548"/>
      <c r="CDC78" s="548"/>
      <c r="CDD78" s="452"/>
      <c r="CDE78" s="596"/>
      <c r="CDF78" s="548"/>
      <c r="CDG78" s="548"/>
      <c r="CDH78" s="548"/>
      <c r="CDI78" s="548"/>
      <c r="CDJ78" s="548"/>
      <c r="CDK78" s="452"/>
      <c r="CDL78" s="596"/>
      <c r="CDM78" s="548"/>
      <c r="CDN78" s="548"/>
      <c r="CDO78" s="548"/>
      <c r="CDP78" s="548"/>
      <c r="CDQ78" s="548"/>
      <c r="CDR78" s="452"/>
      <c r="CDS78" s="596"/>
      <c r="CDT78" s="548"/>
      <c r="CDU78" s="548"/>
      <c r="CDV78" s="548"/>
      <c r="CDW78" s="548"/>
      <c r="CDX78" s="548"/>
      <c r="CDY78" s="452"/>
      <c r="CDZ78" s="596"/>
      <c r="CEA78" s="548"/>
      <c r="CEB78" s="548"/>
      <c r="CEC78" s="548"/>
      <c r="CED78" s="548"/>
      <c r="CEE78" s="548"/>
      <c r="CEF78" s="452"/>
      <c r="CEG78" s="596"/>
      <c r="CEH78" s="548"/>
      <c r="CEI78" s="548"/>
      <c r="CEJ78" s="548"/>
      <c r="CEK78" s="548"/>
      <c r="CEL78" s="548"/>
      <c r="CEM78" s="452"/>
      <c r="CEN78" s="596"/>
      <c r="CEO78" s="548"/>
      <c r="CEP78" s="548"/>
      <c r="CEQ78" s="548"/>
      <c r="CER78" s="548"/>
      <c r="CES78" s="548"/>
      <c r="CET78" s="452"/>
      <c r="CEU78" s="596"/>
      <c r="CEV78" s="548"/>
      <c r="CEW78" s="548"/>
      <c r="CEX78" s="548"/>
      <c r="CEY78" s="548"/>
      <c r="CEZ78" s="548"/>
      <c r="CFA78" s="452"/>
      <c r="CFB78" s="596"/>
      <c r="CFC78" s="548"/>
      <c r="CFD78" s="548"/>
      <c r="CFE78" s="548"/>
      <c r="CFF78" s="548"/>
      <c r="CFG78" s="548"/>
      <c r="CFH78" s="452"/>
      <c r="CFI78" s="596"/>
      <c r="CFJ78" s="548"/>
      <c r="CFK78" s="548"/>
      <c r="CFL78" s="548"/>
      <c r="CFM78" s="548"/>
      <c r="CFN78" s="548"/>
      <c r="CFO78" s="452"/>
      <c r="CFP78" s="596"/>
      <c r="CFQ78" s="548"/>
      <c r="CFR78" s="548"/>
      <c r="CFS78" s="548"/>
      <c r="CFT78" s="548"/>
      <c r="CFU78" s="548"/>
      <c r="CFV78" s="452"/>
      <c r="CFW78" s="596"/>
      <c r="CFX78" s="548"/>
      <c r="CFY78" s="548"/>
      <c r="CFZ78" s="548"/>
      <c r="CGA78" s="548"/>
      <c r="CGB78" s="548"/>
      <c r="CGC78" s="452"/>
      <c r="CGD78" s="596"/>
      <c r="CGE78" s="548"/>
      <c r="CGF78" s="548"/>
      <c r="CGG78" s="548"/>
      <c r="CGH78" s="548"/>
      <c r="CGI78" s="548"/>
      <c r="CGJ78" s="452"/>
      <c r="CGK78" s="596"/>
      <c r="CGL78" s="548"/>
      <c r="CGM78" s="548"/>
      <c r="CGN78" s="548"/>
      <c r="CGO78" s="548"/>
      <c r="CGP78" s="548"/>
      <c r="CGQ78" s="452"/>
      <c r="CGR78" s="596"/>
      <c r="CGS78" s="548"/>
      <c r="CGT78" s="548"/>
      <c r="CGU78" s="548"/>
      <c r="CGV78" s="548"/>
      <c r="CGW78" s="548"/>
      <c r="CGX78" s="452"/>
      <c r="CGY78" s="596"/>
      <c r="CGZ78" s="548"/>
      <c r="CHA78" s="548"/>
      <c r="CHB78" s="548"/>
      <c r="CHC78" s="548"/>
      <c r="CHD78" s="548"/>
      <c r="CHE78" s="452"/>
      <c r="CHF78" s="596"/>
      <c r="CHG78" s="548"/>
      <c r="CHH78" s="548"/>
      <c r="CHI78" s="548"/>
      <c r="CHJ78" s="548"/>
      <c r="CHK78" s="548"/>
      <c r="CHL78" s="452"/>
      <c r="CHM78" s="596"/>
      <c r="CHN78" s="548"/>
      <c r="CHO78" s="548"/>
      <c r="CHP78" s="548"/>
      <c r="CHQ78" s="548"/>
      <c r="CHR78" s="548"/>
      <c r="CHS78" s="452"/>
      <c r="CHT78" s="596"/>
      <c r="CHU78" s="548"/>
      <c r="CHV78" s="548"/>
      <c r="CHW78" s="548"/>
      <c r="CHX78" s="548"/>
      <c r="CHY78" s="548"/>
      <c r="CHZ78" s="452"/>
      <c r="CIA78" s="596"/>
      <c r="CIB78" s="548"/>
      <c r="CIC78" s="548"/>
      <c r="CID78" s="548"/>
      <c r="CIE78" s="548"/>
      <c r="CIF78" s="548"/>
      <c r="CIG78" s="452"/>
      <c r="CIH78" s="596"/>
      <c r="CII78" s="548"/>
      <c r="CIJ78" s="548"/>
      <c r="CIK78" s="548"/>
      <c r="CIL78" s="548"/>
      <c r="CIM78" s="548"/>
      <c r="CIN78" s="452"/>
      <c r="CIO78" s="596"/>
      <c r="CIP78" s="548"/>
      <c r="CIQ78" s="548"/>
      <c r="CIR78" s="548"/>
      <c r="CIS78" s="548"/>
      <c r="CIT78" s="548"/>
      <c r="CIU78" s="452"/>
      <c r="CIV78" s="596"/>
      <c r="CIW78" s="548"/>
      <c r="CIX78" s="548"/>
      <c r="CIY78" s="548"/>
      <c r="CIZ78" s="548"/>
      <c r="CJA78" s="548"/>
      <c r="CJB78" s="452"/>
      <c r="CJC78" s="596"/>
      <c r="CJD78" s="548"/>
      <c r="CJE78" s="548"/>
      <c r="CJF78" s="548"/>
      <c r="CJG78" s="548"/>
      <c r="CJH78" s="548"/>
      <c r="CJI78" s="452"/>
      <c r="CJJ78" s="596"/>
      <c r="CJK78" s="548"/>
      <c r="CJL78" s="548"/>
      <c r="CJM78" s="548"/>
      <c r="CJN78" s="548"/>
      <c r="CJO78" s="548"/>
      <c r="CJP78" s="452"/>
      <c r="CJQ78" s="596"/>
      <c r="CJR78" s="548"/>
      <c r="CJS78" s="548"/>
      <c r="CJT78" s="548"/>
      <c r="CJU78" s="548"/>
      <c r="CJV78" s="548"/>
      <c r="CJW78" s="452"/>
      <c r="CJX78" s="596"/>
      <c r="CJY78" s="548"/>
      <c r="CJZ78" s="548"/>
      <c r="CKA78" s="548"/>
      <c r="CKB78" s="548"/>
      <c r="CKC78" s="548"/>
      <c r="CKD78" s="452"/>
      <c r="CKE78" s="596"/>
      <c r="CKF78" s="548"/>
      <c r="CKG78" s="548"/>
      <c r="CKH78" s="548"/>
      <c r="CKI78" s="548"/>
      <c r="CKJ78" s="548"/>
      <c r="CKK78" s="452"/>
      <c r="CKL78" s="596"/>
      <c r="CKM78" s="548"/>
      <c r="CKN78" s="548"/>
      <c r="CKO78" s="548"/>
      <c r="CKP78" s="548"/>
      <c r="CKQ78" s="548"/>
      <c r="CKR78" s="452"/>
      <c r="CKS78" s="596"/>
      <c r="CKT78" s="548"/>
      <c r="CKU78" s="548"/>
      <c r="CKV78" s="548"/>
      <c r="CKW78" s="548"/>
      <c r="CKX78" s="548"/>
      <c r="CKY78" s="452"/>
      <c r="CKZ78" s="596"/>
      <c r="CLA78" s="548"/>
      <c r="CLB78" s="548"/>
      <c r="CLC78" s="548"/>
      <c r="CLD78" s="548"/>
      <c r="CLE78" s="548"/>
      <c r="CLF78" s="452"/>
      <c r="CLG78" s="596"/>
      <c r="CLH78" s="548"/>
      <c r="CLI78" s="548"/>
      <c r="CLJ78" s="548"/>
      <c r="CLK78" s="548"/>
      <c r="CLL78" s="548"/>
      <c r="CLM78" s="452"/>
      <c r="CLN78" s="596"/>
      <c r="CLO78" s="548"/>
      <c r="CLP78" s="548"/>
      <c r="CLQ78" s="548"/>
      <c r="CLR78" s="548"/>
      <c r="CLS78" s="548"/>
      <c r="CLT78" s="452"/>
      <c r="CLU78" s="596"/>
      <c r="CLV78" s="548"/>
      <c r="CLW78" s="548"/>
      <c r="CLX78" s="548"/>
      <c r="CLY78" s="548"/>
      <c r="CLZ78" s="548"/>
      <c r="CMA78" s="452"/>
      <c r="CMB78" s="596"/>
      <c r="CMC78" s="548"/>
      <c r="CMD78" s="548"/>
      <c r="CME78" s="548"/>
      <c r="CMF78" s="548"/>
      <c r="CMG78" s="548"/>
      <c r="CMH78" s="452"/>
      <c r="CMI78" s="596"/>
      <c r="CMJ78" s="548"/>
      <c r="CMK78" s="548"/>
      <c r="CML78" s="548"/>
      <c r="CMM78" s="548"/>
      <c r="CMN78" s="548"/>
      <c r="CMO78" s="452"/>
      <c r="CMP78" s="596"/>
      <c r="CMQ78" s="548"/>
      <c r="CMR78" s="548"/>
      <c r="CMS78" s="548"/>
      <c r="CMT78" s="548"/>
      <c r="CMU78" s="548"/>
      <c r="CMV78" s="452"/>
      <c r="CMW78" s="596"/>
      <c r="CMX78" s="548"/>
      <c r="CMY78" s="548"/>
      <c r="CMZ78" s="548"/>
      <c r="CNA78" s="548"/>
      <c r="CNB78" s="548"/>
      <c r="CNC78" s="452"/>
      <c r="CND78" s="596"/>
      <c r="CNE78" s="548"/>
      <c r="CNF78" s="548"/>
      <c r="CNG78" s="548"/>
      <c r="CNH78" s="548"/>
      <c r="CNI78" s="548"/>
      <c r="CNJ78" s="452"/>
      <c r="CNK78" s="596"/>
      <c r="CNL78" s="548"/>
      <c r="CNM78" s="548"/>
      <c r="CNN78" s="548"/>
      <c r="CNO78" s="548"/>
      <c r="CNP78" s="548"/>
      <c r="CNQ78" s="452"/>
      <c r="CNR78" s="596"/>
      <c r="CNS78" s="548"/>
      <c r="CNT78" s="548"/>
      <c r="CNU78" s="548"/>
      <c r="CNV78" s="548"/>
      <c r="CNW78" s="548"/>
      <c r="CNX78" s="452"/>
      <c r="CNY78" s="596"/>
      <c r="CNZ78" s="548"/>
      <c r="COA78" s="548"/>
      <c r="COB78" s="548"/>
      <c r="COC78" s="548"/>
      <c r="COD78" s="548"/>
      <c r="COE78" s="452"/>
      <c r="COF78" s="596"/>
      <c r="COG78" s="548"/>
      <c r="COH78" s="548"/>
      <c r="COI78" s="548"/>
      <c r="COJ78" s="548"/>
      <c r="COK78" s="548"/>
      <c r="COL78" s="452"/>
      <c r="COM78" s="596"/>
      <c r="CON78" s="548"/>
      <c r="COO78" s="548"/>
      <c r="COP78" s="548"/>
      <c r="COQ78" s="548"/>
      <c r="COR78" s="548"/>
      <c r="COS78" s="452"/>
      <c r="COT78" s="596"/>
      <c r="COU78" s="548"/>
      <c r="COV78" s="548"/>
      <c r="COW78" s="548"/>
      <c r="COX78" s="548"/>
      <c r="COY78" s="548"/>
      <c r="COZ78" s="452"/>
      <c r="CPA78" s="596"/>
      <c r="CPB78" s="548"/>
      <c r="CPC78" s="548"/>
      <c r="CPD78" s="548"/>
      <c r="CPE78" s="548"/>
      <c r="CPF78" s="548"/>
      <c r="CPG78" s="452"/>
      <c r="CPH78" s="596"/>
      <c r="CPI78" s="548"/>
      <c r="CPJ78" s="548"/>
      <c r="CPK78" s="548"/>
      <c r="CPL78" s="548"/>
      <c r="CPM78" s="548"/>
      <c r="CPN78" s="452"/>
      <c r="CPO78" s="596"/>
      <c r="CPP78" s="548"/>
      <c r="CPQ78" s="548"/>
      <c r="CPR78" s="548"/>
      <c r="CPS78" s="548"/>
      <c r="CPT78" s="548"/>
      <c r="CPU78" s="452"/>
      <c r="CPV78" s="596"/>
      <c r="CPW78" s="548"/>
      <c r="CPX78" s="548"/>
      <c r="CPY78" s="548"/>
      <c r="CPZ78" s="548"/>
      <c r="CQA78" s="548"/>
      <c r="CQB78" s="452"/>
      <c r="CQC78" s="596"/>
      <c r="CQD78" s="548"/>
      <c r="CQE78" s="548"/>
      <c r="CQF78" s="548"/>
      <c r="CQG78" s="548"/>
      <c r="CQH78" s="548"/>
      <c r="CQI78" s="452"/>
      <c r="CQJ78" s="596"/>
      <c r="CQK78" s="548"/>
      <c r="CQL78" s="548"/>
      <c r="CQM78" s="548"/>
      <c r="CQN78" s="548"/>
      <c r="CQO78" s="548"/>
      <c r="CQP78" s="452"/>
      <c r="CQQ78" s="596"/>
      <c r="CQR78" s="548"/>
      <c r="CQS78" s="548"/>
      <c r="CQT78" s="548"/>
      <c r="CQU78" s="548"/>
      <c r="CQV78" s="548"/>
      <c r="CQW78" s="452"/>
      <c r="CQX78" s="596"/>
      <c r="CQY78" s="548"/>
      <c r="CQZ78" s="548"/>
      <c r="CRA78" s="548"/>
      <c r="CRB78" s="548"/>
      <c r="CRC78" s="548"/>
      <c r="CRD78" s="452"/>
      <c r="CRE78" s="596"/>
      <c r="CRF78" s="548"/>
      <c r="CRG78" s="548"/>
      <c r="CRH78" s="548"/>
      <c r="CRI78" s="548"/>
      <c r="CRJ78" s="548"/>
      <c r="CRK78" s="452"/>
      <c r="CRL78" s="596"/>
      <c r="CRM78" s="548"/>
      <c r="CRN78" s="548"/>
      <c r="CRO78" s="548"/>
      <c r="CRP78" s="548"/>
      <c r="CRQ78" s="548"/>
      <c r="CRR78" s="452"/>
      <c r="CRS78" s="596"/>
      <c r="CRT78" s="548"/>
      <c r="CRU78" s="548"/>
      <c r="CRV78" s="548"/>
      <c r="CRW78" s="548"/>
      <c r="CRX78" s="548"/>
      <c r="CRY78" s="452"/>
      <c r="CRZ78" s="596"/>
      <c r="CSA78" s="548"/>
      <c r="CSB78" s="548"/>
      <c r="CSC78" s="548"/>
      <c r="CSD78" s="548"/>
      <c r="CSE78" s="548"/>
      <c r="CSF78" s="452"/>
      <c r="CSG78" s="596"/>
      <c r="CSH78" s="548"/>
      <c r="CSI78" s="548"/>
      <c r="CSJ78" s="548"/>
      <c r="CSK78" s="548"/>
      <c r="CSL78" s="548"/>
      <c r="CSM78" s="452"/>
      <c r="CSN78" s="596"/>
      <c r="CSO78" s="548"/>
      <c r="CSP78" s="548"/>
      <c r="CSQ78" s="548"/>
      <c r="CSR78" s="548"/>
      <c r="CSS78" s="548"/>
      <c r="CST78" s="452"/>
      <c r="CSU78" s="596"/>
      <c r="CSV78" s="548"/>
      <c r="CSW78" s="548"/>
      <c r="CSX78" s="548"/>
      <c r="CSY78" s="548"/>
      <c r="CSZ78" s="548"/>
      <c r="CTA78" s="452"/>
      <c r="CTB78" s="596"/>
      <c r="CTC78" s="548"/>
      <c r="CTD78" s="548"/>
      <c r="CTE78" s="548"/>
      <c r="CTF78" s="548"/>
      <c r="CTG78" s="548"/>
      <c r="CTH78" s="452"/>
      <c r="CTI78" s="596"/>
      <c r="CTJ78" s="548"/>
      <c r="CTK78" s="548"/>
      <c r="CTL78" s="548"/>
      <c r="CTM78" s="548"/>
      <c r="CTN78" s="548"/>
      <c r="CTO78" s="452"/>
      <c r="CTP78" s="596"/>
      <c r="CTQ78" s="548"/>
      <c r="CTR78" s="548"/>
      <c r="CTS78" s="548"/>
      <c r="CTT78" s="548"/>
      <c r="CTU78" s="548"/>
      <c r="CTV78" s="452"/>
      <c r="CTW78" s="596"/>
      <c r="CTX78" s="548"/>
      <c r="CTY78" s="548"/>
      <c r="CTZ78" s="548"/>
      <c r="CUA78" s="548"/>
      <c r="CUB78" s="548"/>
      <c r="CUC78" s="452"/>
      <c r="CUD78" s="596"/>
      <c r="CUE78" s="548"/>
      <c r="CUF78" s="548"/>
      <c r="CUG78" s="548"/>
      <c r="CUH78" s="548"/>
      <c r="CUI78" s="548"/>
      <c r="CUJ78" s="452"/>
      <c r="CUK78" s="596"/>
      <c r="CUL78" s="548"/>
      <c r="CUM78" s="548"/>
      <c r="CUN78" s="548"/>
      <c r="CUO78" s="548"/>
      <c r="CUP78" s="548"/>
      <c r="CUQ78" s="452"/>
      <c r="CUR78" s="596"/>
      <c r="CUS78" s="548"/>
      <c r="CUT78" s="548"/>
      <c r="CUU78" s="548"/>
      <c r="CUV78" s="548"/>
      <c r="CUW78" s="548"/>
      <c r="CUX78" s="452"/>
      <c r="CUY78" s="596"/>
      <c r="CUZ78" s="548"/>
      <c r="CVA78" s="548"/>
      <c r="CVB78" s="548"/>
      <c r="CVC78" s="548"/>
      <c r="CVD78" s="548"/>
      <c r="CVE78" s="452"/>
      <c r="CVF78" s="596"/>
      <c r="CVG78" s="548"/>
      <c r="CVH78" s="548"/>
      <c r="CVI78" s="548"/>
      <c r="CVJ78" s="548"/>
      <c r="CVK78" s="548"/>
      <c r="CVL78" s="452"/>
      <c r="CVM78" s="596"/>
      <c r="CVN78" s="548"/>
      <c r="CVO78" s="548"/>
      <c r="CVP78" s="548"/>
      <c r="CVQ78" s="548"/>
      <c r="CVR78" s="548"/>
      <c r="CVS78" s="452"/>
      <c r="CVT78" s="596"/>
      <c r="CVU78" s="548"/>
      <c r="CVV78" s="548"/>
      <c r="CVW78" s="548"/>
      <c r="CVX78" s="548"/>
      <c r="CVY78" s="548"/>
      <c r="CVZ78" s="452"/>
      <c r="CWA78" s="596"/>
      <c r="CWB78" s="548"/>
      <c r="CWC78" s="548"/>
      <c r="CWD78" s="548"/>
      <c r="CWE78" s="548"/>
      <c r="CWF78" s="548"/>
      <c r="CWG78" s="452"/>
      <c r="CWH78" s="596"/>
      <c r="CWI78" s="548"/>
      <c r="CWJ78" s="548"/>
      <c r="CWK78" s="548"/>
      <c r="CWL78" s="548"/>
      <c r="CWM78" s="548"/>
      <c r="CWN78" s="452"/>
      <c r="CWO78" s="596"/>
      <c r="CWP78" s="548"/>
      <c r="CWQ78" s="548"/>
      <c r="CWR78" s="548"/>
      <c r="CWS78" s="548"/>
      <c r="CWT78" s="548"/>
      <c r="CWU78" s="452"/>
      <c r="CWV78" s="596"/>
      <c r="CWW78" s="548"/>
      <c r="CWX78" s="548"/>
      <c r="CWY78" s="548"/>
      <c r="CWZ78" s="548"/>
      <c r="CXA78" s="548"/>
      <c r="CXB78" s="452"/>
      <c r="CXC78" s="596"/>
      <c r="CXD78" s="548"/>
      <c r="CXE78" s="548"/>
      <c r="CXF78" s="548"/>
      <c r="CXG78" s="548"/>
      <c r="CXH78" s="548"/>
      <c r="CXI78" s="452"/>
      <c r="CXJ78" s="596"/>
      <c r="CXK78" s="548"/>
      <c r="CXL78" s="548"/>
      <c r="CXM78" s="548"/>
      <c r="CXN78" s="548"/>
      <c r="CXO78" s="548"/>
      <c r="CXP78" s="452"/>
      <c r="CXQ78" s="596"/>
      <c r="CXR78" s="548"/>
      <c r="CXS78" s="548"/>
      <c r="CXT78" s="548"/>
      <c r="CXU78" s="548"/>
      <c r="CXV78" s="548"/>
      <c r="CXW78" s="452"/>
      <c r="CXX78" s="596"/>
      <c r="CXY78" s="548"/>
      <c r="CXZ78" s="548"/>
      <c r="CYA78" s="548"/>
      <c r="CYB78" s="548"/>
      <c r="CYC78" s="548"/>
      <c r="CYD78" s="452"/>
      <c r="CYE78" s="596"/>
      <c r="CYF78" s="548"/>
      <c r="CYG78" s="548"/>
      <c r="CYH78" s="548"/>
      <c r="CYI78" s="548"/>
      <c r="CYJ78" s="548"/>
      <c r="CYK78" s="452"/>
      <c r="CYL78" s="596"/>
      <c r="CYM78" s="548"/>
      <c r="CYN78" s="548"/>
      <c r="CYO78" s="548"/>
      <c r="CYP78" s="548"/>
      <c r="CYQ78" s="548"/>
      <c r="CYR78" s="452"/>
      <c r="CYS78" s="596"/>
      <c r="CYT78" s="548"/>
      <c r="CYU78" s="548"/>
      <c r="CYV78" s="548"/>
      <c r="CYW78" s="548"/>
      <c r="CYX78" s="548"/>
      <c r="CYY78" s="452"/>
      <c r="CYZ78" s="596"/>
      <c r="CZA78" s="548"/>
      <c r="CZB78" s="548"/>
      <c r="CZC78" s="548"/>
      <c r="CZD78" s="548"/>
      <c r="CZE78" s="548"/>
      <c r="CZF78" s="452"/>
      <c r="CZG78" s="596"/>
      <c r="CZH78" s="548"/>
      <c r="CZI78" s="548"/>
      <c r="CZJ78" s="548"/>
      <c r="CZK78" s="548"/>
      <c r="CZL78" s="548"/>
      <c r="CZM78" s="452"/>
      <c r="CZN78" s="596"/>
      <c r="CZO78" s="548"/>
      <c r="CZP78" s="548"/>
      <c r="CZQ78" s="548"/>
      <c r="CZR78" s="548"/>
      <c r="CZS78" s="548"/>
      <c r="CZT78" s="452"/>
      <c r="CZU78" s="596"/>
      <c r="CZV78" s="548"/>
      <c r="CZW78" s="548"/>
      <c r="CZX78" s="548"/>
      <c r="CZY78" s="548"/>
      <c r="CZZ78" s="548"/>
      <c r="DAA78" s="452"/>
      <c r="DAB78" s="596"/>
      <c r="DAC78" s="548"/>
      <c r="DAD78" s="548"/>
      <c r="DAE78" s="548"/>
      <c r="DAF78" s="548"/>
      <c r="DAG78" s="548"/>
      <c r="DAH78" s="452"/>
      <c r="DAI78" s="596"/>
      <c r="DAJ78" s="548"/>
      <c r="DAK78" s="548"/>
      <c r="DAL78" s="548"/>
      <c r="DAM78" s="548"/>
      <c r="DAN78" s="548"/>
      <c r="DAO78" s="452"/>
      <c r="DAP78" s="596"/>
      <c r="DAQ78" s="548"/>
      <c r="DAR78" s="548"/>
      <c r="DAS78" s="548"/>
      <c r="DAT78" s="548"/>
      <c r="DAU78" s="548"/>
      <c r="DAV78" s="452"/>
      <c r="DAW78" s="596"/>
      <c r="DAX78" s="548"/>
      <c r="DAY78" s="548"/>
      <c r="DAZ78" s="548"/>
      <c r="DBA78" s="548"/>
      <c r="DBB78" s="548"/>
      <c r="DBC78" s="452"/>
      <c r="DBD78" s="596"/>
      <c r="DBE78" s="548"/>
      <c r="DBF78" s="548"/>
      <c r="DBG78" s="548"/>
      <c r="DBH78" s="548"/>
      <c r="DBI78" s="548"/>
      <c r="DBJ78" s="452"/>
      <c r="DBK78" s="596"/>
      <c r="DBL78" s="548"/>
      <c r="DBM78" s="548"/>
      <c r="DBN78" s="548"/>
      <c r="DBO78" s="548"/>
      <c r="DBP78" s="548"/>
      <c r="DBQ78" s="452"/>
      <c r="DBR78" s="596"/>
      <c r="DBS78" s="548"/>
      <c r="DBT78" s="548"/>
      <c r="DBU78" s="548"/>
      <c r="DBV78" s="548"/>
      <c r="DBW78" s="548"/>
      <c r="DBX78" s="452"/>
      <c r="DBY78" s="596"/>
      <c r="DBZ78" s="548"/>
      <c r="DCA78" s="548"/>
      <c r="DCB78" s="548"/>
      <c r="DCC78" s="548"/>
      <c r="DCD78" s="548"/>
      <c r="DCE78" s="452"/>
      <c r="DCF78" s="596"/>
      <c r="DCG78" s="548"/>
      <c r="DCH78" s="548"/>
      <c r="DCI78" s="548"/>
      <c r="DCJ78" s="548"/>
      <c r="DCK78" s="548"/>
      <c r="DCL78" s="452"/>
      <c r="DCM78" s="596"/>
      <c r="DCN78" s="548"/>
      <c r="DCO78" s="548"/>
      <c r="DCP78" s="548"/>
      <c r="DCQ78" s="548"/>
      <c r="DCR78" s="548"/>
      <c r="DCS78" s="452"/>
      <c r="DCT78" s="596"/>
      <c r="DCU78" s="548"/>
      <c r="DCV78" s="548"/>
      <c r="DCW78" s="548"/>
      <c r="DCX78" s="548"/>
      <c r="DCY78" s="548"/>
      <c r="DCZ78" s="452"/>
      <c r="DDA78" s="596"/>
      <c r="DDB78" s="548"/>
      <c r="DDC78" s="548"/>
      <c r="DDD78" s="548"/>
      <c r="DDE78" s="548"/>
      <c r="DDF78" s="548"/>
      <c r="DDG78" s="452"/>
      <c r="DDH78" s="596"/>
      <c r="DDI78" s="548"/>
      <c r="DDJ78" s="548"/>
      <c r="DDK78" s="548"/>
      <c r="DDL78" s="548"/>
      <c r="DDM78" s="548"/>
      <c r="DDN78" s="452"/>
      <c r="DDO78" s="596"/>
      <c r="DDP78" s="548"/>
      <c r="DDQ78" s="548"/>
      <c r="DDR78" s="548"/>
      <c r="DDS78" s="548"/>
      <c r="DDT78" s="548"/>
      <c r="DDU78" s="452"/>
      <c r="DDV78" s="596"/>
      <c r="DDW78" s="548"/>
      <c r="DDX78" s="548"/>
      <c r="DDY78" s="548"/>
      <c r="DDZ78" s="548"/>
      <c r="DEA78" s="548"/>
      <c r="DEB78" s="452"/>
      <c r="DEC78" s="596"/>
      <c r="DED78" s="548"/>
      <c r="DEE78" s="548"/>
      <c r="DEF78" s="548"/>
      <c r="DEG78" s="548"/>
      <c r="DEH78" s="548"/>
      <c r="DEI78" s="452"/>
      <c r="DEJ78" s="596"/>
      <c r="DEK78" s="548"/>
      <c r="DEL78" s="548"/>
      <c r="DEM78" s="548"/>
      <c r="DEN78" s="548"/>
      <c r="DEO78" s="548"/>
      <c r="DEP78" s="452"/>
      <c r="DEQ78" s="596"/>
      <c r="DER78" s="548"/>
      <c r="DES78" s="548"/>
      <c r="DET78" s="548"/>
      <c r="DEU78" s="548"/>
      <c r="DEV78" s="548"/>
      <c r="DEW78" s="452"/>
      <c r="DEX78" s="596"/>
      <c r="DEY78" s="548"/>
      <c r="DEZ78" s="548"/>
      <c r="DFA78" s="548"/>
      <c r="DFB78" s="548"/>
      <c r="DFC78" s="548"/>
      <c r="DFD78" s="452"/>
      <c r="DFE78" s="596"/>
      <c r="DFF78" s="548"/>
      <c r="DFG78" s="548"/>
      <c r="DFH78" s="548"/>
      <c r="DFI78" s="548"/>
      <c r="DFJ78" s="548"/>
      <c r="DFK78" s="452"/>
      <c r="DFL78" s="596"/>
      <c r="DFM78" s="548"/>
      <c r="DFN78" s="548"/>
      <c r="DFO78" s="548"/>
      <c r="DFP78" s="548"/>
      <c r="DFQ78" s="548"/>
      <c r="DFR78" s="452"/>
      <c r="DFS78" s="596"/>
      <c r="DFT78" s="548"/>
      <c r="DFU78" s="548"/>
      <c r="DFV78" s="548"/>
      <c r="DFW78" s="548"/>
      <c r="DFX78" s="548"/>
      <c r="DFY78" s="452"/>
      <c r="DFZ78" s="596"/>
      <c r="DGA78" s="548"/>
      <c r="DGB78" s="548"/>
      <c r="DGC78" s="548"/>
      <c r="DGD78" s="548"/>
      <c r="DGE78" s="548"/>
      <c r="DGF78" s="452"/>
      <c r="DGG78" s="596"/>
      <c r="DGH78" s="548"/>
      <c r="DGI78" s="548"/>
      <c r="DGJ78" s="548"/>
      <c r="DGK78" s="548"/>
      <c r="DGL78" s="548"/>
      <c r="DGM78" s="452"/>
      <c r="DGN78" s="596"/>
      <c r="DGO78" s="548"/>
      <c r="DGP78" s="548"/>
      <c r="DGQ78" s="548"/>
      <c r="DGR78" s="548"/>
      <c r="DGS78" s="548"/>
      <c r="DGT78" s="452"/>
      <c r="DGU78" s="596"/>
      <c r="DGV78" s="548"/>
      <c r="DGW78" s="548"/>
      <c r="DGX78" s="548"/>
      <c r="DGY78" s="548"/>
      <c r="DGZ78" s="548"/>
      <c r="DHA78" s="452"/>
      <c r="DHB78" s="596"/>
      <c r="DHC78" s="548"/>
      <c r="DHD78" s="548"/>
      <c r="DHE78" s="548"/>
      <c r="DHF78" s="548"/>
      <c r="DHG78" s="548"/>
      <c r="DHH78" s="452"/>
      <c r="DHI78" s="596"/>
      <c r="DHJ78" s="548"/>
      <c r="DHK78" s="548"/>
      <c r="DHL78" s="548"/>
      <c r="DHM78" s="548"/>
      <c r="DHN78" s="548"/>
      <c r="DHO78" s="452"/>
      <c r="DHP78" s="596"/>
      <c r="DHQ78" s="548"/>
      <c r="DHR78" s="548"/>
      <c r="DHS78" s="548"/>
      <c r="DHT78" s="548"/>
      <c r="DHU78" s="548"/>
      <c r="DHV78" s="452"/>
      <c r="DHW78" s="596"/>
      <c r="DHX78" s="548"/>
      <c r="DHY78" s="548"/>
      <c r="DHZ78" s="548"/>
      <c r="DIA78" s="548"/>
      <c r="DIB78" s="548"/>
      <c r="DIC78" s="452"/>
      <c r="DID78" s="596"/>
      <c r="DIE78" s="548"/>
      <c r="DIF78" s="548"/>
      <c r="DIG78" s="548"/>
      <c r="DIH78" s="548"/>
      <c r="DII78" s="548"/>
      <c r="DIJ78" s="452"/>
      <c r="DIK78" s="596"/>
      <c r="DIL78" s="548"/>
      <c r="DIM78" s="548"/>
      <c r="DIN78" s="548"/>
      <c r="DIO78" s="548"/>
      <c r="DIP78" s="548"/>
      <c r="DIQ78" s="452"/>
      <c r="DIR78" s="596"/>
      <c r="DIS78" s="548"/>
      <c r="DIT78" s="548"/>
      <c r="DIU78" s="548"/>
      <c r="DIV78" s="548"/>
      <c r="DIW78" s="548"/>
      <c r="DIX78" s="452"/>
      <c r="DIY78" s="596"/>
      <c r="DIZ78" s="548"/>
      <c r="DJA78" s="548"/>
      <c r="DJB78" s="548"/>
      <c r="DJC78" s="548"/>
      <c r="DJD78" s="548"/>
      <c r="DJE78" s="452"/>
      <c r="DJF78" s="596"/>
      <c r="DJG78" s="548"/>
      <c r="DJH78" s="548"/>
      <c r="DJI78" s="548"/>
      <c r="DJJ78" s="548"/>
      <c r="DJK78" s="548"/>
      <c r="DJL78" s="452"/>
      <c r="DJM78" s="596"/>
      <c r="DJN78" s="548"/>
      <c r="DJO78" s="548"/>
      <c r="DJP78" s="548"/>
      <c r="DJQ78" s="548"/>
      <c r="DJR78" s="548"/>
      <c r="DJS78" s="452"/>
      <c r="DJT78" s="596"/>
      <c r="DJU78" s="548"/>
      <c r="DJV78" s="548"/>
      <c r="DJW78" s="548"/>
      <c r="DJX78" s="548"/>
      <c r="DJY78" s="548"/>
      <c r="DJZ78" s="452"/>
      <c r="DKA78" s="596"/>
      <c r="DKB78" s="548"/>
      <c r="DKC78" s="548"/>
      <c r="DKD78" s="548"/>
      <c r="DKE78" s="548"/>
      <c r="DKF78" s="548"/>
      <c r="DKG78" s="452"/>
      <c r="DKH78" s="596"/>
      <c r="DKI78" s="548"/>
      <c r="DKJ78" s="548"/>
      <c r="DKK78" s="548"/>
      <c r="DKL78" s="548"/>
      <c r="DKM78" s="548"/>
      <c r="DKN78" s="452"/>
      <c r="DKO78" s="596"/>
      <c r="DKP78" s="548"/>
      <c r="DKQ78" s="548"/>
      <c r="DKR78" s="548"/>
      <c r="DKS78" s="548"/>
      <c r="DKT78" s="548"/>
      <c r="DKU78" s="452"/>
      <c r="DKV78" s="596"/>
      <c r="DKW78" s="548"/>
      <c r="DKX78" s="548"/>
      <c r="DKY78" s="548"/>
      <c r="DKZ78" s="548"/>
      <c r="DLA78" s="548"/>
      <c r="DLB78" s="452"/>
      <c r="DLC78" s="596"/>
      <c r="DLD78" s="548"/>
      <c r="DLE78" s="548"/>
      <c r="DLF78" s="548"/>
      <c r="DLG78" s="548"/>
      <c r="DLH78" s="548"/>
      <c r="DLI78" s="452"/>
      <c r="DLJ78" s="596"/>
      <c r="DLK78" s="548"/>
      <c r="DLL78" s="548"/>
      <c r="DLM78" s="548"/>
      <c r="DLN78" s="548"/>
      <c r="DLO78" s="548"/>
      <c r="DLP78" s="452"/>
      <c r="DLQ78" s="596"/>
      <c r="DLR78" s="548"/>
      <c r="DLS78" s="548"/>
      <c r="DLT78" s="548"/>
      <c r="DLU78" s="548"/>
      <c r="DLV78" s="548"/>
      <c r="DLW78" s="452"/>
      <c r="DLX78" s="596"/>
      <c r="DLY78" s="548"/>
      <c r="DLZ78" s="548"/>
      <c r="DMA78" s="548"/>
      <c r="DMB78" s="548"/>
      <c r="DMC78" s="548"/>
      <c r="DMD78" s="452"/>
      <c r="DME78" s="596"/>
      <c r="DMF78" s="548"/>
      <c r="DMG78" s="548"/>
      <c r="DMH78" s="548"/>
      <c r="DMI78" s="548"/>
      <c r="DMJ78" s="548"/>
      <c r="DMK78" s="452"/>
      <c r="DML78" s="596"/>
      <c r="DMM78" s="548"/>
      <c r="DMN78" s="548"/>
      <c r="DMO78" s="548"/>
      <c r="DMP78" s="548"/>
      <c r="DMQ78" s="548"/>
      <c r="DMR78" s="452"/>
      <c r="DMS78" s="596"/>
      <c r="DMT78" s="548"/>
      <c r="DMU78" s="548"/>
      <c r="DMV78" s="548"/>
      <c r="DMW78" s="548"/>
      <c r="DMX78" s="548"/>
      <c r="DMY78" s="452"/>
      <c r="DMZ78" s="596"/>
      <c r="DNA78" s="548"/>
      <c r="DNB78" s="548"/>
      <c r="DNC78" s="548"/>
      <c r="DND78" s="548"/>
      <c r="DNE78" s="548"/>
      <c r="DNF78" s="452"/>
      <c r="DNG78" s="596"/>
      <c r="DNH78" s="548"/>
      <c r="DNI78" s="548"/>
      <c r="DNJ78" s="548"/>
      <c r="DNK78" s="548"/>
      <c r="DNL78" s="548"/>
      <c r="DNM78" s="452"/>
      <c r="DNN78" s="596"/>
      <c r="DNO78" s="548"/>
      <c r="DNP78" s="548"/>
      <c r="DNQ78" s="548"/>
      <c r="DNR78" s="548"/>
      <c r="DNS78" s="548"/>
      <c r="DNT78" s="452"/>
      <c r="DNU78" s="596"/>
      <c r="DNV78" s="548"/>
      <c r="DNW78" s="548"/>
      <c r="DNX78" s="548"/>
      <c r="DNY78" s="548"/>
      <c r="DNZ78" s="548"/>
      <c r="DOA78" s="452"/>
      <c r="DOB78" s="596"/>
      <c r="DOC78" s="548"/>
      <c r="DOD78" s="548"/>
      <c r="DOE78" s="548"/>
      <c r="DOF78" s="548"/>
      <c r="DOG78" s="548"/>
      <c r="DOH78" s="452"/>
      <c r="DOI78" s="596"/>
      <c r="DOJ78" s="548"/>
      <c r="DOK78" s="548"/>
      <c r="DOL78" s="548"/>
      <c r="DOM78" s="548"/>
      <c r="DON78" s="548"/>
      <c r="DOO78" s="452"/>
      <c r="DOP78" s="596"/>
      <c r="DOQ78" s="548"/>
      <c r="DOR78" s="548"/>
      <c r="DOS78" s="548"/>
      <c r="DOT78" s="548"/>
      <c r="DOU78" s="548"/>
      <c r="DOV78" s="452"/>
      <c r="DOW78" s="596"/>
      <c r="DOX78" s="548"/>
      <c r="DOY78" s="548"/>
      <c r="DOZ78" s="548"/>
      <c r="DPA78" s="548"/>
      <c r="DPB78" s="548"/>
      <c r="DPC78" s="452"/>
      <c r="DPD78" s="596"/>
      <c r="DPE78" s="548"/>
      <c r="DPF78" s="548"/>
      <c r="DPG78" s="548"/>
      <c r="DPH78" s="548"/>
      <c r="DPI78" s="548"/>
      <c r="DPJ78" s="452"/>
      <c r="DPK78" s="596"/>
      <c r="DPL78" s="548"/>
      <c r="DPM78" s="548"/>
      <c r="DPN78" s="548"/>
      <c r="DPO78" s="548"/>
      <c r="DPP78" s="548"/>
      <c r="DPQ78" s="452"/>
      <c r="DPR78" s="596"/>
      <c r="DPS78" s="548"/>
      <c r="DPT78" s="548"/>
      <c r="DPU78" s="548"/>
      <c r="DPV78" s="548"/>
      <c r="DPW78" s="548"/>
      <c r="DPX78" s="452"/>
      <c r="DPY78" s="596"/>
      <c r="DPZ78" s="548"/>
      <c r="DQA78" s="548"/>
      <c r="DQB78" s="548"/>
      <c r="DQC78" s="548"/>
      <c r="DQD78" s="548"/>
      <c r="DQE78" s="452"/>
      <c r="DQF78" s="596"/>
      <c r="DQG78" s="548"/>
      <c r="DQH78" s="548"/>
      <c r="DQI78" s="548"/>
      <c r="DQJ78" s="548"/>
      <c r="DQK78" s="548"/>
      <c r="DQL78" s="452"/>
      <c r="DQM78" s="596"/>
      <c r="DQN78" s="548"/>
      <c r="DQO78" s="548"/>
      <c r="DQP78" s="548"/>
      <c r="DQQ78" s="548"/>
      <c r="DQR78" s="548"/>
      <c r="DQS78" s="452"/>
      <c r="DQT78" s="596"/>
      <c r="DQU78" s="548"/>
      <c r="DQV78" s="548"/>
      <c r="DQW78" s="548"/>
      <c r="DQX78" s="548"/>
      <c r="DQY78" s="548"/>
      <c r="DQZ78" s="452"/>
      <c r="DRA78" s="596"/>
      <c r="DRB78" s="548"/>
      <c r="DRC78" s="548"/>
      <c r="DRD78" s="548"/>
      <c r="DRE78" s="548"/>
      <c r="DRF78" s="548"/>
      <c r="DRG78" s="452"/>
      <c r="DRH78" s="596"/>
      <c r="DRI78" s="548"/>
      <c r="DRJ78" s="548"/>
      <c r="DRK78" s="548"/>
      <c r="DRL78" s="548"/>
      <c r="DRM78" s="548"/>
      <c r="DRN78" s="452"/>
      <c r="DRO78" s="596"/>
      <c r="DRP78" s="548"/>
      <c r="DRQ78" s="548"/>
      <c r="DRR78" s="548"/>
      <c r="DRS78" s="548"/>
      <c r="DRT78" s="548"/>
      <c r="DRU78" s="452"/>
      <c r="DRV78" s="596"/>
      <c r="DRW78" s="548"/>
      <c r="DRX78" s="548"/>
      <c r="DRY78" s="548"/>
      <c r="DRZ78" s="548"/>
      <c r="DSA78" s="548"/>
      <c r="DSB78" s="452"/>
      <c r="DSC78" s="596"/>
      <c r="DSD78" s="548"/>
      <c r="DSE78" s="548"/>
      <c r="DSF78" s="548"/>
      <c r="DSG78" s="548"/>
      <c r="DSH78" s="548"/>
      <c r="DSI78" s="452"/>
      <c r="DSJ78" s="596"/>
      <c r="DSK78" s="548"/>
      <c r="DSL78" s="548"/>
      <c r="DSM78" s="548"/>
      <c r="DSN78" s="548"/>
      <c r="DSO78" s="548"/>
      <c r="DSP78" s="452"/>
      <c r="DSQ78" s="596"/>
      <c r="DSR78" s="548"/>
      <c r="DSS78" s="548"/>
      <c r="DST78" s="548"/>
      <c r="DSU78" s="548"/>
      <c r="DSV78" s="548"/>
      <c r="DSW78" s="452"/>
      <c r="DSX78" s="596"/>
      <c r="DSY78" s="548"/>
      <c r="DSZ78" s="548"/>
      <c r="DTA78" s="548"/>
      <c r="DTB78" s="548"/>
      <c r="DTC78" s="548"/>
      <c r="DTD78" s="452"/>
      <c r="DTE78" s="596"/>
      <c r="DTF78" s="548"/>
      <c r="DTG78" s="548"/>
      <c r="DTH78" s="548"/>
      <c r="DTI78" s="548"/>
      <c r="DTJ78" s="548"/>
      <c r="DTK78" s="452"/>
      <c r="DTL78" s="596"/>
      <c r="DTM78" s="548"/>
      <c r="DTN78" s="548"/>
      <c r="DTO78" s="548"/>
      <c r="DTP78" s="548"/>
      <c r="DTQ78" s="548"/>
      <c r="DTR78" s="452"/>
      <c r="DTS78" s="596"/>
      <c r="DTT78" s="548"/>
      <c r="DTU78" s="548"/>
      <c r="DTV78" s="548"/>
      <c r="DTW78" s="548"/>
      <c r="DTX78" s="548"/>
      <c r="DTY78" s="452"/>
      <c r="DTZ78" s="596"/>
      <c r="DUA78" s="548"/>
      <c r="DUB78" s="548"/>
      <c r="DUC78" s="548"/>
      <c r="DUD78" s="548"/>
      <c r="DUE78" s="548"/>
      <c r="DUF78" s="452"/>
      <c r="DUG78" s="596"/>
      <c r="DUH78" s="548"/>
      <c r="DUI78" s="548"/>
      <c r="DUJ78" s="548"/>
      <c r="DUK78" s="548"/>
      <c r="DUL78" s="548"/>
      <c r="DUM78" s="452"/>
      <c r="DUN78" s="596"/>
      <c r="DUO78" s="548"/>
      <c r="DUP78" s="548"/>
      <c r="DUQ78" s="548"/>
      <c r="DUR78" s="548"/>
      <c r="DUS78" s="548"/>
      <c r="DUT78" s="452"/>
      <c r="DUU78" s="596"/>
      <c r="DUV78" s="548"/>
      <c r="DUW78" s="548"/>
      <c r="DUX78" s="548"/>
      <c r="DUY78" s="548"/>
      <c r="DUZ78" s="548"/>
      <c r="DVA78" s="452"/>
      <c r="DVB78" s="596"/>
      <c r="DVC78" s="548"/>
      <c r="DVD78" s="548"/>
      <c r="DVE78" s="548"/>
      <c r="DVF78" s="548"/>
      <c r="DVG78" s="548"/>
      <c r="DVH78" s="452"/>
      <c r="DVI78" s="596"/>
      <c r="DVJ78" s="548"/>
      <c r="DVK78" s="548"/>
      <c r="DVL78" s="548"/>
      <c r="DVM78" s="548"/>
      <c r="DVN78" s="548"/>
      <c r="DVO78" s="452"/>
      <c r="DVP78" s="596"/>
      <c r="DVQ78" s="548"/>
      <c r="DVR78" s="548"/>
      <c r="DVS78" s="548"/>
      <c r="DVT78" s="548"/>
      <c r="DVU78" s="548"/>
      <c r="DVV78" s="452"/>
      <c r="DVW78" s="596"/>
      <c r="DVX78" s="548"/>
      <c r="DVY78" s="548"/>
      <c r="DVZ78" s="548"/>
      <c r="DWA78" s="548"/>
      <c r="DWB78" s="548"/>
      <c r="DWC78" s="452"/>
      <c r="DWD78" s="596"/>
      <c r="DWE78" s="548"/>
      <c r="DWF78" s="548"/>
      <c r="DWG78" s="548"/>
      <c r="DWH78" s="548"/>
      <c r="DWI78" s="548"/>
      <c r="DWJ78" s="452"/>
      <c r="DWK78" s="596"/>
      <c r="DWL78" s="548"/>
      <c r="DWM78" s="548"/>
      <c r="DWN78" s="548"/>
      <c r="DWO78" s="548"/>
      <c r="DWP78" s="548"/>
      <c r="DWQ78" s="452"/>
      <c r="DWR78" s="596"/>
      <c r="DWS78" s="548"/>
      <c r="DWT78" s="548"/>
      <c r="DWU78" s="548"/>
      <c r="DWV78" s="548"/>
      <c r="DWW78" s="548"/>
      <c r="DWX78" s="452"/>
      <c r="DWY78" s="596"/>
      <c r="DWZ78" s="548"/>
      <c r="DXA78" s="548"/>
      <c r="DXB78" s="548"/>
      <c r="DXC78" s="548"/>
      <c r="DXD78" s="548"/>
      <c r="DXE78" s="452"/>
      <c r="DXF78" s="596"/>
      <c r="DXG78" s="548"/>
      <c r="DXH78" s="548"/>
      <c r="DXI78" s="548"/>
      <c r="DXJ78" s="548"/>
      <c r="DXK78" s="548"/>
      <c r="DXL78" s="452"/>
      <c r="DXM78" s="596"/>
      <c r="DXN78" s="548"/>
      <c r="DXO78" s="548"/>
      <c r="DXP78" s="548"/>
      <c r="DXQ78" s="548"/>
      <c r="DXR78" s="548"/>
      <c r="DXS78" s="452"/>
      <c r="DXT78" s="596"/>
      <c r="DXU78" s="548"/>
      <c r="DXV78" s="548"/>
      <c r="DXW78" s="548"/>
      <c r="DXX78" s="548"/>
      <c r="DXY78" s="548"/>
      <c r="DXZ78" s="452"/>
      <c r="DYA78" s="596"/>
      <c r="DYB78" s="548"/>
      <c r="DYC78" s="548"/>
      <c r="DYD78" s="548"/>
      <c r="DYE78" s="548"/>
      <c r="DYF78" s="548"/>
      <c r="DYG78" s="452"/>
      <c r="DYH78" s="596"/>
      <c r="DYI78" s="548"/>
      <c r="DYJ78" s="548"/>
      <c r="DYK78" s="548"/>
      <c r="DYL78" s="548"/>
      <c r="DYM78" s="548"/>
      <c r="DYN78" s="452"/>
      <c r="DYO78" s="596"/>
      <c r="DYP78" s="548"/>
      <c r="DYQ78" s="548"/>
      <c r="DYR78" s="548"/>
      <c r="DYS78" s="548"/>
      <c r="DYT78" s="548"/>
      <c r="DYU78" s="452"/>
      <c r="DYV78" s="596"/>
      <c r="DYW78" s="548"/>
      <c r="DYX78" s="548"/>
      <c r="DYY78" s="548"/>
      <c r="DYZ78" s="548"/>
      <c r="DZA78" s="548"/>
      <c r="DZB78" s="452"/>
      <c r="DZC78" s="596"/>
      <c r="DZD78" s="548"/>
      <c r="DZE78" s="548"/>
      <c r="DZF78" s="548"/>
      <c r="DZG78" s="548"/>
      <c r="DZH78" s="548"/>
      <c r="DZI78" s="452"/>
      <c r="DZJ78" s="596"/>
      <c r="DZK78" s="548"/>
      <c r="DZL78" s="548"/>
      <c r="DZM78" s="548"/>
      <c r="DZN78" s="548"/>
      <c r="DZO78" s="548"/>
      <c r="DZP78" s="452"/>
      <c r="DZQ78" s="596"/>
      <c r="DZR78" s="548"/>
      <c r="DZS78" s="548"/>
      <c r="DZT78" s="548"/>
      <c r="DZU78" s="548"/>
      <c r="DZV78" s="548"/>
      <c r="DZW78" s="452"/>
      <c r="DZX78" s="596"/>
      <c r="DZY78" s="548"/>
      <c r="DZZ78" s="548"/>
      <c r="EAA78" s="548"/>
      <c r="EAB78" s="548"/>
      <c r="EAC78" s="548"/>
      <c r="EAD78" s="452"/>
      <c r="EAE78" s="596"/>
      <c r="EAF78" s="548"/>
      <c r="EAG78" s="548"/>
      <c r="EAH78" s="548"/>
      <c r="EAI78" s="548"/>
      <c r="EAJ78" s="548"/>
      <c r="EAK78" s="452"/>
      <c r="EAL78" s="596"/>
      <c r="EAM78" s="548"/>
      <c r="EAN78" s="548"/>
      <c r="EAO78" s="548"/>
      <c r="EAP78" s="548"/>
      <c r="EAQ78" s="548"/>
      <c r="EAR78" s="452"/>
      <c r="EAS78" s="596"/>
      <c r="EAT78" s="548"/>
      <c r="EAU78" s="548"/>
      <c r="EAV78" s="548"/>
      <c r="EAW78" s="548"/>
      <c r="EAX78" s="548"/>
      <c r="EAY78" s="452"/>
      <c r="EAZ78" s="596"/>
      <c r="EBA78" s="548"/>
      <c r="EBB78" s="548"/>
      <c r="EBC78" s="548"/>
      <c r="EBD78" s="548"/>
      <c r="EBE78" s="548"/>
      <c r="EBF78" s="452"/>
      <c r="EBG78" s="596"/>
      <c r="EBH78" s="548"/>
      <c r="EBI78" s="548"/>
      <c r="EBJ78" s="548"/>
      <c r="EBK78" s="548"/>
      <c r="EBL78" s="548"/>
      <c r="EBM78" s="452"/>
      <c r="EBN78" s="596"/>
      <c r="EBO78" s="548"/>
      <c r="EBP78" s="548"/>
      <c r="EBQ78" s="548"/>
      <c r="EBR78" s="548"/>
      <c r="EBS78" s="548"/>
      <c r="EBT78" s="452"/>
      <c r="EBU78" s="596"/>
      <c r="EBV78" s="548"/>
      <c r="EBW78" s="548"/>
      <c r="EBX78" s="548"/>
      <c r="EBY78" s="548"/>
      <c r="EBZ78" s="548"/>
      <c r="ECA78" s="452"/>
      <c r="ECB78" s="596"/>
      <c r="ECC78" s="548"/>
      <c r="ECD78" s="548"/>
      <c r="ECE78" s="548"/>
      <c r="ECF78" s="548"/>
      <c r="ECG78" s="548"/>
      <c r="ECH78" s="452"/>
      <c r="ECI78" s="596"/>
      <c r="ECJ78" s="548"/>
      <c r="ECK78" s="548"/>
      <c r="ECL78" s="548"/>
      <c r="ECM78" s="548"/>
      <c r="ECN78" s="548"/>
      <c r="ECO78" s="452"/>
      <c r="ECP78" s="596"/>
      <c r="ECQ78" s="548"/>
      <c r="ECR78" s="548"/>
      <c r="ECS78" s="548"/>
      <c r="ECT78" s="548"/>
      <c r="ECU78" s="548"/>
      <c r="ECV78" s="452"/>
      <c r="ECW78" s="596"/>
      <c r="ECX78" s="548"/>
      <c r="ECY78" s="548"/>
      <c r="ECZ78" s="548"/>
      <c r="EDA78" s="548"/>
      <c r="EDB78" s="548"/>
      <c r="EDC78" s="452"/>
      <c r="EDD78" s="596"/>
      <c r="EDE78" s="548"/>
      <c r="EDF78" s="548"/>
      <c r="EDG78" s="548"/>
      <c r="EDH78" s="548"/>
      <c r="EDI78" s="548"/>
      <c r="EDJ78" s="452"/>
      <c r="EDK78" s="596"/>
      <c r="EDL78" s="548"/>
      <c r="EDM78" s="548"/>
      <c r="EDN78" s="548"/>
      <c r="EDO78" s="548"/>
      <c r="EDP78" s="548"/>
      <c r="EDQ78" s="452"/>
      <c r="EDR78" s="596"/>
      <c r="EDS78" s="548"/>
      <c r="EDT78" s="548"/>
      <c r="EDU78" s="548"/>
      <c r="EDV78" s="548"/>
      <c r="EDW78" s="548"/>
      <c r="EDX78" s="452"/>
      <c r="EDY78" s="596"/>
      <c r="EDZ78" s="548"/>
      <c r="EEA78" s="548"/>
      <c r="EEB78" s="548"/>
      <c r="EEC78" s="548"/>
      <c r="EED78" s="548"/>
      <c r="EEE78" s="452"/>
      <c r="EEF78" s="596"/>
      <c r="EEG78" s="548"/>
      <c r="EEH78" s="548"/>
      <c r="EEI78" s="548"/>
      <c r="EEJ78" s="548"/>
      <c r="EEK78" s="548"/>
      <c r="EEL78" s="452"/>
      <c r="EEM78" s="596"/>
      <c r="EEN78" s="548"/>
      <c r="EEO78" s="548"/>
      <c r="EEP78" s="548"/>
      <c r="EEQ78" s="548"/>
      <c r="EER78" s="548"/>
      <c r="EES78" s="452"/>
      <c r="EET78" s="596"/>
      <c r="EEU78" s="548"/>
      <c r="EEV78" s="548"/>
      <c r="EEW78" s="548"/>
      <c r="EEX78" s="548"/>
      <c r="EEY78" s="548"/>
      <c r="EEZ78" s="452"/>
      <c r="EFA78" s="596"/>
      <c r="EFB78" s="548"/>
      <c r="EFC78" s="548"/>
      <c r="EFD78" s="548"/>
      <c r="EFE78" s="548"/>
      <c r="EFF78" s="548"/>
      <c r="EFG78" s="452"/>
      <c r="EFH78" s="596"/>
      <c r="EFI78" s="548"/>
      <c r="EFJ78" s="548"/>
      <c r="EFK78" s="548"/>
      <c r="EFL78" s="548"/>
      <c r="EFM78" s="548"/>
      <c r="EFN78" s="452"/>
      <c r="EFO78" s="596"/>
      <c r="EFP78" s="548"/>
      <c r="EFQ78" s="548"/>
      <c r="EFR78" s="548"/>
      <c r="EFS78" s="548"/>
      <c r="EFT78" s="548"/>
      <c r="EFU78" s="452"/>
      <c r="EFV78" s="596"/>
      <c r="EFW78" s="548"/>
      <c r="EFX78" s="548"/>
      <c r="EFY78" s="548"/>
      <c r="EFZ78" s="548"/>
      <c r="EGA78" s="548"/>
      <c r="EGB78" s="452"/>
      <c r="EGC78" s="596"/>
      <c r="EGD78" s="548"/>
      <c r="EGE78" s="548"/>
      <c r="EGF78" s="548"/>
      <c r="EGG78" s="548"/>
      <c r="EGH78" s="548"/>
      <c r="EGI78" s="452"/>
      <c r="EGJ78" s="596"/>
      <c r="EGK78" s="548"/>
      <c r="EGL78" s="548"/>
      <c r="EGM78" s="548"/>
      <c r="EGN78" s="548"/>
      <c r="EGO78" s="548"/>
      <c r="EGP78" s="452"/>
      <c r="EGQ78" s="596"/>
      <c r="EGR78" s="548"/>
      <c r="EGS78" s="548"/>
      <c r="EGT78" s="548"/>
      <c r="EGU78" s="548"/>
      <c r="EGV78" s="548"/>
      <c r="EGW78" s="452"/>
      <c r="EGX78" s="596"/>
      <c r="EGY78" s="548"/>
      <c r="EGZ78" s="548"/>
      <c r="EHA78" s="548"/>
      <c r="EHB78" s="548"/>
      <c r="EHC78" s="548"/>
      <c r="EHD78" s="452"/>
      <c r="EHE78" s="596"/>
      <c r="EHF78" s="548"/>
      <c r="EHG78" s="548"/>
      <c r="EHH78" s="548"/>
      <c r="EHI78" s="548"/>
      <c r="EHJ78" s="548"/>
      <c r="EHK78" s="452"/>
      <c r="EHL78" s="596"/>
      <c r="EHM78" s="548"/>
      <c r="EHN78" s="548"/>
      <c r="EHO78" s="548"/>
      <c r="EHP78" s="548"/>
      <c r="EHQ78" s="548"/>
      <c r="EHR78" s="452"/>
      <c r="EHS78" s="596"/>
      <c r="EHT78" s="548"/>
      <c r="EHU78" s="548"/>
      <c r="EHV78" s="548"/>
      <c r="EHW78" s="548"/>
      <c r="EHX78" s="548"/>
      <c r="EHY78" s="452"/>
      <c r="EHZ78" s="596"/>
      <c r="EIA78" s="548"/>
      <c r="EIB78" s="548"/>
      <c r="EIC78" s="548"/>
      <c r="EID78" s="548"/>
      <c r="EIE78" s="548"/>
      <c r="EIF78" s="452"/>
      <c r="EIG78" s="596"/>
      <c r="EIH78" s="548"/>
      <c r="EII78" s="548"/>
      <c r="EIJ78" s="548"/>
      <c r="EIK78" s="548"/>
      <c r="EIL78" s="548"/>
      <c r="EIM78" s="452"/>
      <c r="EIN78" s="596"/>
      <c r="EIO78" s="548"/>
      <c r="EIP78" s="548"/>
      <c r="EIQ78" s="548"/>
      <c r="EIR78" s="548"/>
      <c r="EIS78" s="548"/>
      <c r="EIT78" s="452"/>
      <c r="EIU78" s="596"/>
      <c r="EIV78" s="548"/>
      <c r="EIW78" s="548"/>
      <c r="EIX78" s="548"/>
      <c r="EIY78" s="548"/>
      <c r="EIZ78" s="548"/>
      <c r="EJA78" s="452"/>
      <c r="EJB78" s="596"/>
      <c r="EJC78" s="548"/>
      <c r="EJD78" s="548"/>
      <c r="EJE78" s="548"/>
      <c r="EJF78" s="548"/>
      <c r="EJG78" s="548"/>
      <c r="EJH78" s="452"/>
      <c r="EJI78" s="596"/>
      <c r="EJJ78" s="548"/>
      <c r="EJK78" s="548"/>
      <c r="EJL78" s="548"/>
      <c r="EJM78" s="548"/>
      <c r="EJN78" s="548"/>
      <c r="EJO78" s="452"/>
      <c r="EJP78" s="596"/>
      <c r="EJQ78" s="548"/>
      <c r="EJR78" s="548"/>
      <c r="EJS78" s="548"/>
      <c r="EJT78" s="548"/>
      <c r="EJU78" s="548"/>
      <c r="EJV78" s="452"/>
      <c r="EJW78" s="596"/>
      <c r="EJX78" s="548"/>
      <c r="EJY78" s="548"/>
      <c r="EJZ78" s="548"/>
      <c r="EKA78" s="548"/>
      <c r="EKB78" s="548"/>
      <c r="EKC78" s="452"/>
      <c r="EKD78" s="596"/>
      <c r="EKE78" s="548"/>
      <c r="EKF78" s="548"/>
      <c r="EKG78" s="548"/>
      <c r="EKH78" s="548"/>
      <c r="EKI78" s="548"/>
      <c r="EKJ78" s="452"/>
      <c r="EKK78" s="596"/>
      <c r="EKL78" s="548"/>
      <c r="EKM78" s="548"/>
      <c r="EKN78" s="548"/>
      <c r="EKO78" s="548"/>
      <c r="EKP78" s="548"/>
      <c r="EKQ78" s="452"/>
      <c r="EKR78" s="596"/>
      <c r="EKS78" s="548"/>
      <c r="EKT78" s="548"/>
      <c r="EKU78" s="548"/>
      <c r="EKV78" s="548"/>
      <c r="EKW78" s="548"/>
      <c r="EKX78" s="452"/>
      <c r="EKY78" s="596"/>
      <c r="EKZ78" s="548"/>
      <c r="ELA78" s="548"/>
      <c r="ELB78" s="548"/>
      <c r="ELC78" s="548"/>
      <c r="ELD78" s="548"/>
      <c r="ELE78" s="452"/>
      <c r="ELF78" s="596"/>
      <c r="ELG78" s="548"/>
      <c r="ELH78" s="548"/>
      <c r="ELI78" s="548"/>
      <c r="ELJ78" s="548"/>
      <c r="ELK78" s="548"/>
      <c r="ELL78" s="452"/>
      <c r="ELM78" s="596"/>
      <c r="ELN78" s="548"/>
      <c r="ELO78" s="548"/>
      <c r="ELP78" s="548"/>
      <c r="ELQ78" s="548"/>
      <c r="ELR78" s="548"/>
      <c r="ELS78" s="452"/>
      <c r="ELT78" s="596"/>
      <c r="ELU78" s="548"/>
      <c r="ELV78" s="548"/>
      <c r="ELW78" s="548"/>
      <c r="ELX78" s="548"/>
      <c r="ELY78" s="548"/>
      <c r="ELZ78" s="452"/>
      <c r="EMA78" s="596"/>
      <c r="EMB78" s="548"/>
      <c r="EMC78" s="548"/>
      <c r="EMD78" s="548"/>
      <c r="EME78" s="548"/>
      <c r="EMF78" s="548"/>
      <c r="EMG78" s="452"/>
      <c r="EMH78" s="596"/>
      <c r="EMI78" s="548"/>
      <c r="EMJ78" s="548"/>
      <c r="EMK78" s="548"/>
      <c r="EML78" s="548"/>
      <c r="EMM78" s="548"/>
      <c r="EMN78" s="452"/>
      <c r="EMO78" s="596"/>
      <c r="EMP78" s="548"/>
      <c r="EMQ78" s="548"/>
      <c r="EMR78" s="548"/>
      <c r="EMS78" s="548"/>
      <c r="EMT78" s="548"/>
      <c r="EMU78" s="452"/>
      <c r="EMV78" s="596"/>
      <c r="EMW78" s="548"/>
      <c r="EMX78" s="548"/>
      <c r="EMY78" s="548"/>
      <c r="EMZ78" s="548"/>
      <c r="ENA78" s="548"/>
      <c r="ENB78" s="452"/>
      <c r="ENC78" s="596"/>
      <c r="END78" s="548"/>
      <c r="ENE78" s="548"/>
      <c r="ENF78" s="548"/>
      <c r="ENG78" s="548"/>
      <c r="ENH78" s="548"/>
      <c r="ENI78" s="452"/>
      <c r="ENJ78" s="596"/>
      <c r="ENK78" s="548"/>
      <c r="ENL78" s="548"/>
      <c r="ENM78" s="548"/>
      <c r="ENN78" s="548"/>
      <c r="ENO78" s="548"/>
      <c r="ENP78" s="452"/>
      <c r="ENQ78" s="596"/>
      <c r="ENR78" s="548"/>
      <c r="ENS78" s="548"/>
      <c r="ENT78" s="548"/>
      <c r="ENU78" s="548"/>
      <c r="ENV78" s="548"/>
      <c r="ENW78" s="452"/>
      <c r="ENX78" s="596"/>
      <c r="ENY78" s="548"/>
      <c r="ENZ78" s="548"/>
      <c r="EOA78" s="548"/>
      <c r="EOB78" s="548"/>
      <c r="EOC78" s="548"/>
      <c r="EOD78" s="452"/>
      <c r="EOE78" s="596"/>
      <c r="EOF78" s="548"/>
      <c r="EOG78" s="548"/>
      <c r="EOH78" s="548"/>
      <c r="EOI78" s="548"/>
      <c r="EOJ78" s="548"/>
      <c r="EOK78" s="452"/>
      <c r="EOL78" s="596"/>
      <c r="EOM78" s="548"/>
      <c r="EON78" s="548"/>
      <c r="EOO78" s="548"/>
      <c r="EOP78" s="548"/>
      <c r="EOQ78" s="548"/>
      <c r="EOR78" s="452"/>
      <c r="EOS78" s="596"/>
      <c r="EOT78" s="548"/>
      <c r="EOU78" s="548"/>
      <c r="EOV78" s="548"/>
      <c r="EOW78" s="548"/>
      <c r="EOX78" s="548"/>
      <c r="EOY78" s="452"/>
      <c r="EOZ78" s="596"/>
      <c r="EPA78" s="548"/>
      <c r="EPB78" s="548"/>
      <c r="EPC78" s="548"/>
      <c r="EPD78" s="548"/>
      <c r="EPE78" s="548"/>
      <c r="EPF78" s="452"/>
      <c r="EPG78" s="596"/>
      <c r="EPH78" s="548"/>
      <c r="EPI78" s="548"/>
      <c r="EPJ78" s="548"/>
      <c r="EPK78" s="548"/>
      <c r="EPL78" s="548"/>
      <c r="EPM78" s="452"/>
      <c r="EPN78" s="596"/>
      <c r="EPO78" s="548"/>
      <c r="EPP78" s="548"/>
      <c r="EPQ78" s="548"/>
      <c r="EPR78" s="548"/>
      <c r="EPS78" s="548"/>
      <c r="EPT78" s="452"/>
      <c r="EPU78" s="596"/>
      <c r="EPV78" s="548"/>
      <c r="EPW78" s="548"/>
      <c r="EPX78" s="548"/>
      <c r="EPY78" s="548"/>
      <c r="EPZ78" s="548"/>
      <c r="EQA78" s="452"/>
      <c r="EQB78" s="596"/>
      <c r="EQC78" s="548"/>
      <c r="EQD78" s="548"/>
      <c r="EQE78" s="548"/>
      <c r="EQF78" s="548"/>
      <c r="EQG78" s="548"/>
      <c r="EQH78" s="452"/>
      <c r="EQI78" s="596"/>
      <c r="EQJ78" s="548"/>
      <c r="EQK78" s="548"/>
      <c r="EQL78" s="548"/>
      <c r="EQM78" s="548"/>
      <c r="EQN78" s="548"/>
      <c r="EQO78" s="452"/>
      <c r="EQP78" s="596"/>
      <c r="EQQ78" s="548"/>
      <c r="EQR78" s="548"/>
      <c r="EQS78" s="548"/>
      <c r="EQT78" s="548"/>
      <c r="EQU78" s="548"/>
      <c r="EQV78" s="452"/>
      <c r="EQW78" s="596"/>
      <c r="EQX78" s="548"/>
      <c r="EQY78" s="548"/>
      <c r="EQZ78" s="548"/>
      <c r="ERA78" s="548"/>
      <c r="ERB78" s="548"/>
      <c r="ERC78" s="452"/>
      <c r="ERD78" s="596"/>
      <c r="ERE78" s="548"/>
      <c r="ERF78" s="548"/>
      <c r="ERG78" s="548"/>
      <c r="ERH78" s="548"/>
      <c r="ERI78" s="548"/>
      <c r="ERJ78" s="452"/>
      <c r="ERK78" s="596"/>
      <c r="ERL78" s="548"/>
      <c r="ERM78" s="548"/>
      <c r="ERN78" s="548"/>
      <c r="ERO78" s="548"/>
      <c r="ERP78" s="548"/>
      <c r="ERQ78" s="452"/>
      <c r="ERR78" s="596"/>
      <c r="ERS78" s="548"/>
      <c r="ERT78" s="548"/>
      <c r="ERU78" s="548"/>
      <c r="ERV78" s="548"/>
      <c r="ERW78" s="548"/>
      <c r="ERX78" s="452"/>
      <c r="ERY78" s="596"/>
      <c r="ERZ78" s="548"/>
      <c r="ESA78" s="548"/>
      <c r="ESB78" s="548"/>
      <c r="ESC78" s="548"/>
      <c r="ESD78" s="548"/>
      <c r="ESE78" s="452"/>
      <c r="ESF78" s="596"/>
      <c r="ESG78" s="548"/>
      <c r="ESH78" s="548"/>
      <c r="ESI78" s="548"/>
      <c r="ESJ78" s="548"/>
      <c r="ESK78" s="548"/>
      <c r="ESL78" s="452"/>
      <c r="ESM78" s="596"/>
      <c r="ESN78" s="548"/>
      <c r="ESO78" s="548"/>
      <c r="ESP78" s="548"/>
      <c r="ESQ78" s="548"/>
      <c r="ESR78" s="548"/>
      <c r="ESS78" s="452"/>
      <c r="EST78" s="596"/>
      <c r="ESU78" s="548"/>
      <c r="ESV78" s="548"/>
      <c r="ESW78" s="548"/>
      <c r="ESX78" s="548"/>
      <c r="ESY78" s="548"/>
      <c r="ESZ78" s="452"/>
      <c r="ETA78" s="596"/>
      <c r="ETB78" s="548"/>
      <c r="ETC78" s="548"/>
      <c r="ETD78" s="548"/>
      <c r="ETE78" s="548"/>
      <c r="ETF78" s="548"/>
      <c r="ETG78" s="452"/>
      <c r="ETH78" s="596"/>
      <c r="ETI78" s="548"/>
      <c r="ETJ78" s="548"/>
      <c r="ETK78" s="548"/>
      <c r="ETL78" s="548"/>
      <c r="ETM78" s="548"/>
      <c r="ETN78" s="452"/>
      <c r="ETO78" s="596"/>
      <c r="ETP78" s="548"/>
      <c r="ETQ78" s="548"/>
      <c r="ETR78" s="548"/>
      <c r="ETS78" s="548"/>
      <c r="ETT78" s="548"/>
      <c r="ETU78" s="452"/>
      <c r="ETV78" s="596"/>
      <c r="ETW78" s="548"/>
      <c r="ETX78" s="548"/>
      <c r="ETY78" s="548"/>
      <c r="ETZ78" s="548"/>
      <c r="EUA78" s="548"/>
      <c r="EUB78" s="452"/>
      <c r="EUC78" s="596"/>
      <c r="EUD78" s="548"/>
      <c r="EUE78" s="548"/>
      <c r="EUF78" s="548"/>
      <c r="EUG78" s="548"/>
      <c r="EUH78" s="548"/>
      <c r="EUI78" s="452"/>
      <c r="EUJ78" s="596"/>
      <c r="EUK78" s="548"/>
      <c r="EUL78" s="548"/>
      <c r="EUM78" s="548"/>
      <c r="EUN78" s="548"/>
      <c r="EUO78" s="548"/>
      <c r="EUP78" s="452"/>
      <c r="EUQ78" s="596"/>
      <c r="EUR78" s="548"/>
      <c r="EUS78" s="548"/>
      <c r="EUT78" s="548"/>
      <c r="EUU78" s="548"/>
      <c r="EUV78" s="548"/>
      <c r="EUW78" s="452"/>
      <c r="EUX78" s="596"/>
      <c r="EUY78" s="548"/>
      <c r="EUZ78" s="548"/>
      <c r="EVA78" s="548"/>
      <c r="EVB78" s="548"/>
      <c r="EVC78" s="548"/>
      <c r="EVD78" s="452"/>
      <c r="EVE78" s="596"/>
      <c r="EVF78" s="548"/>
      <c r="EVG78" s="548"/>
      <c r="EVH78" s="548"/>
      <c r="EVI78" s="548"/>
      <c r="EVJ78" s="548"/>
      <c r="EVK78" s="452"/>
      <c r="EVL78" s="596"/>
      <c r="EVM78" s="548"/>
      <c r="EVN78" s="548"/>
      <c r="EVO78" s="548"/>
      <c r="EVP78" s="548"/>
      <c r="EVQ78" s="548"/>
      <c r="EVR78" s="452"/>
      <c r="EVS78" s="596"/>
      <c r="EVT78" s="548"/>
      <c r="EVU78" s="548"/>
      <c r="EVV78" s="548"/>
      <c r="EVW78" s="548"/>
      <c r="EVX78" s="548"/>
      <c r="EVY78" s="452"/>
      <c r="EVZ78" s="596"/>
      <c r="EWA78" s="548"/>
      <c r="EWB78" s="548"/>
      <c r="EWC78" s="548"/>
      <c r="EWD78" s="548"/>
      <c r="EWE78" s="548"/>
      <c r="EWF78" s="452"/>
      <c r="EWG78" s="596"/>
      <c r="EWH78" s="548"/>
      <c r="EWI78" s="548"/>
      <c r="EWJ78" s="548"/>
      <c r="EWK78" s="548"/>
      <c r="EWL78" s="548"/>
      <c r="EWM78" s="452"/>
      <c r="EWN78" s="596"/>
      <c r="EWO78" s="548"/>
      <c r="EWP78" s="548"/>
      <c r="EWQ78" s="548"/>
      <c r="EWR78" s="548"/>
      <c r="EWS78" s="548"/>
      <c r="EWT78" s="452"/>
      <c r="EWU78" s="596"/>
      <c r="EWV78" s="548"/>
      <c r="EWW78" s="548"/>
      <c r="EWX78" s="548"/>
      <c r="EWY78" s="548"/>
      <c r="EWZ78" s="548"/>
      <c r="EXA78" s="452"/>
      <c r="EXB78" s="596"/>
      <c r="EXC78" s="548"/>
      <c r="EXD78" s="548"/>
      <c r="EXE78" s="548"/>
      <c r="EXF78" s="548"/>
      <c r="EXG78" s="548"/>
      <c r="EXH78" s="452"/>
      <c r="EXI78" s="596"/>
      <c r="EXJ78" s="548"/>
      <c r="EXK78" s="548"/>
      <c r="EXL78" s="548"/>
      <c r="EXM78" s="548"/>
      <c r="EXN78" s="548"/>
      <c r="EXO78" s="452"/>
      <c r="EXP78" s="596"/>
      <c r="EXQ78" s="548"/>
      <c r="EXR78" s="548"/>
      <c r="EXS78" s="548"/>
      <c r="EXT78" s="548"/>
      <c r="EXU78" s="548"/>
      <c r="EXV78" s="452"/>
      <c r="EXW78" s="596"/>
      <c r="EXX78" s="548"/>
      <c r="EXY78" s="548"/>
      <c r="EXZ78" s="548"/>
      <c r="EYA78" s="548"/>
      <c r="EYB78" s="548"/>
      <c r="EYC78" s="452"/>
      <c r="EYD78" s="596"/>
      <c r="EYE78" s="548"/>
      <c r="EYF78" s="548"/>
      <c r="EYG78" s="548"/>
      <c r="EYH78" s="548"/>
      <c r="EYI78" s="548"/>
      <c r="EYJ78" s="452"/>
      <c r="EYK78" s="596"/>
      <c r="EYL78" s="548"/>
      <c r="EYM78" s="548"/>
      <c r="EYN78" s="548"/>
      <c r="EYO78" s="548"/>
      <c r="EYP78" s="548"/>
      <c r="EYQ78" s="452"/>
      <c r="EYR78" s="596"/>
      <c r="EYS78" s="548"/>
      <c r="EYT78" s="548"/>
      <c r="EYU78" s="548"/>
      <c r="EYV78" s="548"/>
      <c r="EYW78" s="548"/>
      <c r="EYX78" s="452"/>
      <c r="EYY78" s="596"/>
      <c r="EYZ78" s="548"/>
      <c r="EZA78" s="548"/>
      <c r="EZB78" s="548"/>
      <c r="EZC78" s="548"/>
      <c r="EZD78" s="548"/>
      <c r="EZE78" s="452"/>
      <c r="EZF78" s="596"/>
      <c r="EZG78" s="548"/>
      <c r="EZH78" s="548"/>
      <c r="EZI78" s="548"/>
      <c r="EZJ78" s="548"/>
      <c r="EZK78" s="548"/>
      <c r="EZL78" s="452"/>
      <c r="EZM78" s="596"/>
      <c r="EZN78" s="548"/>
      <c r="EZO78" s="548"/>
      <c r="EZP78" s="548"/>
      <c r="EZQ78" s="548"/>
      <c r="EZR78" s="548"/>
      <c r="EZS78" s="452"/>
      <c r="EZT78" s="596"/>
      <c r="EZU78" s="548"/>
      <c r="EZV78" s="548"/>
      <c r="EZW78" s="548"/>
      <c r="EZX78" s="548"/>
      <c r="EZY78" s="548"/>
      <c r="EZZ78" s="452"/>
      <c r="FAA78" s="596"/>
      <c r="FAB78" s="548"/>
      <c r="FAC78" s="548"/>
      <c r="FAD78" s="548"/>
      <c r="FAE78" s="548"/>
      <c r="FAF78" s="548"/>
      <c r="FAG78" s="452"/>
      <c r="FAH78" s="596"/>
      <c r="FAI78" s="548"/>
      <c r="FAJ78" s="548"/>
      <c r="FAK78" s="548"/>
      <c r="FAL78" s="548"/>
      <c r="FAM78" s="548"/>
      <c r="FAN78" s="452"/>
      <c r="FAO78" s="596"/>
      <c r="FAP78" s="548"/>
      <c r="FAQ78" s="548"/>
      <c r="FAR78" s="548"/>
      <c r="FAS78" s="548"/>
      <c r="FAT78" s="548"/>
      <c r="FAU78" s="452"/>
      <c r="FAV78" s="596"/>
      <c r="FAW78" s="548"/>
      <c r="FAX78" s="548"/>
      <c r="FAY78" s="548"/>
      <c r="FAZ78" s="548"/>
      <c r="FBA78" s="548"/>
      <c r="FBB78" s="452"/>
      <c r="FBC78" s="596"/>
      <c r="FBD78" s="548"/>
      <c r="FBE78" s="548"/>
      <c r="FBF78" s="548"/>
      <c r="FBG78" s="548"/>
      <c r="FBH78" s="548"/>
      <c r="FBI78" s="452"/>
      <c r="FBJ78" s="596"/>
      <c r="FBK78" s="548"/>
      <c r="FBL78" s="548"/>
      <c r="FBM78" s="548"/>
      <c r="FBN78" s="548"/>
      <c r="FBO78" s="548"/>
      <c r="FBP78" s="452"/>
      <c r="FBQ78" s="596"/>
      <c r="FBR78" s="548"/>
      <c r="FBS78" s="548"/>
      <c r="FBT78" s="548"/>
      <c r="FBU78" s="548"/>
      <c r="FBV78" s="548"/>
      <c r="FBW78" s="452"/>
      <c r="FBX78" s="596"/>
      <c r="FBY78" s="548"/>
      <c r="FBZ78" s="548"/>
      <c r="FCA78" s="548"/>
      <c r="FCB78" s="548"/>
      <c r="FCC78" s="548"/>
      <c r="FCD78" s="452"/>
      <c r="FCE78" s="596"/>
      <c r="FCF78" s="548"/>
      <c r="FCG78" s="548"/>
      <c r="FCH78" s="548"/>
      <c r="FCI78" s="548"/>
      <c r="FCJ78" s="548"/>
      <c r="FCK78" s="452"/>
      <c r="FCL78" s="596"/>
      <c r="FCM78" s="548"/>
      <c r="FCN78" s="548"/>
      <c r="FCO78" s="548"/>
      <c r="FCP78" s="548"/>
      <c r="FCQ78" s="548"/>
      <c r="FCR78" s="452"/>
      <c r="FCS78" s="596"/>
      <c r="FCT78" s="548"/>
      <c r="FCU78" s="548"/>
      <c r="FCV78" s="548"/>
      <c r="FCW78" s="548"/>
      <c r="FCX78" s="548"/>
      <c r="FCY78" s="452"/>
      <c r="FCZ78" s="596"/>
      <c r="FDA78" s="548"/>
      <c r="FDB78" s="548"/>
      <c r="FDC78" s="548"/>
      <c r="FDD78" s="548"/>
      <c r="FDE78" s="548"/>
      <c r="FDF78" s="452"/>
      <c r="FDG78" s="596"/>
      <c r="FDH78" s="548"/>
      <c r="FDI78" s="548"/>
      <c r="FDJ78" s="548"/>
      <c r="FDK78" s="548"/>
      <c r="FDL78" s="548"/>
      <c r="FDM78" s="452"/>
      <c r="FDN78" s="596"/>
      <c r="FDO78" s="548"/>
      <c r="FDP78" s="548"/>
      <c r="FDQ78" s="548"/>
      <c r="FDR78" s="548"/>
      <c r="FDS78" s="548"/>
      <c r="FDT78" s="452"/>
      <c r="FDU78" s="596"/>
      <c r="FDV78" s="548"/>
      <c r="FDW78" s="548"/>
      <c r="FDX78" s="548"/>
      <c r="FDY78" s="548"/>
      <c r="FDZ78" s="548"/>
      <c r="FEA78" s="452"/>
      <c r="FEB78" s="596"/>
      <c r="FEC78" s="548"/>
      <c r="FED78" s="548"/>
      <c r="FEE78" s="548"/>
      <c r="FEF78" s="548"/>
      <c r="FEG78" s="548"/>
      <c r="FEH78" s="452"/>
      <c r="FEI78" s="596"/>
      <c r="FEJ78" s="548"/>
      <c r="FEK78" s="548"/>
      <c r="FEL78" s="548"/>
      <c r="FEM78" s="548"/>
      <c r="FEN78" s="548"/>
      <c r="FEO78" s="452"/>
      <c r="FEP78" s="596"/>
      <c r="FEQ78" s="548"/>
      <c r="FER78" s="548"/>
      <c r="FES78" s="548"/>
      <c r="FET78" s="548"/>
      <c r="FEU78" s="548"/>
      <c r="FEV78" s="452"/>
      <c r="FEW78" s="596"/>
      <c r="FEX78" s="548"/>
      <c r="FEY78" s="548"/>
      <c r="FEZ78" s="548"/>
      <c r="FFA78" s="548"/>
      <c r="FFB78" s="548"/>
      <c r="FFC78" s="452"/>
      <c r="FFD78" s="596"/>
      <c r="FFE78" s="548"/>
      <c r="FFF78" s="548"/>
      <c r="FFG78" s="548"/>
      <c r="FFH78" s="548"/>
      <c r="FFI78" s="548"/>
      <c r="FFJ78" s="452"/>
      <c r="FFK78" s="596"/>
      <c r="FFL78" s="548"/>
      <c r="FFM78" s="548"/>
      <c r="FFN78" s="548"/>
      <c r="FFO78" s="548"/>
      <c r="FFP78" s="548"/>
      <c r="FFQ78" s="452"/>
      <c r="FFR78" s="596"/>
      <c r="FFS78" s="548"/>
      <c r="FFT78" s="548"/>
      <c r="FFU78" s="548"/>
      <c r="FFV78" s="548"/>
      <c r="FFW78" s="548"/>
      <c r="FFX78" s="452"/>
      <c r="FFY78" s="596"/>
      <c r="FFZ78" s="548"/>
      <c r="FGA78" s="548"/>
      <c r="FGB78" s="548"/>
      <c r="FGC78" s="548"/>
      <c r="FGD78" s="548"/>
      <c r="FGE78" s="452"/>
      <c r="FGF78" s="596"/>
      <c r="FGG78" s="548"/>
      <c r="FGH78" s="548"/>
      <c r="FGI78" s="548"/>
      <c r="FGJ78" s="548"/>
      <c r="FGK78" s="548"/>
      <c r="FGL78" s="452"/>
      <c r="FGM78" s="596"/>
      <c r="FGN78" s="548"/>
      <c r="FGO78" s="548"/>
      <c r="FGP78" s="548"/>
      <c r="FGQ78" s="548"/>
      <c r="FGR78" s="548"/>
      <c r="FGS78" s="452"/>
      <c r="FGT78" s="596"/>
      <c r="FGU78" s="548"/>
      <c r="FGV78" s="548"/>
      <c r="FGW78" s="548"/>
      <c r="FGX78" s="548"/>
      <c r="FGY78" s="548"/>
      <c r="FGZ78" s="452"/>
      <c r="FHA78" s="596"/>
      <c r="FHB78" s="548"/>
      <c r="FHC78" s="548"/>
      <c r="FHD78" s="548"/>
      <c r="FHE78" s="548"/>
      <c r="FHF78" s="548"/>
      <c r="FHG78" s="452"/>
      <c r="FHH78" s="596"/>
      <c r="FHI78" s="548"/>
      <c r="FHJ78" s="548"/>
      <c r="FHK78" s="548"/>
      <c r="FHL78" s="548"/>
      <c r="FHM78" s="548"/>
      <c r="FHN78" s="452"/>
      <c r="FHO78" s="596"/>
      <c r="FHP78" s="548"/>
      <c r="FHQ78" s="548"/>
      <c r="FHR78" s="548"/>
      <c r="FHS78" s="548"/>
      <c r="FHT78" s="548"/>
      <c r="FHU78" s="452"/>
      <c r="FHV78" s="596"/>
      <c r="FHW78" s="548"/>
      <c r="FHX78" s="548"/>
      <c r="FHY78" s="548"/>
      <c r="FHZ78" s="548"/>
      <c r="FIA78" s="548"/>
      <c r="FIB78" s="452"/>
      <c r="FIC78" s="596"/>
      <c r="FID78" s="548"/>
      <c r="FIE78" s="548"/>
      <c r="FIF78" s="548"/>
      <c r="FIG78" s="548"/>
      <c r="FIH78" s="548"/>
      <c r="FII78" s="452"/>
      <c r="FIJ78" s="596"/>
      <c r="FIK78" s="548"/>
      <c r="FIL78" s="548"/>
      <c r="FIM78" s="548"/>
      <c r="FIN78" s="548"/>
      <c r="FIO78" s="548"/>
      <c r="FIP78" s="452"/>
      <c r="FIQ78" s="596"/>
      <c r="FIR78" s="548"/>
      <c r="FIS78" s="548"/>
      <c r="FIT78" s="548"/>
      <c r="FIU78" s="548"/>
      <c r="FIV78" s="548"/>
      <c r="FIW78" s="452"/>
      <c r="FIX78" s="596"/>
      <c r="FIY78" s="548"/>
      <c r="FIZ78" s="548"/>
      <c r="FJA78" s="548"/>
      <c r="FJB78" s="548"/>
      <c r="FJC78" s="548"/>
      <c r="FJD78" s="452"/>
      <c r="FJE78" s="596"/>
      <c r="FJF78" s="548"/>
      <c r="FJG78" s="548"/>
      <c r="FJH78" s="548"/>
      <c r="FJI78" s="548"/>
      <c r="FJJ78" s="548"/>
      <c r="FJK78" s="452"/>
      <c r="FJL78" s="596"/>
      <c r="FJM78" s="548"/>
      <c r="FJN78" s="548"/>
      <c r="FJO78" s="548"/>
      <c r="FJP78" s="548"/>
      <c r="FJQ78" s="548"/>
      <c r="FJR78" s="452"/>
      <c r="FJS78" s="596"/>
      <c r="FJT78" s="548"/>
      <c r="FJU78" s="548"/>
      <c r="FJV78" s="548"/>
      <c r="FJW78" s="548"/>
      <c r="FJX78" s="548"/>
      <c r="FJY78" s="452"/>
      <c r="FJZ78" s="596"/>
      <c r="FKA78" s="548"/>
      <c r="FKB78" s="548"/>
      <c r="FKC78" s="548"/>
      <c r="FKD78" s="548"/>
      <c r="FKE78" s="548"/>
      <c r="FKF78" s="452"/>
      <c r="FKG78" s="596"/>
      <c r="FKH78" s="548"/>
      <c r="FKI78" s="548"/>
      <c r="FKJ78" s="548"/>
      <c r="FKK78" s="548"/>
      <c r="FKL78" s="548"/>
      <c r="FKM78" s="452"/>
      <c r="FKN78" s="596"/>
      <c r="FKO78" s="548"/>
      <c r="FKP78" s="548"/>
      <c r="FKQ78" s="548"/>
      <c r="FKR78" s="548"/>
      <c r="FKS78" s="548"/>
      <c r="FKT78" s="452"/>
      <c r="FKU78" s="596"/>
      <c r="FKV78" s="548"/>
      <c r="FKW78" s="548"/>
      <c r="FKX78" s="548"/>
      <c r="FKY78" s="548"/>
      <c r="FKZ78" s="548"/>
      <c r="FLA78" s="452"/>
      <c r="FLB78" s="596"/>
      <c r="FLC78" s="548"/>
      <c r="FLD78" s="548"/>
      <c r="FLE78" s="548"/>
      <c r="FLF78" s="548"/>
      <c r="FLG78" s="548"/>
      <c r="FLH78" s="452"/>
      <c r="FLI78" s="596"/>
      <c r="FLJ78" s="548"/>
      <c r="FLK78" s="548"/>
      <c r="FLL78" s="548"/>
      <c r="FLM78" s="548"/>
      <c r="FLN78" s="548"/>
      <c r="FLO78" s="452"/>
      <c r="FLP78" s="596"/>
      <c r="FLQ78" s="548"/>
      <c r="FLR78" s="548"/>
      <c r="FLS78" s="548"/>
      <c r="FLT78" s="548"/>
      <c r="FLU78" s="548"/>
      <c r="FLV78" s="452"/>
      <c r="FLW78" s="596"/>
      <c r="FLX78" s="548"/>
      <c r="FLY78" s="548"/>
      <c r="FLZ78" s="548"/>
      <c r="FMA78" s="548"/>
      <c r="FMB78" s="548"/>
      <c r="FMC78" s="452"/>
      <c r="FMD78" s="596"/>
      <c r="FME78" s="548"/>
      <c r="FMF78" s="548"/>
      <c r="FMG78" s="548"/>
      <c r="FMH78" s="548"/>
      <c r="FMI78" s="548"/>
      <c r="FMJ78" s="452"/>
      <c r="FMK78" s="596"/>
      <c r="FML78" s="548"/>
      <c r="FMM78" s="548"/>
      <c r="FMN78" s="548"/>
      <c r="FMO78" s="548"/>
      <c r="FMP78" s="548"/>
      <c r="FMQ78" s="452"/>
      <c r="FMR78" s="596"/>
      <c r="FMS78" s="548"/>
      <c r="FMT78" s="548"/>
      <c r="FMU78" s="548"/>
      <c r="FMV78" s="548"/>
      <c r="FMW78" s="548"/>
      <c r="FMX78" s="452"/>
      <c r="FMY78" s="596"/>
      <c r="FMZ78" s="548"/>
      <c r="FNA78" s="548"/>
      <c r="FNB78" s="548"/>
      <c r="FNC78" s="548"/>
      <c r="FND78" s="548"/>
      <c r="FNE78" s="452"/>
      <c r="FNF78" s="596"/>
      <c r="FNG78" s="548"/>
      <c r="FNH78" s="548"/>
      <c r="FNI78" s="548"/>
      <c r="FNJ78" s="548"/>
      <c r="FNK78" s="548"/>
      <c r="FNL78" s="452"/>
      <c r="FNM78" s="596"/>
      <c r="FNN78" s="548"/>
      <c r="FNO78" s="548"/>
      <c r="FNP78" s="548"/>
      <c r="FNQ78" s="548"/>
      <c r="FNR78" s="548"/>
      <c r="FNS78" s="452"/>
      <c r="FNT78" s="596"/>
      <c r="FNU78" s="548"/>
      <c r="FNV78" s="548"/>
      <c r="FNW78" s="548"/>
      <c r="FNX78" s="548"/>
      <c r="FNY78" s="548"/>
      <c r="FNZ78" s="452"/>
      <c r="FOA78" s="596"/>
      <c r="FOB78" s="548"/>
      <c r="FOC78" s="548"/>
      <c r="FOD78" s="548"/>
      <c r="FOE78" s="548"/>
      <c r="FOF78" s="548"/>
      <c r="FOG78" s="452"/>
      <c r="FOH78" s="596"/>
      <c r="FOI78" s="548"/>
      <c r="FOJ78" s="548"/>
      <c r="FOK78" s="548"/>
      <c r="FOL78" s="548"/>
      <c r="FOM78" s="548"/>
      <c r="FON78" s="452"/>
      <c r="FOO78" s="596"/>
      <c r="FOP78" s="548"/>
      <c r="FOQ78" s="548"/>
      <c r="FOR78" s="548"/>
      <c r="FOS78" s="548"/>
      <c r="FOT78" s="548"/>
      <c r="FOU78" s="452"/>
      <c r="FOV78" s="596"/>
      <c r="FOW78" s="548"/>
      <c r="FOX78" s="548"/>
      <c r="FOY78" s="548"/>
      <c r="FOZ78" s="548"/>
      <c r="FPA78" s="548"/>
      <c r="FPB78" s="452"/>
      <c r="FPC78" s="596"/>
      <c r="FPD78" s="548"/>
      <c r="FPE78" s="548"/>
      <c r="FPF78" s="548"/>
      <c r="FPG78" s="548"/>
      <c r="FPH78" s="548"/>
      <c r="FPI78" s="452"/>
      <c r="FPJ78" s="596"/>
      <c r="FPK78" s="548"/>
      <c r="FPL78" s="548"/>
      <c r="FPM78" s="548"/>
      <c r="FPN78" s="548"/>
      <c r="FPO78" s="548"/>
      <c r="FPP78" s="452"/>
      <c r="FPQ78" s="596"/>
      <c r="FPR78" s="548"/>
      <c r="FPS78" s="548"/>
      <c r="FPT78" s="548"/>
      <c r="FPU78" s="548"/>
      <c r="FPV78" s="548"/>
      <c r="FPW78" s="452"/>
      <c r="FPX78" s="596"/>
      <c r="FPY78" s="548"/>
      <c r="FPZ78" s="548"/>
      <c r="FQA78" s="548"/>
      <c r="FQB78" s="548"/>
      <c r="FQC78" s="548"/>
      <c r="FQD78" s="452"/>
      <c r="FQE78" s="596"/>
      <c r="FQF78" s="548"/>
      <c r="FQG78" s="548"/>
      <c r="FQH78" s="548"/>
      <c r="FQI78" s="548"/>
      <c r="FQJ78" s="548"/>
      <c r="FQK78" s="452"/>
      <c r="FQL78" s="596"/>
      <c r="FQM78" s="548"/>
      <c r="FQN78" s="548"/>
      <c r="FQO78" s="548"/>
      <c r="FQP78" s="548"/>
      <c r="FQQ78" s="548"/>
      <c r="FQR78" s="452"/>
      <c r="FQS78" s="596"/>
      <c r="FQT78" s="548"/>
      <c r="FQU78" s="548"/>
      <c r="FQV78" s="548"/>
      <c r="FQW78" s="548"/>
      <c r="FQX78" s="548"/>
      <c r="FQY78" s="452"/>
      <c r="FQZ78" s="596"/>
      <c r="FRA78" s="548"/>
      <c r="FRB78" s="548"/>
      <c r="FRC78" s="548"/>
      <c r="FRD78" s="548"/>
      <c r="FRE78" s="548"/>
      <c r="FRF78" s="452"/>
      <c r="FRG78" s="596"/>
      <c r="FRH78" s="548"/>
      <c r="FRI78" s="548"/>
      <c r="FRJ78" s="548"/>
      <c r="FRK78" s="548"/>
      <c r="FRL78" s="548"/>
      <c r="FRM78" s="452"/>
      <c r="FRN78" s="596"/>
      <c r="FRO78" s="548"/>
      <c r="FRP78" s="548"/>
      <c r="FRQ78" s="548"/>
      <c r="FRR78" s="548"/>
      <c r="FRS78" s="548"/>
      <c r="FRT78" s="452"/>
      <c r="FRU78" s="596"/>
      <c r="FRV78" s="548"/>
      <c r="FRW78" s="548"/>
      <c r="FRX78" s="548"/>
      <c r="FRY78" s="548"/>
      <c r="FRZ78" s="548"/>
      <c r="FSA78" s="452"/>
      <c r="FSB78" s="596"/>
      <c r="FSC78" s="548"/>
      <c r="FSD78" s="548"/>
      <c r="FSE78" s="548"/>
      <c r="FSF78" s="548"/>
      <c r="FSG78" s="548"/>
      <c r="FSH78" s="452"/>
      <c r="FSI78" s="596"/>
      <c r="FSJ78" s="548"/>
      <c r="FSK78" s="548"/>
      <c r="FSL78" s="548"/>
      <c r="FSM78" s="548"/>
      <c r="FSN78" s="548"/>
      <c r="FSO78" s="452"/>
      <c r="FSP78" s="596"/>
      <c r="FSQ78" s="548"/>
      <c r="FSR78" s="548"/>
      <c r="FSS78" s="548"/>
      <c r="FST78" s="548"/>
      <c r="FSU78" s="548"/>
      <c r="FSV78" s="452"/>
      <c r="FSW78" s="596"/>
      <c r="FSX78" s="548"/>
      <c r="FSY78" s="548"/>
      <c r="FSZ78" s="548"/>
      <c r="FTA78" s="548"/>
      <c r="FTB78" s="548"/>
      <c r="FTC78" s="452"/>
      <c r="FTD78" s="596"/>
      <c r="FTE78" s="548"/>
      <c r="FTF78" s="548"/>
      <c r="FTG78" s="548"/>
      <c r="FTH78" s="548"/>
      <c r="FTI78" s="548"/>
      <c r="FTJ78" s="452"/>
      <c r="FTK78" s="596"/>
      <c r="FTL78" s="548"/>
      <c r="FTM78" s="548"/>
      <c r="FTN78" s="548"/>
      <c r="FTO78" s="548"/>
      <c r="FTP78" s="548"/>
      <c r="FTQ78" s="452"/>
      <c r="FTR78" s="596"/>
      <c r="FTS78" s="548"/>
      <c r="FTT78" s="548"/>
      <c r="FTU78" s="548"/>
      <c r="FTV78" s="548"/>
      <c r="FTW78" s="548"/>
      <c r="FTX78" s="452"/>
      <c r="FTY78" s="596"/>
      <c r="FTZ78" s="548"/>
      <c r="FUA78" s="548"/>
      <c r="FUB78" s="548"/>
      <c r="FUC78" s="548"/>
      <c r="FUD78" s="548"/>
      <c r="FUE78" s="452"/>
      <c r="FUF78" s="596"/>
      <c r="FUG78" s="548"/>
      <c r="FUH78" s="548"/>
      <c r="FUI78" s="548"/>
      <c r="FUJ78" s="548"/>
      <c r="FUK78" s="548"/>
      <c r="FUL78" s="452"/>
      <c r="FUM78" s="596"/>
      <c r="FUN78" s="548"/>
      <c r="FUO78" s="548"/>
      <c r="FUP78" s="548"/>
      <c r="FUQ78" s="548"/>
      <c r="FUR78" s="548"/>
      <c r="FUS78" s="452"/>
      <c r="FUT78" s="596"/>
      <c r="FUU78" s="548"/>
      <c r="FUV78" s="548"/>
      <c r="FUW78" s="548"/>
      <c r="FUX78" s="548"/>
      <c r="FUY78" s="548"/>
      <c r="FUZ78" s="452"/>
      <c r="FVA78" s="596"/>
      <c r="FVB78" s="548"/>
      <c r="FVC78" s="548"/>
      <c r="FVD78" s="548"/>
      <c r="FVE78" s="548"/>
      <c r="FVF78" s="548"/>
      <c r="FVG78" s="452"/>
      <c r="FVH78" s="596"/>
      <c r="FVI78" s="548"/>
      <c r="FVJ78" s="548"/>
      <c r="FVK78" s="548"/>
      <c r="FVL78" s="548"/>
      <c r="FVM78" s="548"/>
      <c r="FVN78" s="452"/>
      <c r="FVO78" s="596"/>
      <c r="FVP78" s="548"/>
      <c r="FVQ78" s="548"/>
      <c r="FVR78" s="548"/>
      <c r="FVS78" s="548"/>
      <c r="FVT78" s="548"/>
      <c r="FVU78" s="452"/>
      <c r="FVV78" s="596"/>
      <c r="FVW78" s="548"/>
      <c r="FVX78" s="548"/>
      <c r="FVY78" s="548"/>
      <c r="FVZ78" s="548"/>
      <c r="FWA78" s="548"/>
      <c r="FWB78" s="452"/>
      <c r="FWC78" s="596"/>
      <c r="FWD78" s="548"/>
      <c r="FWE78" s="548"/>
      <c r="FWF78" s="548"/>
      <c r="FWG78" s="548"/>
      <c r="FWH78" s="548"/>
      <c r="FWI78" s="452"/>
      <c r="FWJ78" s="596"/>
      <c r="FWK78" s="548"/>
      <c r="FWL78" s="548"/>
      <c r="FWM78" s="548"/>
      <c r="FWN78" s="548"/>
      <c r="FWO78" s="548"/>
      <c r="FWP78" s="452"/>
      <c r="FWQ78" s="596"/>
      <c r="FWR78" s="548"/>
      <c r="FWS78" s="548"/>
      <c r="FWT78" s="548"/>
      <c r="FWU78" s="548"/>
      <c r="FWV78" s="548"/>
      <c r="FWW78" s="452"/>
      <c r="FWX78" s="596"/>
      <c r="FWY78" s="548"/>
      <c r="FWZ78" s="548"/>
      <c r="FXA78" s="548"/>
      <c r="FXB78" s="548"/>
      <c r="FXC78" s="548"/>
      <c r="FXD78" s="452"/>
      <c r="FXE78" s="596"/>
      <c r="FXF78" s="548"/>
      <c r="FXG78" s="548"/>
      <c r="FXH78" s="548"/>
      <c r="FXI78" s="548"/>
      <c r="FXJ78" s="548"/>
      <c r="FXK78" s="452"/>
      <c r="FXL78" s="596"/>
      <c r="FXM78" s="548"/>
      <c r="FXN78" s="548"/>
      <c r="FXO78" s="548"/>
      <c r="FXP78" s="548"/>
      <c r="FXQ78" s="548"/>
      <c r="FXR78" s="452"/>
      <c r="FXS78" s="596"/>
      <c r="FXT78" s="548"/>
      <c r="FXU78" s="548"/>
      <c r="FXV78" s="548"/>
      <c r="FXW78" s="548"/>
      <c r="FXX78" s="548"/>
      <c r="FXY78" s="452"/>
      <c r="FXZ78" s="596"/>
      <c r="FYA78" s="548"/>
      <c r="FYB78" s="548"/>
      <c r="FYC78" s="548"/>
      <c r="FYD78" s="548"/>
      <c r="FYE78" s="548"/>
      <c r="FYF78" s="452"/>
      <c r="FYG78" s="596"/>
      <c r="FYH78" s="548"/>
      <c r="FYI78" s="548"/>
      <c r="FYJ78" s="548"/>
      <c r="FYK78" s="548"/>
      <c r="FYL78" s="548"/>
      <c r="FYM78" s="452"/>
      <c r="FYN78" s="596"/>
      <c r="FYO78" s="548"/>
      <c r="FYP78" s="548"/>
      <c r="FYQ78" s="548"/>
      <c r="FYR78" s="548"/>
      <c r="FYS78" s="548"/>
      <c r="FYT78" s="452"/>
      <c r="FYU78" s="596"/>
      <c r="FYV78" s="548"/>
      <c r="FYW78" s="548"/>
      <c r="FYX78" s="548"/>
      <c r="FYY78" s="548"/>
      <c r="FYZ78" s="548"/>
      <c r="FZA78" s="452"/>
      <c r="FZB78" s="596"/>
      <c r="FZC78" s="548"/>
      <c r="FZD78" s="548"/>
      <c r="FZE78" s="548"/>
      <c r="FZF78" s="548"/>
      <c r="FZG78" s="548"/>
      <c r="FZH78" s="452"/>
      <c r="FZI78" s="596"/>
      <c r="FZJ78" s="548"/>
      <c r="FZK78" s="548"/>
      <c r="FZL78" s="548"/>
      <c r="FZM78" s="548"/>
      <c r="FZN78" s="548"/>
      <c r="FZO78" s="452"/>
      <c r="FZP78" s="596"/>
      <c r="FZQ78" s="548"/>
      <c r="FZR78" s="548"/>
      <c r="FZS78" s="548"/>
      <c r="FZT78" s="548"/>
      <c r="FZU78" s="548"/>
      <c r="FZV78" s="452"/>
      <c r="FZW78" s="596"/>
      <c r="FZX78" s="548"/>
      <c r="FZY78" s="548"/>
      <c r="FZZ78" s="548"/>
      <c r="GAA78" s="548"/>
      <c r="GAB78" s="548"/>
      <c r="GAC78" s="452"/>
      <c r="GAD78" s="596"/>
      <c r="GAE78" s="548"/>
      <c r="GAF78" s="548"/>
      <c r="GAG78" s="548"/>
      <c r="GAH78" s="548"/>
      <c r="GAI78" s="548"/>
      <c r="GAJ78" s="452"/>
      <c r="GAK78" s="596"/>
      <c r="GAL78" s="548"/>
      <c r="GAM78" s="548"/>
      <c r="GAN78" s="548"/>
      <c r="GAO78" s="548"/>
      <c r="GAP78" s="548"/>
      <c r="GAQ78" s="452"/>
      <c r="GAR78" s="596"/>
      <c r="GAS78" s="548"/>
      <c r="GAT78" s="548"/>
      <c r="GAU78" s="548"/>
      <c r="GAV78" s="548"/>
      <c r="GAW78" s="548"/>
      <c r="GAX78" s="452"/>
      <c r="GAY78" s="596"/>
      <c r="GAZ78" s="548"/>
      <c r="GBA78" s="548"/>
      <c r="GBB78" s="548"/>
      <c r="GBC78" s="548"/>
      <c r="GBD78" s="548"/>
      <c r="GBE78" s="452"/>
      <c r="GBF78" s="596"/>
      <c r="GBG78" s="548"/>
      <c r="GBH78" s="548"/>
      <c r="GBI78" s="548"/>
      <c r="GBJ78" s="548"/>
      <c r="GBK78" s="548"/>
      <c r="GBL78" s="452"/>
      <c r="GBM78" s="596"/>
      <c r="GBN78" s="548"/>
      <c r="GBO78" s="548"/>
      <c r="GBP78" s="548"/>
      <c r="GBQ78" s="548"/>
      <c r="GBR78" s="548"/>
      <c r="GBS78" s="452"/>
      <c r="GBT78" s="596"/>
      <c r="GBU78" s="548"/>
      <c r="GBV78" s="548"/>
      <c r="GBW78" s="548"/>
      <c r="GBX78" s="548"/>
      <c r="GBY78" s="548"/>
      <c r="GBZ78" s="452"/>
      <c r="GCA78" s="596"/>
      <c r="GCB78" s="548"/>
      <c r="GCC78" s="548"/>
      <c r="GCD78" s="548"/>
      <c r="GCE78" s="548"/>
      <c r="GCF78" s="548"/>
      <c r="GCG78" s="452"/>
      <c r="GCH78" s="596"/>
      <c r="GCI78" s="548"/>
      <c r="GCJ78" s="548"/>
      <c r="GCK78" s="548"/>
      <c r="GCL78" s="548"/>
      <c r="GCM78" s="548"/>
      <c r="GCN78" s="452"/>
      <c r="GCO78" s="596"/>
      <c r="GCP78" s="548"/>
      <c r="GCQ78" s="548"/>
      <c r="GCR78" s="548"/>
      <c r="GCS78" s="548"/>
      <c r="GCT78" s="548"/>
      <c r="GCU78" s="452"/>
      <c r="GCV78" s="596"/>
      <c r="GCW78" s="548"/>
      <c r="GCX78" s="548"/>
      <c r="GCY78" s="548"/>
      <c r="GCZ78" s="548"/>
      <c r="GDA78" s="548"/>
      <c r="GDB78" s="452"/>
      <c r="GDC78" s="596"/>
      <c r="GDD78" s="548"/>
      <c r="GDE78" s="548"/>
      <c r="GDF78" s="548"/>
      <c r="GDG78" s="548"/>
      <c r="GDH78" s="548"/>
      <c r="GDI78" s="452"/>
      <c r="GDJ78" s="596"/>
      <c r="GDK78" s="548"/>
      <c r="GDL78" s="548"/>
      <c r="GDM78" s="548"/>
      <c r="GDN78" s="548"/>
      <c r="GDO78" s="548"/>
      <c r="GDP78" s="452"/>
      <c r="GDQ78" s="596"/>
      <c r="GDR78" s="548"/>
      <c r="GDS78" s="548"/>
      <c r="GDT78" s="548"/>
      <c r="GDU78" s="548"/>
      <c r="GDV78" s="548"/>
      <c r="GDW78" s="452"/>
      <c r="GDX78" s="596"/>
      <c r="GDY78" s="548"/>
      <c r="GDZ78" s="548"/>
      <c r="GEA78" s="548"/>
      <c r="GEB78" s="548"/>
      <c r="GEC78" s="548"/>
      <c r="GED78" s="452"/>
      <c r="GEE78" s="596"/>
      <c r="GEF78" s="548"/>
      <c r="GEG78" s="548"/>
      <c r="GEH78" s="548"/>
      <c r="GEI78" s="548"/>
      <c r="GEJ78" s="548"/>
      <c r="GEK78" s="452"/>
      <c r="GEL78" s="596"/>
      <c r="GEM78" s="548"/>
      <c r="GEN78" s="548"/>
      <c r="GEO78" s="548"/>
      <c r="GEP78" s="548"/>
      <c r="GEQ78" s="548"/>
      <c r="GER78" s="452"/>
      <c r="GES78" s="596"/>
      <c r="GET78" s="548"/>
      <c r="GEU78" s="548"/>
      <c r="GEV78" s="548"/>
      <c r="GEW78" s="548"/>
      <c r="GEX78" s="548"/>
      <c r="GEY78" s="452"/>
      <c r="GEZ78" s="596"/>
      <c r="GFA78" s="548"/>
      <c r="GFB78" s="548"/>
      <c r="GFC78" s="548"/>
      <c r="GFD78" s="548"/>
      <c r="GFE78" s="548"/>
      <c r="GFF78" s="452"/>
      <c r="GFG78" s="596"/>
      <c r="GFH78" s="548"/>
      <c r="GFI78" s="548"/>
      <c r="GFJ78" s="548"/>
      <c r="GFK78" s="548"/>
      <c r="GFL78" s="548"/>
      <c r="GFM78" s="452"/>
      <c r="GFN78" s="596"/>
      <c r="GFO78" s="548"/>
      <c r="GFP78" s="548"/>
      <c r="GFQ78" s="548"/>
      <c r="GFR78" s="548"/>
      <c r="GFS78" s="548"/>
      <c r="GFT78" s="452"/>
      <c r="GFU78" s="596"/>
      <c r="GFV78" s="548"/>
      <c r="GFW78" s="548"/>
      <c r="GFX78" s="548"/>
      <c r="GFY78" s="548"/>
      <c r="GFZ78" s="548"/>
      <c r="GGA78" s="452"/>
      <c r="GGB78" s="596"/>
      <c r="GGC78" s="548"/>
      <c r="GGD78" s="548"/>
      <c r="GGE78" s="548"/>
      <c r="GGF78" s="548"/>
      <c r="GGG78" s="548"/>
      <c r="GGH78" s="452"/>
      <c r="GGI78" s="596"/>
      <c r="GGJ78" s="548"/>
      <c r="GGK78" s="548"/>
      <c r="GGL78" s="548"/>
      <c r="GGM78" s="548"/>
      <c r="GGN78" s="548"/>
      <c r="GGO78" s="452"/>
      <c r="GGP78" s="596"/>
      <c r="GGQ78" s="548"/>
      <c r="GGR78" s="548"/>
      <c r="GGS78" s="548"/>
      <c r="GGT78" s="548"/>
      <c r="GGU78" s="548"/>
      <c r="GGV78" s="452"/>
      <c r="GGW78" s="596"/>
      <c r="GGX78" s="548"/>
      <c r="GGY78" s="548"/>
      <c r="GGZ78" s="548"/>
      <c r="GHA78" s="548"/>
      <c r="GHB78" s="548"/>
      <c r="GHC78" s="452"/>
      <c r="GHD78" s="596"/>
      <c r="GHE78" s="548"/>
      <c r="GHF78" s="548"/>
      <c r="GHG78" s="548"/>
      <c r="GHH78" s="548"/>
      <c r="GHI78" s="548"/>
      <c r="GHJ78" s="452"/>
      <c r="GHK78" s="596"/>
      <c r="GHL78" s="548"/>
      <c r="GHM78" s="548"/>
      <c r="GHN78" s="548"/>
      <c r="GHO78" s="548"/>
      <c r="GHP78" s="548"/>
      <c r="GHQ78" s="452"/>
      <c r="GHR78" s="596"/>
      <c r="GHS78" s="548"/>
      <c r="GHT78" s="548"/>
      <c r="GHU78" s="548"/>
      <c r="GHV78" s="548"/>
      <c r="GHW78" s="548"/>
      <c r="GHX78" s="452"/>
      <c r="GHY78" s="596"/>
      <c r="GHZ78" s="548"/>
      <c r="GIA78" s="548"/>
      <c r="GIB78" s="548"/>
      <c r="GIC78" s="548"/>
      <c r="GID78" s="548"/>
      <c r="GIE78" s="452"/>
      <c r="GIF78" s="596"/>
      <c r="GIG78" s="548"/>
      <c r="GIH78" s="548"/>
      <c r="GII78" s="548"/>
      <c r="GIJ78" s="548"/>
      <c r="GIK78" s="548"/>
      <c r="GIL78" s="452"/>
      <c r="GIM78" s="596"/>
      <c r="GIN78" s="548"/>
      <c r="GIO78" s="548"/>
      <c r="GIP78" s="548"/>
      <c r="GIQ78" s="548"/>
      <c r="GIR78" s="548"/>
      <c r="GIS78" s="452"/>
      <c r="GIT78" s="596"/>
      <c r="GIU78" s="548"/>
      <c r="GIV78" s="548"/>
      <c r="GIW78" s="548"/>
      <c r="GIX78" s="548"/>
      <c r="GIY78" s="548"/>
      <c r="GIZ78" s="452"/>
      <c r="GJA78" s="596"/>
      <c r="GJB78" s="548"/>
      <c r="GJC78" s="548"/>
      <c r="GJD78" s="548"/>
      <c r="GJE78" s="548"/>
      <c r="GJF78" s="548"/>
      <c r="GJG78" s="452"/>
      <c r="GJH78" s="596"/>
      <c r="GJI78" s="548"/>
      <c r="GJJ78" s="548"/>
      <c r="GJK78" s="548"/>
      <c r="GJL78" s="548"/>
      <c r="GJM78" s="548"/>
      <c r="GJN78" s="452"/>
      <c r="GJO78" s="596"/>
      <c r="GJP78" s="548"/>
      <c r="GJQ78" s="548"/>
      <c r="GJR78" s="548"/>
      <c r="GJS78" s="548"/>
      <c r="GJT78" s="548"/>
      <c r="GJU78" s="452"/>
      <c r="GJV78" s="596"/>
      <c r="GJW78" s="548"/>
      <c r="GJX78" s="548"/>
      <c r="GJY78" s="548"/>
      <c r="GJZ78" s="548"/>
      <c r="GKA78" s="548"/>
      <c r="GKB78" s="452"/>
      <c r="GKC78" s="596"/>
      <c r="GKD78" s="548"/>
      <c r="GKE78" s="548"/>
      <c r="GKF78" s="548"/>
      <c r="GKG78" s="548"/>
      <c r="GKH78" s="548"/>
      <c r="GKI78" s="452"/>
      <c r="GKJ78" s="596"/>
      <c r="GKK78" s="548"/>
      <c r="GKL78" s="548"/>
      <c r="GKM78" s="548"/>
      <c r="GKN78" s="548"/>
      <c r="GKO78" s="548"/>
      <c r="GKP78" s="452"/>
      <c r="GKQ78" s="596"/>
      <c r="GKR78" s="548"/>
      <c r="GKS78" s="548"/>
      <c r="GKT78" s="548"/>
      <c r="GKU78" s="548"/>
      <c r="GKV78" s="548"/>
      <c r="GKW78" s="452"/>
      <c r="GKX78" s="596"/>
      <c r="GKY78" s="548"/>
      <c r="GKZ78" s="548"/>
      <c r="GLA78" s="548"/>
      <c r="GLB78" s="548"/>
      <c r="GLC78" s="548"/>
      <c r="GLD78" s="452"/>
      <c r="GLE78" s="596"/>
      <c r="GLF78" s="548"/>
      <c r="GLG78" s="548"/>
      <c r="GLH78" s="548"/>
      <c r="GLI78" s="548"/>
      <c r="GLJ78" s="548"/>
      <c r="GLK78" s="452"/>
      <c r="GLL78" s="596"/>
      <c r="GLM78" s="548"/>
      <c r="GLN78" s="548"/>
      <c r="GLO78" s="548"/>
      <c r="GLP78" s="548"/>
      <c r="GLQ78" s="548"/>
      <c r="GLR78" s="452"/>
      <c r="GLS78" s="596"/>
      <c r="GLT78" s="548"/>
      <c r="GLU78" s="548"/>
      <c r="GLV78" s="548"/>
      <c r="GLW78" s="548"/>
      <c r="GLX78" s="548"/>
      <c r="GLY78" s="452"/>
      <c r="GLZ78" s="596"/>
      <c r="GMA78" s="548"/>
      <c r="GMB78" s="548"/>
      <c r="GMC78" s="548"/>
      <c r="GMD78" s="548"/>
      <c r="GME78" s="548"/>
      <c r="GMF78" s="452"/>
      <c r="GMG78" s="596"/>
      <c r="GMH78" s="548"/>
      <c r="GMI78" s="548"/>
      <c r="GMJ78" s="548"/>
      <c r="GMK78" s="548"/>
      <c r="GML78" s="548"/>
      <c r="GMM78" s="452"/>
      <c r="GMN78" s="596"/>
      <c r="GMO78" s="548"/>
      <c r="GMP78" s="548"/>
      <c r="GMQ78" s="548"/>
      <c r="GMR78" s="548"/>
      <c r="GMS78" s="548"/>
      <c r="GMT78" s="452"/>
      <c r="GMU78" s="596"/>
      <c r="GMV78" s="548"/>
      <c r="GMW78" s="548"/>
      <c r="GMX78" s="548"/>
      <c r="GMY78" s="548"/>
      <c r="GMZ78" s="548"/>
      <c r="GNA78" s="452"/>
      <c r="GNB78" s="596"/>
      <c r="GNC78" s="548"/>
      <c r="GND78" s="548"/>
      <c r="GNE78" s="548"/>
      <c r="GNF78" s="548"/>
      <c r="GNG78" s="548"/>
      <c r="GNH78" s="452"/>
      <c r="GNI78" s="596"/>
      <c r="GNJ78" s="548"/>
      <c r="GNK78" s="548"/>
      <c r="GNL78" s="548"/>
      <c r="GNM78" s="548"/>
      <c r="GNN78" s="548"/>
      <c r="GNO78" s="452"/>
      <c r="GNP78" s="596"/>
      <c r="GNQ78" s="548"/>
      <c r="GNR78" s="548"/>
      <c r="GNS78" s="548"/>
      <c r="GNT78" s="548"/>
      <c r="GNU78" s="548"/>
      <c r="GNV78" s="452"/>
      <c r="GNW78" s="596"/>
      <c r="GNX78" s="548"/>
      <c r="GNY78" s="548"/>
      <c r="GNZ78" s="548"/>
      <c r="GOA78" s="548"/>
      <c r="GOB78" s="548"/>
      <c r="GOC78" s="452"/>
      <c r="GOD78" s="596"/>
      <c r="GOE78" s="548"/>
      <c r="GOF78" s="548"/>
      <c r="GOG78" s="548"/>
      <c r="GOH78" s="548"/>
      <c r="GOI78" s="548"/>
      <c r="GOJ78" s="452"/>
      <c r="GOK78" s="596"/>
      <c r="GOL78" s="548"/>
      <c r="GOM78" s="548"/>
      <c r="GON78" s="548"/>
      <c r="GOO78" s="548"/>
      <c r="GOP78" s="548"/>
      <c r="GOQ78" s="452"/>
      <c r="GOR78" s="596"/>
      <c r="GOS78" s="548"/>
      <c r="GOT78" s="548"/>
      <c r="GOU78" s="548"/>
      <c r="GOV78" s="548"/>
      <c r="GOW78" s="548"/>
      <c r="GOX78" s="452"/>
      <c r="GOY78" s="596"/>
      <c r="GOZ78" s="548"/>
      <c r="GPA78" s="548"/>
      <c r="GPB78" s="548"/>
      <c r="GPC78" s="548"/>
      <c r="GPD78" s="548"/>
      <c r="GPE78" s="452"/>
      <c r="GPF78" s="596"/>
      <c r="GPG78" s="548"/>
      <c r="GPH78" s="548"/>
      <c r="GPI78" s="548"/>
      <c r="GPJ78" s="548"/>
      <c r="GPK78" s="548"/>
      <c r="GPL78" s="452"/>
      <c r="GPM78" s="596"/>
      <c r="GPN78" s="548"/>
      <c r="GPO78" s="548"/>
      <c r="GPP78" s="548"/>
      <c r="GPQ78" s="548"/>
      <c r="GPR78" s="548"/>
      <c r="GPS78" s="452"/>
      <c r="GPT78" s="596"/>
      <c r="GPU78" s="548"/>
      <c r="GPV78" s="548"/>
      <c r="GPW78" s="548"/>
      <c r="GPX78" s="548"/>
      <c r="GPY78" s="548"/>
      <c r="GPZ78" s="452"/>
      <c r="GQA78" s="596"/>
      <c r="GQB78" s="548"/>
      <c r="GQC78" s="548"/>
      <c r="GQD78" s="548"/>
      <c r="GQE78" s="548"/>
      <c r="GQF78" s="548"/>
      <c r="GQG78" s="452"/>
      <c r="GQH78" s="596"/>
      <c r="GQI78" s="548"/>
      <c r="GQJ78" s="548"/>
      <c r="GQK78" s="548"/>
      <c r="GQL78" s="548"/>
      <c r="GQM78" s="548"/>
      <c r="GQN78" s="452"/>
      <c r="GQO78" s="596"/>
      <c r="GQP78" s="548"/>
      <c r="GQQ78" s="548"/>
      <c r="GQR78" s="548"/>
      <c r="GQS78" s="548"/>
      <c r="GQT78" s="548"/>
      <c r="GQU78" s="452"/>
      <c r="GQV78" s="596"/>
      <c r="GQW78" s="548"/>
      <c r="GQX78" s="548"/>
      <c r="GQY78" s="548"/>
      <c r="GQZ78" s="548"/>
      <c r="GRA78" s="548"/>
      <c r="GRB78" s="452"/>
      <c r="GRC78" s="596"/>
      <c r="GRD78" s="548"/>
      <c r="GRE78" s="548"/>
      <c r="GRF78" s="548"/>
      <c r="GRG78" s="548"/>
      <c r="GRH78" s="548"/>
      <c r="GRI78" s="452"/>
      <c r="GRJ78" s="596"/>
      <c r="GRK78" s="548"/>
      <c r="GRL78" s="548"/>
      <c r="GRM78" s="548"/>
      <c r="GRN78" s="548"/>
      <c r="GRO78" s="548"/>
      <c r="GRP78" s="452"/>
      <c r="GRQ78" s="596"/>
      <c r="GRR78" s="548"/>
      <c r="GRS78" s="548"/>
      <c r="GRT78" s="548"/>
      <c r="GRU78" s="548"/>
      <c r="GRV78" s="548"/>
      <c r="GRW78" s="452"/>
      <c r="GRX78" s="596"/>
      <c r="GRY78" s="548"/>
      <c r="GRZ78" s="548"/>
      <c r="GSA78" s="548"/>
      <c r="GSB78" s="548"/>
      <c r="GSC78" s="548"/>
      <c r="GSD78" s="452"/>
      <c r="GSE78" s="596"/>
      <c r="GSF78" s="548"/>
      <c r="GSG78" s="548"/>
      <c r="GSH78" s="548"/>
      <c r="GSI78" s="548"/>
      <c r="GSJ78" s="548"/>
      <c r="GSK78" s="452"/>
      <c r="GSL78" s="596"/>
      <c r="GSM78" s="548"/>
      <c r="GSN78" s="548"/>
      <c r="GSO78" s="548"/>
      <c r="GSP78" s="548"/>
      <c r="GSQ78" s="548"/>
      <c r="GSR78" s="452"/>
      <c r="GSS78" s="596"/>
      <c r="GST78" s="548"/>
      <c r="GSU78" s="548"/>
      <c r="GSV78" s="548"/>
      <c r="GSW78" s="548"/>
      <c r="GSX78" s="548"/>
      <c r="GSY78" s="452"/>
      <c r="GSZ78" s="596"/>
      <c r="GTA78" s="548"/>
      <c r="GTB78" s="548"/>
      <c r="GTC78" s="548"/>
      <c r="GTD78" s="548"/>
      <c r="GTE78" s="548"/>
      <c r="GTF78" s="452"/>
      <c r="GTG78" s="596"/>
      <c r="GTH78" s="548"/>
      <c r="GTI78" s="548"/>
      <c r="GTJ78" s="548"/>
      <c r="GTK78" s="548"/>
      <c r="GTL78" s="548"/>
      <c r="GTM78" s="452"/>
      <c r="GTN78" s="596"/>
      <c r="GTO78" s="548"/>
      <c r="GTP78" s="548"/>
      <c r="GTQ78" s="548"/>
      <c r="GTR78" s="548"/>
      <c r="GTS78" s="548"/>
      <c r="GTT78" s="452"/>
      <c r="GTU78" s="596"/>
      <c r="GTV78" s="548"/>
      <c r="GTW78" s="548"/>
      <c r="GTX78" s="548"/>
      <c r="GTY78" s="548"/>
      <c r="GTZ78" s="548"/>
      <c r="GUA78" s="452"/>
      <c r="GUB78" s="596"/>
      <c r="GUC78" s="548"/>
      <c r="GUD78" s="548"/>
      <c r="GUE78" s="548"/>
      <c r="GUF78" s="548"/>
      <c r="GUG78" s="548"/>
      <c r="GUH78" s="452"/>
      <c r="GUI78" s="596"/>
      <c r="GUJ78" s="548"/>
      <c r="GUK78" s="548"/>
      <c r="GUL78" s="548"/>
      <c r="GUM78" s="548"/>
      <c r="GUN78" s="548"/>
      <c r="GUO78" s="452"/>
      <c r="GUP78" s="596"/>
      <c r="GUQ78" s="548"/>
      <c r="GUR78" s="548"/>
      <c r="GUS78" s="548"/>
      <c r="GUT78" s="548"/>
      <c r="GUU78" s="548"/>
      <c r="GUV78" s="452"/>
      <c r="GUW78" s="596"/>
      <c r="GUX78" s="548"/>
      <c r="GUY78" s="548"/>
      <c r="GUZ78" s="548"/>
      <c r="GVA78" s="548"/>
      <c r="GVB78" s="548"/>
      <c r="GVC78" s="452"/>
      <c r="GVD78" s="596"/>
      <c r="GVE78" s="548"/>
      <c r="GVF78" s="548"/>
      <c r="GVG78" s="548"/>
      <c r="GVH78" s="548"/>
      <c r="GVI78" s="548"/>
      <c r="GVJ78" s="452"/>
      <c r="GVK78" s="596"/>
      <c r="GVL78" s="548"/>
      <c r="GVM78" s="548"/>
      <c r="GVN78" s="548"/>
      <c r="GVO78" s="548"/>
      <c r="GVP78" s="548"/>
      <c r="GVQ78" s="452"/>
      <c r="GVR78" s="596"/>
      <c r="GVS78" s="548"/>
      <c r="GVT78" s="548"/>
      <c r="GVU78" s="548"/>
      <c r="GVV78" s="548"/>
      <c r="GVW78" s="548"/>
      <c r="GVX78" s="452"/>
      <c r="GVY78" s="596"/>
      <c r="GVZ78" s="548"/>
      <c r="GWA78" s="548"/>
      <c r="GWB78" s="548"/>
      <c r="GWC78" s="548"/>
      <c r="GWD78" s="548"/>
      <c r="GWE78" s="452"/>
      <c r="GWF78" s="596"/>
      <c r="GWG78" s="548"/>
      <c r="GWH78" s="548"/>
      <c r="GWI78" s="548"/>
      <c r="GWJ78" s="548"/>
      <c r="GWK78" s="548"/>
      <c r="GWL78" s="452"/>
      <c r="GWM78" s="596"/>
      <c r="GWN78" s="548"/>
      <c r="GWO78" s="548"/>
      <c r="GWP78" s="548"/>
      <c r="GWQ78" s="548"/>
      <c r="GWR78" s="548"/>
      <c r="GWS78" s="452"/>
      <c r="GWT78" s="596"/>
      <c r="GWU78" s="548"/>
      <c r="GWV78" s="548"/>
      <c r="GWW78" s="548"/>
      <c r="GWX78" s="548"/>
      <c r="GWY78" s="548"/>
      <c r="GWZ78" s="452"/>
      <c r="GXA78" s="596"/>
      <c r="GXB78" s="548"/>
      <c r="GXC78" s="548"/>
      <c r="GXD78" s="548"/>
      <c r="GXE78" s="548"/>
      <c r="GXF78" s="548"/>
      <c r="GXG78" s="452"/>
      <c r="GXH78" s="596"/>
      <c r="GXI78" s="548"/>
      <c r="GXJ78" s="548"/>
      <c r="GXK78" s="548"/>
      <c r="GXL78" s="548"/>
      <c r="GXM78" s="548"/>
      <c r="GXN78" s="452"/>
      <c r="GXO78" s="596"/>
      <c r="GXP78" s="548"/>
      <c r="GXQ78" s="548"/>
      <c r="GXR78" s="548"/>
      <c r="GXS78" s="548"/>
      <c r="GXT78" s="548"/>
      <c r="GXU78" s="452"/>
      <c r="GXV78" s="596"/>
      <c r="GXW78" s="548"/>
      <c r="GXX78" s="548"/>
      <c r="GXY78" s="548"/>
      <c r="GXZ78" s="548"/>
      <c r="GYA78" s="548"/>
      <c r="GYB78" s="452"/>
      <c r="GYC78" s="596"/>
      <c r="GYD78" s="548"/>
      <c r="GYE78" s="548"/>
      <c r="GYF78" s="548"/>
      <c r="GYG78" s="548"/>
      <c r="GYH78" s="548"/>
      <c r="GYI78" s="452"/>
      <c r="GYJ78" s="596"/>
      <c r="GYK78" s="548"/>
      <c r="GYL78" s="548"/>
      <c r="GYM78" s="548"/>
      <c r="GYN78" s="548"/>
      <c r="GYO78" s="548"/>
      <c r="GYP78" s="452"/>
      <c r="GYQ78" s="596"/>
      <c r="GYR78" s="548"/>
      <c r="GYS78" s="548"/>
      <c r="GYT78" s="548"/>
      <c r="GYU78" s="548"/>
      <c r="GYV78" s="548"/>
      <c r="GYW78" s="452"/>
      <c r="GYX78" s="596"/>
      <c r="GYY78" s="548"/>
      <c r="GYZ78" s="548"/>
      <c r="GZA78" s="548"/>
      <c r="GZB78" s="548"/>
      <c r="GZC78" s="548"/>
      <c r="GZD78" s="452"/>
      <c r="GZE78" s="596"/>
      <c r="GZF78" s="548"/>
      <c r="GZG78" s="548"/>
      <c r="GZH78" s="548"/>
      <c r="GZI78" s="548"/>
      <c r="GZJ78" s="548"/>
      <c r="GZK78" s="452"/>
      <c r="GZL78" s="596"/>
      <c r="GZM78" s="548"/>
      <c r="GZN78" s="548"/>
      <c r="GZO78" s="548"/>
      <c r="GZP78" s="548"/>
      <c r="GZQ78" s="548"/>
      <c r="GZR78" s="452"/>
      <c r="GZS78" s="596"/>
      <c r="GZT78" s="548"/>
      <c r="GZU78" s="548"/>
      <c r="GZV78" s="548"/>
      <c r="GZW78" s="548"/>
      <c r="GZX78" s="548"/>
      <c r="GZY78" s="452"/>
      <c r="GZZ78" s="596"/>
      <c r="HAA78" s="548"/>
      <c r="HAB78" s="548"/>
      <c r="HAC78" s="548"/>
      <c r="HAD78" s="548"/>
      <c r="HAE78" s="548"/>
      <c r="HAF78" s="452"/>
      <c r="HAG78" s="596"/>
      <c r="HAH78" s="548"/>
      <c r="HAI78" s="548"/>
      <c r="HAJ78" s="548"/>
      <c r="HAK78" s="548"/>
      <c r="HAL78" s="548"/>
      <c r="HAM78" s="452"/>
      <c r="HAN78" s="596"/>
      <c r="HAO78" s="548"/>
      <c r="HAP78" s="548"/>
      <c r="HAQ78" s="548"/>
      <c r="HAR78" s="548"/>
      <c r="HAS78" s="548"/>
      <c r="HAT78" s="452"/>
      <c r="HAU78" s="596"/>
      <c r="HAV78" s="548"/>
      <c r="HAW78" s="548"/>
      <c r="HAX78" s="548"/>
      <c r="HAY78" s="548"/>
      <c r="HAZ78" s="548"/>
      <c r="HBA78" s="452"/>
      <c r="HBB78" s="596"/>
      <c r="HBC78" s="548"/>
      <c r="HBD78" s="548"/>
      <c r="HBE78" s="548"/>
      <c r="HBF78" s="548"/>
      <c r="HBG78" s="548"/>
      <c r="HBH78" s="452"/>
      <c r="HBI78" s="596"/>
      <c r="HBJ78" s="548"/>
      <c r="HBK78" s="548"/>
      <c r="HBL78" s="548"/>
      <c r="HBM78" s="548"/>
      <c r="HBN78" s="548"/>
      <c r="HBO78" s="452"/>
      <c r="HBP78" s="596"/>
      <c r="HBQ78" s="548"/>
      <c r="HBR78" s="548"/>
      <c r="HBS78" s="548"/>
      <c r="HBT78" s="548"/>
      <c r="HBU78" s="548"/>
      <c r="HBV78" s="452"/>
      <c r="HBW78" s="596"/>
      <c r="HBX78" s="548"/>
      <c r="HBY78" s="548"/>
      <c r="HBZ78" s="548"/>
      <c r="HCA78" s="548"/>
      <c r="HCB78" s="548"/>
      <c r="HCC78" s="452"/>
      <c r="HCD78" s="596"/>
      <c r="HCE78" s="548"/>
      <c r="HCF78" s="548"/>
      <c r="HCG78" s="548"/>
      <c r="HCH78" s="548"/>
      <c r="HCI78" s="548"/>
      <c r="HCJ78" s="452"/>
      <c r="HCK78" s="596"/>
      <c r="HCL78" s="548"/>
      <c r="HCM78" s="548"/>
      <c r="HCN78" s="548"/>
      <c r="HCO78" s="548"/>
      <c r="HCP78" s="548"/>
      <c r="HCQ78" s="452"/>
      <c r="HCR78" s="596"/>
      <c r="HCS78" s="548"/>
      <c r="HCT78" s="548"/>
      <c r="HCU78" s="548"/>
      <c r="HCV78" s="548"/>
      <c r="HCW78" s="548"/>
      <c r="HCX78" s="452"/>
      <c r="HCY78" s="596"/>
      <c r="HCZ78" s="548"/>
      <c r="HDA78" s="548"/>
      <c r="HDB78" s="548"/>
      <c r="HDC78" s="548"/>
      <c r="HDD78" s="548"/>
      <c r="HDE78" s="452"/>
      <c r="HDF78" s="596"/>
      <c r="HDG78" s="548"/>
      <c r="HDH78" s="548"/>
      <c r="HDI78" s="548"/>
      <c r="HDJ78" s="548"/>
      <c r="HDK78" s="548"/>
      <c r="HDL78" s="452"/>
      <c r="HDM78" s="596"/>
      <c r="HDN78" s="548"/>
      <c r="HDO78" s="548"/>
      <c r="HDP78" s="548"/>
      <c r="HDQ78" s="548"/>
      <c r="HDR78" s="548"/>
      <c r="HDS78" s="452"/>
      <c r="HDT78" s="596"/>
      <c r="HDU78" s="548"/>
      <c r="HDV78" s="548"/>
      <c r="HDW78" s="548"/>
      <c r="HDX78" s="548"/>
      <c r="HDY78" s="548"/>
      <c r="HDZ78" s="452"/>
      <c r="HEA78" s="596"/>
      <c r="HEB78" s="548"/>
      <c r="HEC78" s="548"/>
      <c r="HED78" s="548"/>
      <c r="HEE78" s="548"/>
      <c r="HEF78" s="548"/>
      <c r="HEG78" s="452"/>
      <c r="HEH78" s="596"/>
      <c r="HEI78" s="548"/>
      <c r="HEJ78" s="548"/>
      <c r="HEK78" s="548"/>
      <c r="HEL78" s="548"/>
      <c r="HEM78" s="548"/>
      <c r="HEN78" s="452"/>
      <c r="HEO78" s="596"/>
      <c r="HEP78" s="548"/>
      <c r="HEQ78" s="548"/>
      <c r="HER78" s="548"/>
      <c r="HES78" s="548"/>
      <c r="HET78" s="548"/>
      <c r="HEU78" s="452"/>
      <c r="HEV78" s="596"/>
      <c r="HEW78" s="548"/>
      <c r="HEX78" s="548"/>
      <c r="HEY78" s="548"/>
      <c r="HEZ78" s="548"/>
      <c r="HFA78" s="548"/>
      <c r="HFB78" s="452"/>
      <c r="HFC78" s="596"/>
      <c r="HFD78" s="548"/>
      <c r="HFE78" s="548"/>
      <c r="HFF78" s="548"/>
      <c r="HFG78" s="548"/>
      <c r="HFH78" s="548"/>
      <c r="HFI78" s="452"/>
      <c r="HFJ78" s="596"/>
      <c r="HFK78" s="548"/>
      <c r="HFL78" s="548"/>
      <c r="HFM78" s="548"/>
      <c r="HFN78" s="548"/>
      <c r="HFO78" s="548"/>
      <c r="HFP78" s="452"/>
      <c r="HFQ78" s="596"/>
      <c r="HFR78" s="548"/>
      <c r="HFS78" s="548"/>
      <c r="HFT78" s="548"/>
      <c r="HFU78" s="548"/>
      <c r="HFV78" s="548"/>
      <c r="HFW78" s="452"/>
      <c r="HFX78" s="596"/>
      <c r="HFY78" s="548"/>
      <c r="HFZ78" s="548"/>
      <c r="HGA78" s="548"/>
      <c r="HGB78" s="548"/>
      <c r="HGC78" s="548"/>
      <c r="HGD78" s="452"/>
      <c r="HGE78" s="596"/>
      <c r="HGF78" s="548"/>
      <c r="HGG78" s="548"/>
      <c r="HGH78" s="548"/>
      <c r="HGI78" s="548"/>
      <c r="HGJ78" s="548"/>
      <c r="HGK78" s="452"/>
      <c r="HGL78" s="596"/>
      <c r="HGM78" s="548"/>
      <c r="HGN78" s="548"/>
      <c r="HGO78" s="548"/>
      <c r="HGP78" s="548"/>
      <c r="HGQ78" s="548"/>
      <c r="HGR78" s="452"/>
      <c r="HGS78" s="596"/>
      <c r="HGT78" s="548"/>
      <c r="HGU78" s="548"/>
      <c r="HGV78" s="548"/>
      <c r="HGW78" s="548"/>
      <c r="HGX78" s="548"/>
      <c r="HGY78" s="452"/>
      <c r="HGZ78" s="596"/>
      <c r="HHA78" s="548"/>
      <c r="HHB78" s="548"/>
      <c r="HHC78" s="548"/>
      <c r="HHD78" s="548"/>
      <c r="HHE78" s="548"/>
      <c r="HHF78" s="452"/>
      <c r="HHG78" s="596"/>
      <c r="HHH78" s="548"/>
      <c r="HHI78" s="548"/>
      <c r="HHJ78" s="548"/>
      <c r="HHK78" s="548"/>
      <c r="HHL78" s="548"/>
      <c r="HHM78" s="452"/>
      <c r="HHN78" s="596"/>
      <c r="HHO78" s="548"/>
      <c r="HHP78" s="548"/>
      <c r="HHQ78" s="548"/>
      <c r="HHR78" s="548"/>
      <c r="HHS78" s="548"/>
      <c r="HHT78" s="452"/>
      <c r="HHU78" s="596"/>
      <c r="HHV78" s="548"/>
      <c r="HHW78" s="548"/>
      <c r="HHX78" s="548"/>
      <c r="HHY78" s="548"/>
      <c r="HHZ78" s="548"/>
      <c r="HIA78" s="452"/>
      <c r="HIB78" s="596"/>
      <c r="HIC78" s="548"/>
      <c r="HID78" s="548"/>
      <c r="HIE78" s="548"/>
      <c r="HIF78" s="548"/>
      <c r="HIG78" s="548"/>
      <c r="HIH78" s="452"/>
      <c r="HII78" s="596"/>
      <c r="HIJ78" s="548"/>
      <c r="HIK78" s="548"/>
      <c r="HIL78" s="548"/>
      <c r="HIM78" s="548"/>
      <c r="HIN78" s="548"/>
      <c r="HIO78" s="452"/>
      <c r="HIP78" s="596"/>
      <c r="HIQ78" s="548"/>
      <c r="HIR78" s="548"/>
      <c r="HIS78" s="548"/>
      <c r="HIT78" s="548"/>
      <c r="HIU78" s="548"/>
      <c r="HIV78" s="452"/>
      <c r="HIW78" s="596"/>
      <c r="HIX78" s="548"/>
      <c r="HIY78" s="548"/>
      <c r="HIZ78" s="548"/>
      <c r="HJA78" s="548"/>
      <c r="HJB78" s="548"/>
      <c r="HJC78" s="452"/>
      <c r="HJD78" s="596"/>
      <c r="HJE78" s="548"/>
      <c r="HJF78" s="548"/>
      <c r="HJG78" s="548"/>
      <c r="HJH78" s="548"/>
      <c r="HJI78" s="548"/>
      <c r="HJJ78" s="452"/>
      <c r="HJK78" s="596"/>
      <c r="HJL78" s="548"/>
      <c r="HJM78" s="548"/>
      <c r="HJN78" s="548"/>
      <c r="HJO78" s="548"/>
      <c r="HJP78" s="548"/>
      <c r="HJQ78" s="452"/>
      <c r="HJR78" s="596"/>
      <c r="HJS78" s="548"/>
      <c r="HJT78" s="548"/>
      <c r="HJU78" s="548"/>
      <c r="HJV78" s="548"/>
      <c r="HJW78" s="548"/>
      <c r="HJX78" s="452"/>
      <c r="HJY78" s="596"/>
      <c r="HJZ78" s="548"/>
      <c r="HKA78" s="548"/>
      <c r="HKB78" s="548"/>
      <c r="HKC78" s="548"/>
      <c r="HKD78" s="548"/>
      <c r="HKE78" s="452"/>
      <c r="HKF78" s="596"/>
      <c r="HKG78" s="548"/>
      <c r="HKH78" s="548"/>
      <c r="HKI78" s="548"/>
      <c r="HKJ78" s="548"/>
      <c r="HKK78" s="548"/>
      <c r="HKL78" s="452"/>
      <c r="HKM78" s="596"/>
      <c r="HKN78" s="548"/>
      <c r="HKO78" s="548"/>
      <c r="HKP78" s="548"/>
      <c r="HKQ78" s="548"/>
      <c r="HKR78" s="548"/>
      <c r="HKS78" s="452"/>
      <c r="HKT78" s="596"/>
      <c r="HKU78" s="548"/>
      <c r="HKV78" s="548"/>
      <c r="HKW78" s="548"/>
      <c r="HKX78" s="548"/>
      <c r="HKY78" s="548"/>
      <c r="HKZ78" s="452"/>
      <c r="HLA78" s="596"/>
      <c r="HLB78" s="548"/>
      <c r="HLC78" s="548"/>
      <c r="HLD78" s="548"/>
      <c r="HLE78" s="548"/>
      <c r="HLF78" s="548"/>
      <c r="HLG78" s="452"/>
      <c r="HLH78" s="596"/>
      <c r="HLI78" s="548"/>
      <c r="HLJ78" s="548"/>
      <c r="HLK78" s="548"/>
      <c r="HLL78" s="548"/>
      <c r="HLM78" s="548"/>
      <c r="HLN78" s="452"/>
      <c r="HLO78" s="596"/>
      <c r="HLP78" s="548"/>
      <c r="HLQ78" s="548"/>
      <c r="HLR78" s="548"/>
      <c r="HLS78" s="548"/>
      <c r="HLT78" s="548"/>
      <c r="HLU78" s="452"/>
      <c r="HLV78" s="596"/>
      <c r="HLW78" s="548"/>
      <c r="HLX78" s="548"/>
      <c r="HLY78" s="548"/>
      <c r="HLZ78" s="548"/>
      <c r="HMA78" s="548"/>
      <c r="HMB78" s="452"/>
      <c r="HMC78" s="596"/>
      <c r="HMD78" s="548"/>
      <c r="HME78" s="548"/>
      <c r="HMF78" s="548"/>
      <c r="HMG78" s="548"/>
      <c r="HMH78" s="548"/>
      <c r="HMI78" s="452"/>
      <c r="HMJ78" s="596"/>
      <c r="HMK78" s="548"/>
      <c r="HML78" s="548"/>
      <c r="HMM78" s="548"/>
      <c r="HMN78" s="548"/>
      <c r="HMO78" s="548"/>
      <c r="HMP78" s="452"/>
      <c r="HMQ78" s="596"/>
      <c r="HMR78" s="548"/>
      <c r="HMS78" s="548"/>
      <c r="HMT78" s="548"/>
      <c r="HMU78" s="548"/>
      <c r="HMV78" s="548"/>
      <c r="HMW78" s="452"/>
      <c r="HMX78" s="596"/>
      <c r="HMY78" s="548"/>
      <c r="HMZ78" s="548"/>
      <c r="HNA78" s="548"/>
      <c r="HNB78" s="548"/>
      <c r="HNC78" s="548"/>
      <c r="HND78" s="452"/>
      <c r="HNE78" s="596"/>
      <c r="HNF78" s="548"/>
      <c r="HNG78" s="548"/>
      <c r="HNH78" s="548"/>
      <c r="HNI78" s="548"/>
      <c r="HNJ78" s="548"/>
      <c r="HNK78" s="452"/>
      <c r="HNL78" s="596"/>
      <c r="HNM78" s="548"/>
      <c r="HNN78" s="548"/>
      <c r="HNO78" s="548"/>
      <c r="HNP78" s="548"/>
      <c r="HNQ78" s="548"/>
      <c r="HNR78" s="452"/>
      <c r="HNS78" s="596"/>
      <c r="HNT78" s="548"/>
      <c r="HNU78" s="548"/>
      <c r="HNV78" s="548"/>
      <c r="HNW78" s="548"/>
      <c r="HNX78" s="548"/>
      <c r="HNY78" s="452"/>
      <c r="HNZ78" s="596"/>
      <c r="HOA78" s="548"/>
      <c r="HOB78" s="548"/>
      <c r="HOC78" s="548"/>
      <c r="HOD78" s="548"/>
      <c r="HOE78" s="548"/>
      <c r="HOF78" s="452"/>
      <c r="HOG78" s="596"/>
      <c r="HOH78" s="548"/>
      <c r="HOI78" s="548"/>
      <c r="HOJ78" s="548"/>
      <c r="HOK78" s="548"/>
      <c r="HOL78" s="548"/>
      <c r="HOM78" s="452"/>
      <c r="HON78" s="596"/>
      <c r="HOO78" s="548"/>
      <c r="HOP78" s="548"/>
      <c r="HOQ78" s="548"/>
      <c r="HOR78" s="548"/>
      <c r="HOS78" s="548"/>
      <c r="HOT78" s="452"/>
      <c r="HOU78" s="596"/>
      <c r="HOV78" s="548"/>
      <c r="HOW78" s="548"/>
      <c r="HOX78" s="548"/>
      <c r="HOY78" s="548"/>
      <c r="HOZ78" s="548"/>
      <c r="HPA78" s="452"/>
      <c r="HPB78" s="596"/>
      <c r="HPC78" s="548"/>
      <c r="HPD78" s="548"/>
      <c r="HPE78" s="548"/>
      <c r="HPF78" s="548"/>
      <c r="HPG78" s="548"/>
      <c r="HPH78" s="452"/>
      <c r="HPI78" s="596"/>
      <c r="HPJ78" s="548"/>
      <c r="HPK78" s="548"/>
      <c r="HPL78" s="548"/>
      <c r="HPM78" s="548"/>
      <c r="HPN78" s="548"/>
      <c r="HPO78" s="452"/>
      <c r="HPP78" s="596"/>
      <c r="HPQ78" s="548"/>
      <c r="HPR78" s="548"/>
      <c r="HPS78" s="548"/>
      <c r="HPT78" s="548"/>
      <c r="HPU78" s="548"/>
      <c r="HPV78" s="452"/>
      <c r="HPW78" s="596"/>
      <c r="HPX78" s="548"/>
      <c r="HPY78" s="548"/>
      <c r="HPZ78" s="548"/>
      <c r="HQA78" s="548"/>
      <c r="HQB78" s="548"/>
      <c r="HQC78" s="452"/>
      <c r="HQD78" s="596"/>
      <c r="HQE78" s="548"/>
      <c r="HQF78" s="548"/>
      <c r="HQG78" s="548"/>
      <c r="HQH78" s="548"/>
      <c r="HQI78" s="548"/>
      <c r="HQJ78" s="452"/>
      <c r="HQK78" s="596"/>
      <c r="HQL78" s="548"/>
      <c r="HQM78" s="548"/>
      <c r="HQN78" s="548"/>
      <c r="HQO78" s="548"/>
      <c r="HQP78" s="548"/>
      <c r="HQQ78" s="452"/>
      <c r="HQR78" s="596"/>
      <c r="HQS78" s="548"/>
      <c r="HQT78" s="548"/>
      <c r="HQU78" s="548"/>
      <c r="HQV78" s="548"/>
      <c r="HQW78" s="548"/>
      <c r="HQX78" s="452"/>
      <c r="HQY78" s="596"/>
      <c r="HQZ78" s="548"/>
      <c r="HRA78" s="548"/>
      <c r="HRB78" s="548"/>
      <c r="HRC78" s="548"/>
      <c r="HRD78" s="548"/>
      <c r="HRE78" s="452"/>
      <c r="HRF78" s="596"/>
      <c r="HRG78" s="548"/>
      <c r="HRH78" s="548"/>
      <c r="HRI78" s="548"/>
      <c r="HRJ78" s="548"/>
      <c r="HRK78" s="548"/>
      <c r="HRL78" s="452"/>
      <c r="HRM78" s="596"/>
      <c r="HRN78" s="548"/>
      <c r="HRO78" s="548"/>
      <c r="HRP78" s="548"/>
      <c r="HRQ78" s="548"/>
      <c r="HRR78" s="548"/>
      <c r="HRS78" s="452"/>
      <c r="HRT78" s="596"/>
      <c r="HRU78" s="548"/>
      <c r="HRV78" s="548"/>
      <c r="HRW78" s="548"/>
      <c r="HRX78" s="548"/>
      <c r="HRY78" s="548"/>
      <c r="HRZ78" s="452"/>
      <c r="HSA78" s="596"/>
      <c r="HSB78" s="548"/>
      <c r="HSC78" s="548"/>
      <c r="HSD78" s="548"/>
      <c r="HSE78" s="548"/>
      <c r="HSF78" s="548"/>
      <c r="HSG78" s="452"/>
      <c r="HSH78" s="596"/>
      <c r="HSI78" s="548"/>
      <c r="HSJ78" s="548"/>
      <c r="HSK78" s="548"/>
      <c r="HSL78" s="548"/>
      <c r="HSM78" s="548"/>
      <c r="HSN78" s="452"/>
      <c r="HSO78" s="596"/>
      <c r="HSP78" s="548"/>
      <c r="HSQ78" s="548"/>
      <c r="HSR78" s="548"/>
      <c r="HSS78" s="548"/>
      <c r="HST78" s="548"/>
      <c r="HSU78" s="452"/>
      <c r="HSV78" s="596"/>
      <c r="HSW78" s="548"/>
      <c r="HSX78" s="548"/>
      <c r="HSY78" s="548"/>
      <c r="HSZ78" s="548"/>
      <c r="HTA78" s="548"/>
      <c r="HTB78" s="452"/>
      <c r="HTC78" s="596"/>
      <c r="HTD78" s="548"/>
      <c r="HTE78" s="548"/>
      <c r="HTF78" s="548"/>
      <c r="HTG78" s="548"/>
      <c r="HTH78" s="548"/>
      <c r="HTI78" s="452"/>
      <c r="HTJ78" s="596"/>
      <c r="HTK78" s="548"/>
      <c r="HTL78" s="548"/>
      <c r="HTM78" s="548"/>
      <c r="HTN78" s="548"/>
      <c r="HTO78" s="548"/>
      <c r="HTP78" s="452"/>
      <c r="HTQ78" s="596"/>
      <c r="HTR78" s="548"/>
      <c r="HTS78" s="548"/>
      <c r="HTT78" s="548"/>
      <c r="HTU78" s="548"/>
      <c r="HTV78" s="548"/>
      <c r="HTW78" s="452"/>
      <c r="HTX78" s="596"/>
      <c r="HTY78" s="548"/>
      <c r="HTZ78" s="548"/>
      <c r="HUA78" s="548"/>
      <c r="HUB78" s="548"/>
      <c r="HUC78" s="548"/>
      <c r="HUD78" s="452"/>
      <c r="HUE78" s="596"/>
      <c r="HUF78" s="548"/>
      <c r="HUG78" s="548"/>
      <c r="HUH78" s="548"/>
      <c r="HUI78" s="548"/>
      <c r="HUJ78" s="548"/>
      <c r="HUK78" s="452"/>
      <c r="HUL78" s="596"/>
      <c r="HUM78" s="548"/>
      <c r="HUN78" s="548"/>
      <c r="HUO78" s="548"/>
      <c r="HUP78" s="548"/>
      <c r="HUQ78" s="548"/>
      <c r="HUR78" s="452"/>
      <c r="HUS78" s="596"/>
      <c r="HUT78" s="548"/>
      <c r="HUU78" s="548"/>
      <c r="HUV78" s="548"/>
      <c r="HUW78" s="548"/>
      <c r="HUX78" s="548"/>
      <c r="HUY78" s="452"/>
      <c r="HUZ78" s="596"/>
      <c r="HVA78" s="548"/>
      <c r="HVB78" s="548"/>
      <c r="HVC78" s="548"/>
      <c r="HVD78" s="548"/>
      <c r="HVE78" s="548"/>
      <c r="HVF78" s="452"/>
      <c r="HVG78" s="596"/>
      <c r="HVH78" s="548"/>
      <c r="HVI78" s="548"/>
      <c r="HVJ78" s="548"/>
      <c r="HVK78" s="548"/>
      <c r="HVL78" s="548"/>
      <c r="HVM78" s="452"/>
      <c r="HVN78" s="596"/>
      <c r="HVO78" s="548"/>
      <c r="HVP78" s="548"/>
      <c r="HVQ78" s="548"/>
      <c r="HVR78" s="548"/>
      <c r="HVS78" s="548"/>
      <c r="HVT78" s="452"/>
      <c r="HVU78" s="596"/>
      <c r="HVV78" s="548"/>
      <c r="HVW78" s="548"/>
      <c r="HVX78" s="548"/>
      <c r="HVY78" s="548"/>
      <c r="HVZ78" s="548"/>
      <c r="HWA78" s="452"/>
      <c r="HWB78" s="596"/>
      <c r="HWC78" s="548"/>
      <c r="HWD78" s="548"/>
      <c r="HWE78" s="548"/>
      <c r="HWF78" s="548"/>
      <c r="HWG78" s="548"/>
      <c r="HWH78" s="452"/>
      <c r="HWI78" s="596"/>
      <c r="HWJ78" s="548"/>
      <c r="HWK78" s="548"/>
      <c r="HWL78" s="548"/>
      <c r="HWM78" s="548"/>
      <c r="HWN78" s="548"/>
      <c r="HWO78" s="452"/>
      <c r="HWP78" s="596"/>
      <c r="HWQ78" s="548"/>
      <c r="HWR78" s="548"/>
      <c r="HWS78" s="548"/>
      <c r="HWT78" s="548"/>
      <c r="HWU78" s="548"/>
      <c r="HWV78" s="452"/>
      <c r="HWW78" s="596"/>
      <c r="HWX78" s="548"/>
      <c r="HWY78" s="548"/>
      <c r="HWZ78" s="548"/>
      <c r="HXA78" s="548"/>
      <c r="HXB78" s="548"/>
      <c r="HXC78" s="452"/>
      <c r="HXD78" s="596"/>
      <c r="HXE78" s="548"/>
      <c r="HXF78" s="548"/>
      <c r="HXG78" s="548"/>
      <c r="HXH78" s="548"/>
      <c r="HXI78" s="548"/>
      <c r="HXJ78" s="452"/>
      <c r="HXK78" s="596"/>
      <c r="HXL78" s="548"/>
      <c r="HXM78" s="548"/>
      <c r="HXN78" s="548"/>
      <c r="HXO78" s="548"/>
      <c r="HXP78" s="548"/>
      <c r="HXQ78" s="452"/>
      <c r="HXR78" s="596"/>
      <c r="HXS78" s="548"/>
      <c r="HXT78" s="548"/>
      <c r="HXU78" s="548"/>
      <c r="HXV78" s="548"/>
      <c r="HXW78" s="548"/>
      <c r="HXX78" s="452"/>
      <c r="HXY78" s="596"/>
      <c r="HXZ78" s="548"/>
      <c r="HYA78" s="548"/>
      <c r="HYB78" s="548"/>
      <c r="HYC78" s="548"/>
      <c r="HYD78" s="548"/>
      <c r="HYE78" s="452"/>
      <c r="HYF78" s="596"/>
      <c r="HYG78" s="548"/>
      <c r="HYH78" s="548"/>
      <c r="HYI78" s="548"/>
      <c r="HYJ78" s="548"/>
      <c r="HYK78" s="548"/>
      <c r="HYL78" s="452"/>
      <c r="HYM78" s="596"/>
      <c r="HYN78" s="548"/>
      <c r="HYO78" s="548"/>
      <c r="HYP78" s="548"/>
      <c r="HYQ78" s="548"/>
      <c r="HYR78" s="548"/>
      <c r="HYS78" s="452"/>
      <c r="HYT78" s="596"/>
      <c r="HYU78" s="548"/>
      <c r="HYV78" s="548"/>
      <c r="HYW78" s="548"/>
      <c r="HYX78" s="548"/>
      <c r="HYY78" s="548"/>
      <c r="HYZ78" s="452"/>
      <c r="HZA78" s="596"/>
      <c r="HZB78" s="548"/>
      <c r="HZC78" s="548"/>
      <c r="HZD78" s="548"/>
      <c r="HZE78" s="548"/>
      <c r="HZF78" s="548"/>
      <c r="HZG78" s="452"/>
      <c r="HZH78" s="596"/>
      <c r="HZI78" s="548"/>
      <c r="HZJ78" s="548"/>
      <c r="HZK78" s="548"/>
      <c r="HZL78" s="548"/>
      <c r="HZM78" s="548"/>
      <c r="HZN78" s="452"/>
      <c r="HZO78" s="596"/>
      <c r="HZP78" s="548"/>
      <c r="HZQ78" s="548"/>
      <c r="HZR78" s="548"/>
      <c r="HZS78" s="548"/>
      <c r="HZT78" s="548"/>
      <c r="HZU78" s="452"/>
      <c r="HZV78" s="596"/>
      <c r="HZW78" s="548"/>
      <c r="HZX78" s="548"/>
      <c r="HZY78" s="548"/>
      <c r="HZZ78" s="548"/>
      <c r="IAA78" s="548"/>
      <c r="IAB78" s="452"/>
      <c r="IAC78" s="596"/>
      <c r="IAD78" s="548"/>
      <c r="IAE78" s="548"/>
      <c r="IAF78" s="548"/>
      <c r="IAG78" s="548"/>
      <c r="IAH78" s="548"/>
      <c r="IAI78" s="452"/>
      <c r="IAJ78" s="596"/>
      <c r="IAK78" s="548"/>
      <c r="IAL78" s="548"/>
      <c r="IAM78" s="548"/>
      <c r="IAN78" s="548"/>
      <c r="IAO78" s="548"/>
      <c r="IAP78" s="452"/>
      <c r="IAQ78" s="596"/>
      <c r="IAR78" s="548"/>
      <c r="IAS78" s="548"/>
      <c r="IAT78" s="548"/>
      <c r="IAU78" s="548"/>
      <c r="IAV78" s="548"/>
      <c r="IAW78" s="452"/>
      <c r="IAX78" s="596"/>
      <c r="IAY78" s="548"/>
      <c r="IAZ78" s="548"/>
      <c r="IBA78" s="548"/>
      <c r="IBB78" s="548"/>
      <c r="IBC78" s="548"/>
      <c r="IBD78" s="452"/>
      <c r="IBE78" s="596"/>
      <c r="IBF78" s="548"/>
      <c r="IBG78" s="548"/>
      <c r="IBH78" s="548"/>
      <c r="IBI78" s="548"/>
      <c r="IBJ78" s="548"/>
      <c r="IBK78" s="452"/>
      <c r="IBL78" s="596"/>
      <c r="IBM78" s="548"/>
      <c r="IBN78" s="548"/>
      <c r="IBO78" s="548"/>
      <c r="IBP78" s="548"/>
      <c r="IBQ78" s="548"/>
      <c r="IBR78" s="452"/>
      <c r="IBS78" s="596"/>
      <c r="IBT78" s="548"/>
      <c r="IBU78" s="548"/>
      <c r="IBV78" s="548"/>
      <c r="IBW78" s="548"/>
      <c r="IBX78" s="548"/>
      <c r="IBY78" s="452"/>
      <c r="IBZ78" s="596"/>
      <c r="ICA78" s="548"/>
      <c r="ICB78" s="548"/>
      <c r="ICC78" s="548"/>
      <c r="ICD78" s="548"/>
      <c r="ICE78" s="548"/>
      <c r="ICF78" s="452"/>
      <c r="ICG78" s="596"/>
      <c r="ICH78" s="548"/>
      <c r="ICI78" s="548"/>
      <c r="ICJ78" s="548"/>
      <c r="ICK78" s="548"/>
      <c r="ICL78" s="548"/>
      <c r="ICM78" s="452"/>
      <c r="ICN78" s="596"/>
      <c r="ICO78" s="548"/>
      <c r="ICP78" s="548"/>
      <c r="ICQ78" s="548"/>
      <c r="ICR78" s="548"/>
      <c r="ICS78" s="548"/>
      <c r="ICT78" s="452"/>
      <c r="ICU78" s="596"/>
      <c r="ICV78" s="548"/>
      <c r="ICW78" s="548"/>
      <c r="ICX78" s="548"/>
      <c r="ICY78" s="548"/>
      <c r="ICZ78" s="548"/>
      <c r="IDA78" s="452"/>
      <c r="IDB78" s="596"/>
      <c r="IDC78" s="548"/>
      <c r="IDD78" s="548"/>
      <c r="IDE78" s="548"/>
      <c r="IDF78" s="548"/>
      <c r="IDG78" s="548"/>
      <c r="IDH78" s="452"/>
      <c r="IDI78" s="596"/>
      <c r="IDJ78" s="548"/>
      <c r="IDK78" s="548"/>
      <c r="IDL78" s="548"/>
      <c r="IDM78" s="548"/>
      <c r="IDN78" s="548"/>
      <c r="IDO78" s="452"/>
      <c r="IDP78" s="596"/>
      <c r="IDQ78" s="548"/>
      <c r="IDR78" s="548"/>
      <c r="IDS78" s="548"/>
      <c r="IDT78" s="548"/>
      <c r="IDU78" s="548"/>
      <c r="IDV78" s="452"/>
      <c r="IDW78" s="596"/>
      <c r="IDX78" s="548"/>
      <c r="IDY78" s="548"/>
      <c r="IDZ78" s="548"/>
      <c r="IEA78" s="548"/>
      <c r="IEB78" s="548"/>
      <c r="IEC78" s="452"/>
      <c r="IED78" s="596"/>
      <c r="IEE78" s="548"/>
      <c r="IEF78" s="548"/>
      <c r="IEG78" s="548"/>
      <c r="IEH78" s="548"/>
      <c r="IEI78" s="548"/>
      <c r="IEJ78" s="452"/>
      <c r="IEK78" s="596"/>
      <c r="IEL78" s="548"/>
      <c r="IEM78" s="548"/>
      <c r="IEN78" s="548"/>
      <c r="IEO78" s="548"/>
      <c r="IEP78" s="548"/>
      <c r="IEQ78" s="452"/>
      <c r="IER78" s="596"/>
      <c r="IES78" s="548"/>
      <c r="IET78" s="548"/>
      <c r="IEU78" s="548"/>
      <c r="IEV78" s="548"/>
      <c r="IEW78" s="548"/>
      <c r="IEX78" s="452"/>
      <c r="IEY78" s="596"/>
      <c r="IEZ78" s="548"/>
      <c r="IFA78" s="548"/>
      <c r="IFB78" s="548"/>
      <c r="IFC78" s="548"/>
      <c r="IFD78" s="548"/>
      <c r="IFE78" s="452"/>
      <c r="IFF78" s="596"/>
      <c r="IFG78" s="548"/>
      <c r="IFH78" s="548"/>
      <c r="IFI78" s="548"/>
      <c r="IFJ78" s="548"/>
      <c r="IFK78" s="548"/>
      <c r="IFL78" s="452"/>
      <c r="IFM78" s="596"/>
      <c r="IFN78" s="548"/>
      <c r="IFO78" s="548"/>
      <c r="IFP78" s="548"/>
      <c r="IFQ78" s="548"/>
      <c r="IFR78" s="548"/>
      <c r="IFS78" s="452"/>
      <c r="IFT78" s="596"/>
      <c r="IFU78" s="548"/>
      <c r="IFV78" s="548"/>
      <c r="IFW78" s="548"/>
      <c r="IFX78" s="548"/>
      <c r="IFY78" s="548"/>
      <c r="IFZ78" s="452"/>
      <c r="IGA78" s="596"/>
      <c r="IGB78" s="548"/>
      <c r="IGC78" s="548"/>
      <c r="IGD78" s="548"/>
      <c r="IGE78" s="548"/>
      <c r="IGF78" s="548"/>
      <c r="IGG78" s="452"/>
      <c r="IGH78" s="596"/>
      <c r="IGI78" s="548"/>
      <c r="IGJ78" s="548"/>
      <c r="IGK78" s="548"/>
      <c r="IGL78" s="548"/>
      <c r="IGM78" s="548"/>
      <c r="IGN78" s="452"/>
      <c r="IGO78" s="596"/>
      <c r="IGP78" s="548"/>
      <c r="IGQ78" s="548"/>
      <c r="IGR78" s="548"/>
      <c r="IGS78" s="548"/>
      <c r="IGT78" s="548"/>
      <c r="IGU78" s="452"/>
      <c r="IGV78" s="596"/>
      <c r="IGW78" s="548"/>
      <c r="IGX78" s="548"/>
      <c r="IGY78" s="548"/>
      <c r="IGZ78" s="548"/>
      <c r="IHA78" s="548"/>
      <c r="IHB78" s="452"/>
      <c r="IHC78" s="596"/>
      <c r="IHD78" s="548"/>
      <c r="IHE78" s="548"/>
      <c r="IHF78" s="548"/>
      <c r="IHG78" s="548"/>
      <c r="IHH78" s="548"/>
      <c r="IHI78" s="452"/>
      <c r="IHJ78" s="596"/>
      <c r="IHK78" s="548"/>
      <c r="IHL78" s="548"/>
      <c r="IHM78" s="548"/>
      <c r="IHN78" s="548"/>
      <c r="IHO78" s="548"/>
      <c r="IHP78" s="452"/>
      <c r="IHQ78" s="596"/>
      <c r="IHR78" s="548"/>
      <c r="IHS78" s="548"/>
      <c r="IHT78" s="548"/>
      <c r="IHU78" s="548"/>
      <c r="IHV78" s="548"/>
      <c r="IHW78" s="452"/>
      <c r="IHX78" s="596"/>
      <c r="IHY78" s="548"/>
      <c r="IHZ78" s="548"/>
      <c r="IIA78" s="548"/>
      <c r="IIB78" s="548"/>
      <c r="IIC78" s="548"/>
      <c r="IID78" s="452"/>
      <c r="IIE78" s="596"/>
      <c r="IIF78" s="548"/>
      <c r="IIG78" s="548"/>
      <c r="IIH78" s="548"/>
      <c r="III78" s="548"/>
      <c r="IIJ78" s="548"/>
      <c r="IIK78" s="452"/>
      <c r="IIL78" s="596"/>
      <c r="IIM78" s="548"/>
      <c r="IIN78" s="548"/>
      <c r="IIO78" s="548"/>
      <c r="IIP78" s="548"/>
      <c r="IIQ78" s="548"/>
      <c r="IIR78" s="452"/>
      <c r="IIS78" s="596"/>
      <c r="IIT78" s="548"/>
      <c r="IIU78" s="548"/>
      <c r="IIV78" s="548"/>
      <c r="IIW78" s="548"/>
      <c r="IIX78" s="548"/>
      <c r="IIY78" s="452"/>
      <c r="IIZ78" s="596"/>
      <c r="IJA78" s="548"/>
      <c r="IJB78" s="548"/>
      <c r="IJC78" s="548"/>
      <c r="IJD78" s="548"/>
      <c r="IJE78" s="548"/>
      <c r="IJF78" s="452"/>
      <c r="IJG78" s="596"/>
      <c r="IJH78" s="548"/>
      <c r="IJI78" s="548"/>
      <c r="IJJ78" s="548"/>
      <c r="IJK78" s="548"/>
      <c r="IJL78" s="548"/>
      <c r="IJM78" s="452"/>
      <c r="IJN78" s="596"/>
      <c r="IJO78" s="548"/>
      <c r="IJP78" s="548"/>
      <c r="IJQ78" s="548"/>
      <c r="IJR78" s="548"/>
      <c r="IJS78" s="548"/>
      <c r="IJT78" s="452"/>
      <c r="IJU78" s="596"/>
      <c r="IJV78" s="548"/>
      <c r="IJW78" s="548"/>
      <c r="IJX78" s="548"/>
      <c r="IJY78" s="548"/>
      <c r="IJZ78" s="548"/>
      <c r="IKA78" s="452"/>
      <c r="IKB78" s="596"/>
      <c r="IKC78" s="548"/>
      <c r="IKD78" s="548"/>
      <c r="IKE78" s="548"/>
      <c r="IKF78" s="548"/>
      <c r="IKG78" s="548"/>
      <c r="IKH78" s="452"/>
      <c r="IKI78" s="596"/>
      <c r="IKJ78" s="548"/>
      <c r="IKK78" s="548"/>
      <c r="IKL78" s="548"/>
      <c r="IKM78" s="548"/>
      <c r="IKN78" s="548"/>
      <c r="IKO78" s="452"/>
      <c r="IKP78" s="596"/>
      <c r="IKQ78" s="548"/>
      <c r="IKR78" s="548"/>
      <c r="IKS78" s="548"/>
      <c r="IKT78" s="548"/>
      <c r="IKU78" s="548"/>
      <c r="IKV78" s="452"/>
      <c r="IKW78" s="596"/>
      <c r="IKX78" s="548"/>
      <c r="IKY78" s="548"/>
      <c r="IKZ78" s="548"/>
      <c r="ILA78" s="548"/>
      <c r="ILB78" s="548"/>
      <c r="ILC78" s="452"/>
      <c r="ILD78" s="596"/>
      <c r="ILE78" s="548"/>
      <c r="ILF78" s="548"/>
      <c r="ILG78" s="548"/>
      <c r="ILH78" s="548"/>
      <c r="ILI78" s="548"/>
      <c r="ILJ78" s="452"/>
      <c r="ILK78" s="596"/>
      <c r="ILL78" s="548"/>
      <c r="ILM78" s="548"/>
      <c r="ILN78" s="548"/>
      <c r="ILO78" s="548"/>
      <c r="ILP78" s="548"/>
      <c r="ILQ78" s="452"/>
      <c r="ILR78" s="596"/>
      <c r="ILS78" s="548"/>
      <c r="ILT78" s="548"/>
      <c r="ILU78" s="548"/>
      <c r="ILV78" s="548"/>
      <c r="ILW78" s="548"/>
      <c r="ILX78" s="452"/>
      <c r="ILY78" s="596"/>
      <c r="ILZ78" s="548"/>
      <c r="IMA78" s="548"/>
      <c r="IMB78" s="548"/>
      <c r="IMC78" s="548"/>
      <c r="IMD78" s="548"/>
      <c r="IME78" s="452"/>
      <c r="IMF78" s="596"/>
      <c r="IMG78" s="548"/>
      <c r="IMH78" s="548"/>
      <c r="IMI78" s="548"/>
      <c r="IMJ78" s="548"/>
      <c r="IMK78" s="548"/>
      <c r="IML78" s="452"/>
      <c r="IMM78" s="596"/>
      <c r="IMN78" s="548"/>
      <c r="IMO78" s="548"/>
      <c r="IMP78" s="548"/>
      <c r="IMQ78" s="548"/>
      <c r="IMR78" s="548"/>
      <c r="IMS78" s="452"/>
      <c r="IMT78" s="596"/>
      <c r="IMU78" s="548"/>
      <c r="IMV78" s="548"/>
      <c r="IMW78" s="548"/>
      <c r="IMX78" s="548"/>
      <c r="IMY78" s="548"/>
      <c r="IMZ78" s="452"/>
      <c r="INA78" s="596"/>
      <c r="INB78" s="548"/>
      <c r="INC78" s="548"/>
      <c r="IND78" s="548"/>
      <c r="INE78" s="548"/>
      <c r="INF78" s="548"/>
      <c r="ING78" s="452"/>
      <c r="INH78" s="596"/>
      <c r="INI78" s="548"/>
      <c r="INJ78" s="548"/>
      <c r="INK78" s="548"/>
      <c r="INL78" s="548"/>
      <c r="INM78" s="548"/>
      <c r="INN78" s="452"/>
      <c r="INO78" s="596"/>
      <c r="INP78" s="548"/>
      <c r="INQ78" s="548"/>
      <c r="INR78" s="548"/>
      <c r="INS78" s="548"/>
      <c r="INT78" s="548"/>
      <c r="INU78" s="452"/>
      <c r="INV78" s="596"/>
      <c r="INW78" s="548"/>
      <c r="INX78" s="548"/>
      <c r="INY78" s="548"/>
      <c r="INZ78" s="548"/>
      <c r="IOA78" s="548"/>
      <c r="IOB78" s="452"/>
      <c r="IOC78" s="596"/>
      <c r="IOD78" s="548"/>
      <c r="IOE78" s="548"/>
      <c r="IOF78" s="548"/>
      <c r="IOG78" s="548"/>
      <c r="IOH78" s="548"/>
      <c r="IOI78" s="452"/>
      <c r="IOJ78" s="596"/>
      <c r="IOK78" s="548"/>
      <c r="IOL78" s="548"/>
      <c r="IOM78" s="548"/>
      <c r="ION78" s="548"/>
      <c r="IOO78" s="548"/>
      <c r="IOP78" s="452"/>
      <c r="IOQ78" s="596"/>
      <c r="IOR78" s="548"/>
      <c r="IOS78" s="548"/>
      <c r="IOT78" s="548"/>
      <c r="IOU78" s="548"/>
      <c r="IOV78" s="548"/>
      <c r="IOW78" s="452"/>
      <c r="IOX78" s="596"/>
      <c r="IOY78" s="548"/>
      <c r="IOZ78" s="548"/>
      <c r="IPA78" s="548"/>
      <c r="IPB78" s="548"/>
      <c r="IPC78" s="548"/>
      <c r="IPD78" s="452"/>
      <c r="IPE78" s="596"/>
      <c r="IPF78" s="548"/>
      <c r="IPG78" s="548"/>
      <c r="IPH78" s="548"/>
      <c r="IPI78" s="548"/>
      <c r="IPJ78" s="548"/>
      <c r="IPK78" s="452"/>
      <c r="IPL78" s="596"/>
      <c r="IPM78" s="548"/>
      <c r="IPN78" s="548"/>
      <c r="IPO78" s="548"/>
      <c r="IPP78" s="548"/>
      <c r="IPQ78" s="548"/>
      <c r="IPR78" s="452"/>
      <c r="IPS78" s="596"/>
      <c r="IPT78" s="548"/>
      <c r="IPU78" s="548"/>
      <c r="IPV78" s="548"/>
      <c r="IPW78" s="548"/>
      <c r="IPX78" s="548"/>
      <c r="IPY78" s="452"/>
      <c r="IPZ78" s="596"/>
      <c r="IQA78" s="548"/>
      <c r="IQB78" s="548"/>
      <c r="IQC78" s="548"/>
      <c r="IQD78" s="548"/>
      <c r="IQE78" s="548"/>
      <c r="IQF78" s="452"/>
      <c r="IQG78" s="596"/>
      <c r="IQH78" s="548"/>
      <c r="IQI78" s="548"/>
      <c r="IQJ78" s="548"/>
      <c r="IQK78" s="548"/>
      <c r="IQL78" s="548"/>
      <c r="IQM78" s="452"/>
      <c r="IQN78" s="596"/>
      <c r="IQO78" s="548"/>
      <c r="IQP78" s="548"/>
      <c r="IQQ78" s="548"/>
      <c r="IQR78" s="548"/>
      <c r="IQS78" s="548"/>
      <c r="IQT78" s="452"/>
      <c r="IQU78" s="596"/>
      <c r="IQV78" s="548"/>
      <c r="IQW78" s="548"/>
      <c r="IQX78" s="548"/>
      <c r="IQY78" s="548"/>
      <c r="IQZ78" s="548"/>
      <c r="IRA78" s="452"/>
      <c r="IRB78" s="596"/>
      <c r="IRC78" s="548"/>
      <c r="IRD78" s="548"/>
      <c r="IRE78" s="548"/>
      <c r="IRF78" s="548"/>
      <c r="IRG78" s="548"/>
      <c r="IRH78" s="452"/>
      <c r="IRI78" s="596"/>
      <c r="IRJ78" s="548"/>
      <c r="IRK78" s="548"/>
      <c r="IRL78" s="548"/>
      <c r="IRM78" s="548"/>
      <c r="IRN78" s="548"/>
      <c r="IRO78" s="452"/>
      <c r="IRP78" s="596"/>
      <c r="IRQ78" s="548"/>
      <c r="IRR78" s="548"/>
      <c r="IRS78" s="548"/>
      <c r="IRT78" s="548"/>
      <c r="IRU78" s="548"/>
      <c r="IRV78" s="452"/>
      <c r="IRW78" s="596"/>
      <c r="IRX78" s="548"/>
      <c r="IRY78" s="548"/>
      <c r="IRZ78" s="548"/>
      <c r="ISA78" s="548"/>
      <c r="ISB78" s="548"/>
      <c r="ISC78" s="452"/>
      <c r="ISD78" s="596"/>
      <c r="ISE78" s="548"/>
      <c r="ISF78" s="548"/>
      <c r="ISG78" s="548"/>
      <c r="ISH78" s="548"/>
      <c r="ISI78" s="548"/>
      <c r="ISJ78" s="452"/>
      <c r="ISK78" s="596"/>
      <c r="ISL78" s="548"/>
      <c r="ISM78" s="548"/>
      <c r="ISN78" s="548"/>
      <c r="ISO78" s="548"/>
      <c r="ISP78" s="548"/>
      <c r="ISQ78" s="452"/>
      <c r="ISR78" s="596"/>
      <c r="ISS78" s="548"/>
      <c r="IST78" s="548"/>
      <c r="ISU78" s="548"/>
      <c r="ISV78" s="548"/>
      <c r="ISW78" s="548"/>
      <c r="ISX78" s="452"/>
      <c r="ISY78" s="596"/>
      <c r="ISZ78" s="548"/>
      <c r="ITA78" s="548"/>
      <c r="ITB78" s="548"/>
      <c r="ITC78" s="548"/>
      <c r="ITD78" s="548"/>
      <c r="ITE78" s="452"/>
      <c r="ITF78" s="596"/>
      <c r="ITG78" s="548"/>
      <c r="ITH78" s="548"/>
      <c r="ITI78" s="548"/>
      <c r="ITJ78" s="548"/>
      <c r="ITK78" s="548"/>
      <c r="ITL78" s="452"/>
      <c r="ITM78" s="596"/>
      <c r="ITN78" s="548"/>
      <c r="ITO78" s="548"/>
      <c r="ITP78" s="548"/>
      <c r="ITQ78" s="548"/>
      <c r="ITR78" s="548"/>
      <c r="ITS78" s="452"/>
      <c r="ITT78" s="596"/>
      <c r="ITU78" s="548"/>
      <c r="ITV78" s="548"/>
      <c r="ITW78" s="548"/>
      <c r="ITX78" s="548"/>
      <c r="ITY78" s="548"/>
      <c r="ITZ78" s="452"/>
      <c r="IUA78" s="596"/>
      <c r="IUB78" s="548"/>
      <c r="IUC78" s="548"/>
      <c r="IUD78" s="548"/>
      <c r="IUE78" s="548"/>
      <c r="IUF78" s="548"/>
      <c r="IUG78" s="452"/>
      <c r="IUH78" s="596"/>
      <c r="IUI78" s="548"/>
      <c r="IUJ78" s="548"/>
      <c r="IUK78" s="548"/>
      <c r="IUL78" s="548"/>
      <c r="IUM78" s="548"/>
      <c r="IUN78" s="452"/>
      <c r="IUO78" s="596"/>
      <c r="IUP78" s="548"/>
      <c r="IUQ78" s="548"/>
      <c r="IUR78" s="548"/>
      <c r="IUS78" s="548"/>
      <c r="IUT78" s="548"/>
      <c r="IUU78" s="452"/>
      <c r="IUV78" s="596"/>
      <c r="IUW78" s="548"/>
      <c r="IUX78" s="548"/>
      <c r="IUY78" s="548"/>
      <c r="IUZ78" s="548"/>
      <c r="IVA78" s="548"/>
      <c r="IVB78" s="452"/>
      <c r="IVC78" s="596"/>
      <c r="IVD78" s="548"/>
      <c r="IVE78" s="548"/>
      <c r="IVF78" s="548"/>
      <c r="IVG78" s="548"/>
      <c r="IVH78" s="548"/>
      <c r="IVI78" s="452"/>
      <c r="IVJ78" s="596"/>
      <c r="IVK78" s="548"/>
      <c r="IVL78" s="548"/>
      <c r="IVM78" s="548"/>
      <c r="IVN78" s="548"/>
      <c r="IVO78" s="548"/>
      <c r="IVP78" s="452"/>
      <c r="IVQ78" s="596"/>
      <c r="IVR78" s="548"/>
      <c r="IVS78" s="548"/>
      <c r="IVT78" s="548"/>
      <c r="IVU78" s="548"/>
      <c r="IVV78" s="548"/>
      <c r="IVW78" s="452"/>
      <c r="IVX78" s="596"/>
      <c r="IVY78" s="548"/>
      <c r="IVZ78" s="548"/>
      <c r="IWA78" s="548"/>
      <c r="IWB78" s="548"/>
      <c r="IWC78" s="548"/>
      <c r="IWD78" s="452"/>
      <c r="IWE78" s="596"/>
      <c r="IWF78" s="548"/>
      <c r="IWG78" s="548"/>
      <c r="IWH78" s="548"/>
      <c r="IWI78" s="548"/>
      <c r="IWJ78" s="548"/>
      <c r="IWK78" s="452"/>
      <c r="IWL78" s="596"/>
      <c r="IWM78" s="548"/>
      <c r="IWN78" s="548"/>
      <c r="IWO78" s="548"/>
      <c r="IWP78" s="548"/>
      <c r="IWQ78" s="548"/>
      <c r="IWR78" s="452"/>
      <c r="IWS78" s="596"/>
      <c r="IWT78" s="548"/>
      <c r="IWU78" s="548"/>
      <c r="IWV78" s="548"/>
      <c r="IWW78" s="548"/>
      <c r="IWX78" s="548"/>
      <c r="IWY78" s="452"/>
      <c r="IWZ78" s="596"/>
      <c r="IXA78" s="548"/>
      <c r="IXB78" s="548"/>
      <c r="IXC78" s="548"/>
      <c r="IXD78" s="548"/>
      <c r="IXE78" s="548"/>
      <c r="IXF78" s="452"/>
      <c r="IXG78" s="596"/>
      <c r="IXH78" s="548"/>
      <c r="IXI78" s="548"/>
      <c r="IXJ78" s="548"/>
      <c r="IXK78" s="548"/>
      <c r="IXL78" s="548"/>
      <c r="IXM78" s="452"/>
      <c r="IXN78" s="596"/>
      <c r="IXO78" s="548"/>
      <c r="IXP78" s="548"/>
      <c r="IXQ78" s="548"/>
      <c r="IXR78" s="548"/>
      <c r="IXS78" s="548"/>
      <c r="IXT78" s="452"/>
      <c r="IXU78" s="596"/>
      <c r="IXV78" s="548"/>
      <c r="IXW78" s="548"/>
      <c r="IXX78" s="548"/>
      <c r="IXY78" s="548"/>
      <c r="IXZ78" s="548"/>
      <c r="IYA78" s="452"/>
      <c r="IYB78" s="596"/>
      <c r="IYC78" s="548"/>
      <c r="IYD78" s="548"/>
      <c r="IYE78" s="548"/>
      <c r="IYF78" s="548"/>
      <c r="IYG78" s="548"/>
      <c r="IYH78" s="452"/>
      <c r="IYI78" s="596"/>
      <c r="IYJ78" s="548"/>
      <c r="IYK78" s="548"/>
      <c r="IYL78" s="548"/>
      <c r="IYM78" s="548"/>
      <c r="IYN78" s="548"/>
      <c r="IYO78" s="452"/>
      <c r="IYP78" s="596"/>
      <c r="IYQ78" s="548"/>
      <c r="IYR78" s="548"/>
      <c r="IYS78" s="548"/>
      <c r="IYT78" s="548"/>
      <c r="IYU78" s="548"/>
      <c r="IYV78" s="452"/>
      <c r="IYW78" s="596"/>
      <c r="IYX78" s="548"/>
      <c r="IYY78" s="548"/>
      <c r="IYZ78" s="548"/>
      <c r="IZA78" s="548"/>
      <c r="IZB78" s="548"/>
      <c r="IZC78" s="452"/>
      <c r="IZD78" s="596"/>
      <c r="IZE78" s="548"/>
      <c r="IZF78" s="548"/>
      <c r="IZG78" s="548"/>
      <c r="IZH78" s="548"/>
      <c r="IZI78" s="548"/>
      <c r="IZJ78" s="452"/>
      <c r="IZK78" s="596"/>
      <c r="IZL78" s="548"/>
      <c r="IZM78" s="548"/>
      <c r="IZN78" s="548"/>
      <c r="IZO78" s="548"/>
      <c r="IZP78" s="548"/>
      <c r="IZQ78" s="452"/>
      <c r="IZR78" s="596"/>
      <c r="IZS78" s="548"/>
      <c r="IZT78" s="548"/>
      <c r="IZU78" s="548"/>
      <c r="IZV78" s="548"/>
      <c r="IZW78" s="548"/>
      <c r="IZX78" s="452"/>
      <c r="IZY78" s="596"/>
      <c r="IZZ78" s="548"/>
      <c r="JAA78" s="548"/>
      <c r="JAB78" s="548"/>
      <c r="JAC78" s="548"/>
      <c r="JAD78" s="548"/>
      <c r="JAE78" s="452"/>
      <c r="JAF78" s="596"/>
      <c r="JAG78" s="548"/>
      <c r="JAH78" s="548"/>
      <c r="JAI78" s="548"/>
      <c r="JAJ78" s="548"/>
      <c r="JAK78" s="548"/>
      <c r="JAL78" s="452"/>
      <c r="JAM78" s="596"/>
      <c r="JAN78" s="548"/>
      <c r="JAO78" s="548"/>
      <c r="JAP78" s="548"/>
      <c r="JAQ78" s="548"/>
      <c r="JAR78" s="548"/>
      <c r="JAS78" s="452"/>
      <c r="JAT78" s="596"/>
      <c r="JAU78" s="548"/>
      <c r="JAV78" s="548"/>
      <c r="JAW78" s="548"/>
      <c r="JAX78" s="548"/>
      <c r="JAY78" s="548"/>
      <c r="JAZ78" s="452"/>
      <c r="JBA78" s="596"/>
      <c r="JBB78" s="548"/>
      <c r="JBC78" s="548"/>
      <c r="JBD78" s="548"/>
      <c r="JBE78" s="548"/>
      <c r="JBF78" s="548"/>
      <c r="JBG78" s="452"/>
      <c r="JBH78" s="596"/>
      <c r="JBI78" s="548"/>
      <c r="JBJ78" s="548"/>
      <c r="JBK78" s="548"/>
      <c r="JBL78" s="548"/>
      <c r="JBM78" s="548"/>
      <c r="JBN78" s="452"/>
      <c r="JBO78" s="596"/>
      <c r="JBP78" s="548"/>
      <c r="JBQ78" s="548"/>
      <c r="JBR78" s="548"/>
      <c r="JBS78" s="548"/>
      <c r="JBT78" s="548"/>
      <c r="JBU78" s="452"/>
      <c r="JBV78" s="596"/>
      <c r="JBW78" s="548"/>
      <c r="JBX78" s="548"/>
      <c r="JBY78" s="548"/>
      <c r="JBZ78" s="548"/>
      <c r="JCA78" s="548"/>
      <c r="JCB78" s="452"/>
      <c r="JCC78" s="596"/>
      <c r="JCD78" s="548"/>
      <c r="JCE78" s="548"/>
      <c r="JCF78" s="548"/>
      <c r="JCG78" s="548"/>
      <c r="JCH78" s="548"/>
      <c r="JCI78" s="452"/>
      <c r="JCJ78" s="596"/>
      <c r="JCK78" s="548"/>
      <c r="JCL78" s="548"/>
      <c r="JCM78" s="548"/>
      <c r="JCN78" s="548"/>
      <c r="JCO78" s="548"/>
      <c r="JCP78" s="452"/>
      <c r="JCQ78" s="596"/>
      <c r="JCR78" s="548"/>
      <c r="JCS78" s="548"/>
      <c r="JCT78" s="548"/>
      <c r="JCU78" s="548"/>
      <c r="JCV78" s="548"/>
      <c r="JCW78" s="452"/>
      <c r="JCX78" s="596"/>
      <c r="JCY78" s="548"/>
      <c r="JCZ78" s="548"/>
      <c r="JDA78" s="548"/>
      <c r="JDB78" s="548"/>
      <c r="JDC78" s="548"/>
      <c r="JDD78" s="452"/>
      <c r="JDE78" s="596"/>
      <c r="JDF78" s="548"/>
      <c r="JDG78" s="548"/>
      <c r="JDH78" s="548"/>
      <c r="JDI78" s="548"/>
      <c r="JDJ78" s="548"/>
      <c r="JDK78" s="452"/>
      <c r="JDL78" s="596"/>
      <c r="JDM78" s="548"/>
      <c r="JDN78" s="548"/>
      <c r="JDO78" s="548"/>
      <c r="JDP78" s="548"/>
      <c r="JDQ78" s="548"/>
      <c r="JDR78" s="452"/>
      <c r="JDS78" s="596"/>
      <c r="JDT78" s="548"/>
      <c r="JDU78" s="548"/>
      <c r="JDV78" s="548"/>
      <c r="JDW78" s="548"/>
      <c r="JDX78" s="548"/>
      <c r="JDY78" s="452"/>
      <c r="JDZ78" s="596"/>
      <c r="JEA78" s="548"/>
      <c r="JEB78" s="548"/>
      <c r="JEC78" s="548"/>
      <c r="JED78" s="548"/>
      <c r="JEE78" s="548"/>
      <c r="JEF78" s="452"/>
      <c r="JEG78" s="596"/>
      <c r="JEH78" s="548"/>
      <c r="JEI78" s="548"/>
      <c r="JEJ78" s="548"/>
      <c r="JEK78" s="548"/>
      <c r="JEL78" s="548"/>
      <c r="JEM78" s="452"/>
      <c r="JEN78" s="596"/>
      <c r="JEO78" s="548"/>
      <c r="JEP78" s="548"/>
      <c r="JEQ78" s="548"/>
      <c r="JER78" s="548"/>
      <c r="JES78" s="548"/>
      <c r="JET78" s="452"/>
      <c r="JEU78" s="596"/>
      <c r="JEV78" s="548"/>
      <c r="JEW78" s="548"/>
      <c r="JEX78" s="548"/>
      <c r="JEY78" s="548"/>
      <c r="JEZ78" s="548"/>
      <c r="JFA78" s="452"/>
      <c r="JFB78" s="596"/>
      <c r="JFC78" s="548"/>
      <c r="JFD78" s="548"/>
      <c r="JFE78" s="548"/>
      <c r="JFF78" s="548"/>
      <c r="JFG78" s="548"/>
      <c r="JFH78" s="452"/>
      <c r="JFI78" s="596"/>
      <c r="JFJ78" s="548"/>
      <c r="JFK78" s="548"/>
      <c r="JFL78" s="548"/>
      <c r="JFM78" s="548"/>
      <c r="JFN78" s="548"/>
      <c r="JFO78" s="452"/>
      <c r="JFP78" s="596"/>
      <c r="JFQ78" s="548"/>
      <c r="JFR78" s="548"/>
      <c r="JFS78" s="548"/>
      <c r="JFT78" s="548"/>
      <c r="JFU78" s="548"/>
      <c r="JFV78" s="452"/>
      <c r="JFW78" s="596"/>
      <c r="JFX78" s="548"/>
      <c r="JFY78" s="548"/>
      <c r="JFZ78" s="548"/>
      <c r="JGA78" s="548"/>
      <c r="JGB78" s="548"/>
      <c r="JGC78" s="452"/>
      <c r="JGD78" s="596"/>
      <c r="JGE78" s="548"/>
      <c r="JGF78" s="548"/>
      <c r="JGG78" s="548"/>
      <c r="JGH78" s="548"/>
      <c r="JGI78" s="548"/>
      <c r="JGJ78" s="452"/>
      <c r="JGK78" s="596"/>
      <c r="JGL78" s="548"/>
      <c r="JGM78" s="548"/>
      <c r="JGN78" s="548"/>
      <c r="JGO78" s="548"/>
      <c r="JGP78" s="548"/>
      <c r="JGQ78" s="452"/>
      <c r="JGR78" s="596"/>
      <c r="JGS78" s="548"/>
      <c r="JGT78" s="548"/>
      <c r="JGU78" s="548"/>
      <c r="JGV78" s="548"/>
      <c r="JGW78" s="548"/>
      <c r="JGX78" s="452"/>
      <c r="JGY78" s="596"/>
      <c r="JGZ78" s="548"/>
      <c r="JHA78" s="548"/>
      <c r="JHB78" s="548"/>
      <c r="JHC78" s="548"/>
      <c r="JHD78" s="548"/>
      <c r="JHE78" s="452"/>
      <c r="JHF78" s="596"/>
      <c r="JHG78" s="548"/>
      <c r="JHH78" s="548"/>
      <c r="JHI78" s="548"/>
      <c r="JHJ78" s="548"/>
      <c r="JHK78" s="548"/>
      <c r="JHL78" s="452"/>
      <c r="JHM78" s="596"/>
      <c r="JHN78" s="548"/>
      <c r="JHO78" s="548"/>
      <c r="JHP78" s="548"/>
      <c r="JHQ78" s="548"/>
      <c r="JHR78" s="548"/>
      <c r="JHS78" s="452"/>
      <c r="JHT78" s="596"/>
      <c r="JHU78" s="548"/>
      <c r="JHV78" s="548"/>
      <c r="JHW78" s="548"/>
      <c r="JHX78" s="548"/>
      <c r="JHY78" s="548"/>
      <c r="JHZ78" s="452"/>
      <c r="JIA78" s="596"/>
      <c r="JIB78" s="548"/>
      <c r="JIC78" s="548"/>
      <c r="JID78" s="548"/>
      <c r="JIE78" s="548"/>
      <c r="JIF78" s="548"/>
      <c r="JIG78" s="452"/>
      <c r="JIH78" s="596"/>
      <c r="JII78" s="548"/>
      <c r="JIJ78" s="548"/>
      <c r="JIK78" s="548"/>
      <c r="JIL78" s="548"/>
      <c r="JIM78" s="548"/>
      <c r="JIN78" s="452"/>
      <c r="JIO78" s="596"/>
      <c r="JIP78" s="548"/>
      <c r="JIQ78" s="548"/>
      <c r="JIR78" s="548"/>
      <c r="JIS78" s="548"/>
      <c r="JIT78" s="548"/>
      <c r="JIU78" s="452"/>
      <c r="JIV78" s="596"/>
      <c r="JIW78" s="548"/>
      <c r="JIX78" s="548"/>
      <c r="JIY78" s="548"/>
      <c r="JIZ78" s="548"/>
      <c r="JJA78" s="548"/>
      <c r="JJB78" s="452"/>
      <c r="JJC78" s="596"/>
      <c r="JJD78" s="548"/>
      <c r="JJE78" s="548"/>
      <c r="JJF78" s="548"/>
      <c r="JJG78" s="548"/>
      <c r="JJH78" s="548"/>
      <c r="JJI78" s="452"/>
      <c r="JJJ78" s="596"/>
      <c r="JJK78" s="548"/>
      <c r="JJL78" s="548"/>
      <c r="JJM78" s="548"/>
      <c r="JJN78" s="548"/>
      <c r="JJO78" s="548"/>
      <c r="JJP78" s="452"/>
      <c r="JJQ78" s="596"/>
      <c r="JJR78" s="548"/>
      <c r="JJS78" s="548"/>
      <c r="JJT78" s="548"/>
      <c r="JJU78" s="548"/>
      <c r="JJV78" s="548"/>
      <c r="JJW78" s="452"/>
      <c r="JJX78" s="596"/>
      <c r="JJY78" s="548"/>
      <c r="JJZ78" s="548"/>
      <c r="JKA78" s="548"/>
      <c r="JKB78" s="548"/>
      <c r="JKC78" s="548"/>
      <c r="JKD78" s="452"/>
      <c r="JKE78" s="596"/>
      <c r="JKF78" s="548"/>
      <c r="JKG78" s="548"/>
      <c r="JKH78" s="548"/>
      <c r="JKI78" s="548"/>
      <c r="JKJ78" s="548"/>
      <c r="JKK78" s="452"/>
      <c r="JKL78" s="596"/>
      <c r="JKM78" s="548"/>
      <c r="JKN78" s="548"/>
      <c r="JKO78" s="548"/>
      <c r="JKP78" s="548"/>
      <c r="JKQ78" s="548"/>
      <c r="JKR78" s="452"/>
      <c r="JKS78" s="596"/>
      <c r="JKT78" s="548"/>
      <c r="JKU78" s="548"/>
      <c r="JKV78" s="548"/>
      <c r="JKW78" s="548"/>
      <c r="JKX78" s="548"/>
      <c r="JKY78" s="452"/>
      <c r="JKZ78" s="596"/>
      <c r="JLA78" s="548"/>
      <c r="JLB78" s="548"/>
      <c r="JLC78" s="548"/>
      <c r="JLD78" s="548"/>
      <c r="JLE78" s="548"/>
      <c r="JLF78" s="452"/>
      <c r="JLG78" s="596"/>
      <c r="JLH78" s="548"/>
      <c r="JLI78" s="548"/>
      <c r="JLJ78" s="548"/>
      <c r="JLK78" s="548"/>
      <c r="JLL78" s="548"/>
      <c r="JLM78" s="452"/>
      <c r="JLN78" s="596"/>
      <c r="JLO78" s="548"/>
      <c r="JLP78" s="548"/>
      <c r="JLQ78" s="548"/>
      <c r="JLR78" s="548"/>
      <c r="JLS78" s="548"/>
      <c r="JLT78" s="452"/>
      <c r="JLU78" s="596"/>
      <c r="JLV78" s="548"/>
      <c r="JLW78" s="548"/>
      <c r="JLX78" s="548"/>
      <c r="JLY78" s="548"/>
      <c r="JLZ78" s="548"/>
      <c r="JMA78" s="452"/>
      <c r="JMB78" s="596"/>
      <c r="JMC78" s="548"/>
      <c r="JMD78" s="548"/>
      <c r="JME78" s="548"/>
      <c r="JMF78" s="548"/>
      <c r="JMG78" s="548"/>
      <c r="JMH78" s="452"/>
      <c r="JMI78" s="596"/>
      <c r="JMJ78" s="548"/>
      <c r="JMK78" s="548"/>
      <c r="JML78" s="548"/>
      <c r="JMM78" s="548"/>
      <c r="JMN78" s="548"/>
      <c r="JMO78" s="452"/>
      <c r="JMP78" s="596"/>
      <c r="JMQ78" s="548"/>
      <c r="JMR78" s="548"/>
      <c r="JMS78" s="548"/>
      <c r="JMT78" s="548"/>
      <c r="JMU78" s="548"/>
      <c r="JMV78" s="452"/>
      <c r="JMW78" s="596"/>
      <c r="JMX78" s="548"/>
      <c r="JMY78" s="548"/>
      <c r="JMZ78" s="548"/>
      <c r="JNA78" s="548"/>
      <c r="JNB78" s="548"/>
      <c r="JNC78" s="452"/>
      <c r="JND78" s="596"/>
      <c r="JNE78" s="548"/>
      <c r="JNF78" s="548"/>
      <c r="JNG78" s="548"/>
      <c r="JNH78" s="548"/>
      <c r="JNI78" s="548"/>
      <c r="JNJ78" s="452"/>
      <c r="JNK78" s="596"/>
      <c r="JNL78" s="548"/>
      <c r="JNM78" s="548"/>
      <c r="JNN78" s="548"/>
      <c r="JNO78" s="548"/>
      <c r="JNP78" s="548"/>
      <c r="JNQ78" s="452"/>
      <c r="JNR78" s="596"/>
      <c r="JNS78" s="548"/>
      <c r="JNT78" s="548"/>
      <c r="JNU78" s="548"/>
      <c r="JNV78" s="548"/>
      <c r="JNW78" s="548"/>
      <c r="JNX78" s="452"/>
      <c r="JNY78" s="596"/>
      <c r="JNZ78" s="548"/>
      <c r="JOA78" s="548"/>
      <c r="JOB78" s="548"/>
      <c r="JOC78" s="548"/>
      <c r="JOD78" s="548"/>
      <c r="JOE78" s="452"/>
      <c r="JOF78" s="596"/>
      <c r="JOG78" s="548"/>
      <c r="JOH78" s="548"/>
      <c r="JOI78" s="548"/>
      <c r="JOJ78" s="548"/>
      <c r="JOK78" s="548"/>
      <c r="JOL78" s="452"/>
      <c r="JOM78" s="596"/>
      <c r="JON78" s="548"/>
      <c r="JOO78" s="548"/>
      <c r="JOP78" s="548"/>
      <c r="JOQ78" s="548"/>
      <c r="JOR78" s="548"/>
      <c r="JOS78" s="452"/>
      <c r="JOT78" s="596"/>
      <c r="JOU78" s="548"/>
      <c r="JOV78" s="548"/>
      <c r="JOW78" s="548"/>
      <c r="JOX78" s="548"/>
      <c r="JOY78" s="548"/>
      <c r="JOZ78" s="452"/>
      <c r="JPA78" s="596"/>
      <c r="JPB78" s="548"/>
      <c r="JPC78" s="548"/>
      <c r="JPD78" s="548"/>
      <c r="JPE78" s="548"/>
      <c r="JPF78" s="548"/>
      <c r="JPG78" s="452"/>
      <c r="JPH78" s="596"/>
      <c r="JPI78" s="548"/>
      <c r="JPJ78" s="548"/>
      <c r="JPK78" s="548"/>
      <c r="JPL78" s="548"/>
      <c r="JPM78" s="548"/>
      <c r="JPN78" s="452"/>
      <c r="JPO78" s="596"/>
      <c r="JPP78" s="548"/>
      <c r="JPQ78" s="548"/>
      <c r="JPR78" s="548"/>
      <c r="JPS78" s="548"/>
      <c r="JPT78" s="548"/>
      <c r="JPU78" s="452"/>
      <c r="JPV78" s="596"/>
      <c r="JPW78" s="548"/>
      <c r="JPX78" s="548"/>
      <c r="JPY78" s="548"/>
      <c r="JPZ78" s="548"/>
      <c r="JQA78" s="548"/>
      <c r="JQB78" s="452"/>
      <c r="JQC78" s="596"/>
      <c r="JQD78" s="548"/>
      <c r="JQE78" s="548"/>
      <c r="JQF78" s="548"/>
      <c r="JQG78" s="548"/>
      <c r="JQH78" s="548"/>
      <c r="JQI78" s="452"/>
      <c r="JQJ78" s="596"/>
      <c r="JQK78" s="548"/>
      <c r="JQL78" s="548"/>
      <c r="JQM78" s="548"/>
      <c r="JQN78" s="548"/>
      <c r="JQO78" s="548"/>
      <c r="JQP78" s="452"/>
      <c r="JQQ78" s="596"/>
      <c r="JQR78" s="548"/>
      <c r="JQS78" s="548"/>
      <c r="JQT78" s="548"/>
      <c r="JQU78" s="548"/>
      <c r="JQV78" s="548"/>
      <c r="JQW78" s="452"/>
      <c r="JQX78" s="596"/>
      <c r="JQY78" s="548"/>
      <c r="JQZ78" s="548"/>
      <c r="JRA78" s="548"/>
      <c r="JRB78" s="548"/>
      <c r="JRC78" s="548"/>
      <c r="JRD78" s="452"/>
      <c r="JRE78" s="596"/>
      <c r="JRF78" s="548"/>
      <c r="JRG78" s="548"/>
      <c r="JRH78" s="548"/>
      <c r="JRI78" s="548"/>
      <c r="JRJ78" s="548"/>
      <c r="JRK78" s="452"/>
      <c r="JRL78" s="596"/>
      <c r="JRM78" s="548"/>
      <c r="JRN78" s="548"/>
      <c r="JRO78" s="548"/>
      <c r="JRP78" s="548"/>
      <c r="JRQ78" s="548"/>
      <c r="JRR78" s="452"/>
      <c r="JRS78" s="596"/>
      <c r="JRT78" s="548"/>
      <c r="JRU78" s="548"/>
      <c r="JRV78" s="548"/>
      <c r="JRW78" s="548"/>
      <c r="JRX78" s="548"/>
      <c r="JRY78" s="452"/>
      <c r="JRZ78" s="596"/>
      <c r="JSA78" s="548"/>
      <c r="JSB78" s="548"/>
      <c r="JSC78" s="548"/>
      <c r="JSD78" s="548"/>
      <c r="JSE78" s="548"/>
      <c r="JSF78" s="452"/>
      <c r="JSG78" s="596"/>
      <c r="JSH78" s="548"/>
      <c r="JSI78" s="548"/>
      <c r="JSJ78" s="548"/>
      <c r="JSK78" s="548"/>
      <c r="JSL78" s="548"/>
      <c r="JSM78" s="452"/>
      <c r="JSN78" s="596"/>
      <c r="JSO78" s="548"/>
      <c r="JSP78" s="548"/>
      <c r="JSQ78" s="548"/>
      <c r="JSR78" s="548"/>
      <c r="JSS78" s="548"/>
      <c r="JST78" s="452"/>
      <c r="JSU78" s="596"/>
      <c r="JSV78" s="548"/>
      <c r="JSW78" s="548"/>
      <c r="JSX78" s="548"/>
      <c r="JSY78" s="548"/>
      <c r="JSZ78" s="548"/>
      <c r="JTA78" s="452"/>
      <c r="JTB78" s="596"/>
      <c r="JTC78" s="548"/>
      <c r="JTD78" s="548"/>
      <c r="JTE78" s="548"/>
      <c r="JTF78" s="548"/>
      <c r="JTG78" s="548"/>
      <c r="JTH78" s="452"/>
      <c r="JTI78" s="596"/>
      <c r="JTJ78" s="548"/>
      <c r="JTK78" s="548"/>
      <c r="JTL78" s="548"/>
      <c r="JTM78" s="548"/>
      <c r="JTN78" s="548"/>
      <c r="JTO78" s="452"/>
      <c r="JTP78" s="596"/>
      <c r="JTQ78" s="548"/>
      <c r="JTR78" s="548"/>
      <c r="JTS78" s="548"/>
      <c r="JTT78" s="548"/>
      <c r="JTU78" s="548"/>
      <c r="JTV78" s="452"/>
      <c r="JTW78" s="596"/>
      <c r="JTX78" s="548"/>
      <c r="JTY78" s="548"/>
      <c r="JTZ78" s="548"/>
      <c r="JUA78" s="548"/>
      <c r="JUB78" s="548"/>
      <c r="JUC78" s="452"/>
      <c r="JUD78" s="596"/>
      <c r="JUE78" s="548"/>
      <c r="JUF78" s="548"/>
      <c r="JUG78" s="548"/>
      <c r="JUH78" s="548"/>
      <c r="JUI78" s="548"/>
      <c r="JUJ78" s="452"/>
      <c r="JUK78" s="596"/>
      <c r="JUL78" s="548"/>
      <c r="JUM78" s="548"/>
      <c r="JUN78" s="548"/>
      <c r="JUO78" s="548"/>
      <c r="JUP78" s="548"/>
      <c r="JUQ78" s="452"/>
      <c r="JUR78" s="596"/>
      <c r="JUS78" s="548"/>
      <c r="JUT78" s="548"/>
      <c r="JUU78" s="548"/>
      <c r="JUV78" s="548"/>
      <c r="JUW78" s="548"/>
      <c r="JUX78" s="452"/>
      <c r="JUY78" s="596"/>
      <c r="JUZ78" s="548"/>
      <c r="JVA78" s="548"/>
      <c r="JVB78" s="548"/>
      <c r="JVC78" s="548"/>
      <c r="JVD78" s="548"/>
      <c r="JVE78" s="452"/>
      <c r="JVF78" s="596"/>
      <c r="JVG78" s="548"/>
      <c r="JVH78" s="548"/>
      <c r="JVI78" s="548"/>
      <c r="JVJ78" s="548"/>
      <c r="JVK78" s="548"/>
      <c r="JVL78" s="452"/>
      <c r="JVM78" s="596"/>
      <c r="JVN78" s="548"/>
      <c r="JVO78" s="548"/>
      <c r="JVP78" s="548"/>
      <c r="JVQ78" s="548"/>
      <c r="JVR78" s="548"/>
      <c r="JVS78" s="452"/>
      <c r="JVT78" s="596"/>
      <c r="JVU78" s="548"/>
      <c r="JVV78" s="548"/>
      <c r="JVW78" s="548"/>
      <c r="JVX78" s="548"/>
      <c r="JVY78" s="548"/>
      <c r="JVZ78" s="452"/>
      <c r="JWA78" s="596"/>
      <c r="JWB78" s="548"/>
      <c r="JWC78" s="548"/>
      <c r="JWD78" s="548"/>
      <c r="JWE78" s="548"/>
      <c r="JWF78" s="548"/>
      <c r="JWG78" s="452"/>
      <c r="JWH78" s="596"/>
      <c r="JWI78" s="548"/>
      <c r="JWJ78" s="548"/>
      <c r="JWK78" s="548"/>
      <c r="JWL78" s="548"/>
      <c r="JWM78" s="548"/>
      <c r="JWN78" s="452"/>
      <c r="JWO78" s="596"/>
      <c r="JWP78" s="548"/>
      <c r="JWQ78" s="548"/>
      <c r="JWR78" s="548"/>
      <c r="JWS78" s="548"/>
      <c r="JWT78" s="548"/>
      <c r="JWU78" s="452"/>
      <c r="JWV78" s="596"/>
      <c r="JWW78" s="548"/>
      <c r="JWX78" s="548"/>
      <c r="JWY78" s="548"/>
      <c r="JWZ78" s="548"/>
      <c r="JXA78" s="548"/>
      <c r="JXB78" s="452"/>
      <c r="JXC78" s="596"/>
      <c r="JXD78" s="548"/>
      <c r="JXE78" s="548"/>
      <c r="JXF78" s="548"/>
      <c r="JXG78" s="548"/>
      <c r="JXH78" s="548"/>
      <c r="JXI78" s="452"/>
      <c r="JXJ78" s="596"/>
      <c r="JXK78" s="548"/>
      <c r="JXL78" s="548"/>
      <c r="JXM78" s="548"/>
      <c r="JXN78" s="548"/>
      <c r="JXO78" s="548"/>
      <c r="JXP78" s="452"/>
      <c r="JXQ78" s="596"/>
      <c r="JXR78" s="548"/>
      <c r="JXS78" s="548"/>
      <c r="JXT78" s="548"/>
      <c r="JXU78" s="548"/>
      <c r="JXV78" s="548"/>
      <c r="JXW78" s="452"/>
      <c r="JXX78" s="596"/>
      <c r="JXY78" s="548"/>
      <c r="JXZ78" s="548"/>
      <c r="JYA78" s="548"/>
      <c r="JYB78" s="548"/>
      <c r="JYC78" s="548"/>
      <c r="JYD78" s="452"/>
      <c r="JYE78" s="596"/>
      <c r="JYF78" s="548"/>
      <c r="JYG78" s="548"/>
      <c r="JYH78" s="548"/>
      <c r="JYI78" s="548"/>
      <c r="JYJ78" s="548"/>
      <c r="JYK78" s="452"/>
      <c r="JYL78" s="596"/>
      <c r="JYM78" s="548"/>
      <c r="JYN78" s="548"/>
      <c r="JYO78" s="548"/>
      <c r="JYP78" s="548"/>
      <c r="JYQ78" s="548"/>
      <c r="JYR78" s="452"/>
      <c r="JYS78" s="596"/>
      <c r="JYT78" s="548"/>
      <c r="JYU78" s="548"/>
      <c r="JYV78" s="548"/>
      <c r="JYW78" s="548"/>
      <c r="JYX78" s="548"/>
      <c r="JYY78" s="452"/>
      <c r="JYZ78" s="596"/>
      <c r="JZA78" s="548"/>
      <c r="JZB78" s="548"/>
      <c r="JZC78" s="548"/>
      <c r="JZD78" s="548"/>
      <c r="JZE78" s="548"/>
      <c r="JZF78" s="452"/>
      <c r="JZG78" s="596"/>
      <c r="JZH78" s="548"/>
      <c r="JZI78" s="548"/>
      <c r="JZJ78" s="548"/>
      <c r="JZK78" s="548"/>
      <c r="JZL78" s="548"/>
      <c r="JZM78" s="452"/>
      <c r="JZN78" s="596"/>
      <c r="JZO78" s="548"/>
      <c r="JZP78" s="548"/>
      <c r="JZQ78" s="548"/>
      <c r="JZR78" s="548"/>
      <c r="JZS78" s="548"/>
      <c r="JZT78" s="452"/>
      <c r="JZU78" s="596"/>
      <c r="JZV78" s="548"/>
      <c r="JZW78" s="548"/>
      <c r="JZX78" s="548"/>
      <c r="JZY78" s="548"/>
      <c r="JZZ78" s="548"/>
      <c r="KAA78" s="452"/>
      <c r="KAB78" s="596"/>
      <c r="KAC78" s="548"/>
      <c r="KAD78" s="548"/>
      <c r="KAE78" s="548"/>
      <c r="KAF78" s="548"/>
      <c r="KAG78" s="548"/>
      <c r="KAH78" s="452"/>
      <c r="KAI78" s="596"/>
      <c r="KAJ78" s="548"/>
      <c r="KAK78" s="548"/>
      <c r="KAL78" s="548"/>
      <c r="KAM78" s="548"/>
      <c r="KAN78" s="548"/>
      <c r="KAO78" s="452"/>
      <c r="KAP78" s="596"/>
      <c r="KAQ78" s="548"/>
      <c r="KAR78" s="548"/>
      <c r="KAS78" s="548"/>
      <c r="KAT78" s="548"/>
      <c r="KAU78" s="548"/>
      <c r="KAV78" s="452"/>
      <c r="KAW78" s="596"/>
      <c r="KAX78" s="548"/>
      <c r="KAY78" s="548"/>
      <c r="KAZ78" s="548"/>
      <c r="KBA78" s="548"/>
      <c r="KBB78" s="548"/>
      <c r="KBC78" s="452"/>
      <c r="KBD78" s="596"/>
      <c r="KBE78" s="548"/>
      <c r="KBF78" s="548"/>
      <c r="KBG78" s="548"/>
      <c r="KBH78" s="548"/>
      <c r="KBI78" s="548"/>
      <c r="KBJ78" s="452"/>
      <c r="KBK78" s="596"/>
      <c r="KBL78" s="548"/>
      <c r="KBM78" s="548"/>
      <c r="KBN78" s="548"/>
      <c r="KBO78" s="548"/>
      <c r="KBP78" s="548"/>
      <c r="KBQ78" s="452"/>
      <c r="KBR78" s="596"/>
      <c r="KBS78" s="548"/>
      <c r="KBT78" s="548"/>
      <c r="KBU78" s="548"/>
      <c r="KBV78" s="548"/>
      <c r="KBW78" s="548"/>
      <c r="KBX78" s="452"/>
      <c r="KBY78" s="596"/>
      <c r="KBZ78" s="548"/>
      <c r="KCA78" s="548"/>
      <c r="KCB78" s="548"/>
      <c r="KCC78" s="548"/>
      <c r="KCD78" s="548"/>
      <c r="KCE78" s="452"/>
      <c r="KCF78" s="596"/>
      <c r="KCG78" s="548"/>
      <c r="KCH78" s="548"/>
      <c r="KCI78" s="548"/>
      <c r="KCJ78" s="548"/>
      <c r="KCK78" s="548"/>
      <c r="KCL78" s="452"/>
      <c r="KCM78" s="596"/>
      <c r="KCN78" s="548"/>
      <c r="KCO78" s="548"/>
      <c r="KCP78" s="548"/>
      <c r="KCQ78" s="548"/>
      <c r="KCR78" s="548"/>
      <c r="KCS78" s="452"/>
      <c r="KCT78" s="596"/>
      <c r="KCU78" s="548"/>
      <c r="KCV78" s="548"/>
      <c r="KCW78" s="548"/>
      <c r="KCX78" s="548"/>
      <c r="KCY78" s="548"/>
      <c r="KCZ78" s="452"/>
      <c r="KDA78" s="596"/>
      <c r="KDB78" s="548"/>
      <c r="KDC78" s="548"/>
      <c r="KDD78" s="548"/>
      <c r="KDE78" s="548"/>
      <c r="KDF78" s="548"/>
      <c r="KDG78" s="452"/>
      <c r="KDH78" s="596"/>
      <c r="KDI78" s="548"/>
      <c r="KDJ78" s="548"/>
      <c r="KDK78" s="548"/>
      <c r="KDL78" s="548"/>
      <c r="KDM78" s="548"/>
      <c r="KDN78" s="452"/>
      <c r="KDO78" s="596"/>
      <c r="KDP78" s="548"/>
      <c r="KDQ78" s="548"/>
      <c r="KDR78" s="548"/>
      <c r="KDS78" s="548"/>
      <c r="KDT78" s="548"/>
      <c r="KDU78" s="452"/>
      <c r="KDV78" s="596"/>
      <c r="KDW78" s="548"/>
      <c r="KDX78" s="548"/>
      <c r="KDY78" s="548"/>
      <c r="KDZ78" s="548"/>
      <c r="KEA78" s="548"/>
      <c r="KEB78" s="452"/>
      <c r="KEC78" s="596"/>
      <c r="KED78" s="548"/>
      <c r="KEE78" s="548"/>
      <c r="KEF78" s="548"/>
      <c r="KEG78" s="548"/>
      <c r="KEH78" s="548"/>
      <c r="KEI78" s="452"/>
      <c r="KEJ78" s="596"/>
      <c r="KEK78" s="548"/>
      <c r="KEL78" s="548"/>
      <c r="KEM78" s="548"/>
      <c r="KEN78" s="548"/>
      <c r="KEO78" s="548"/>
      <c r="KEP78" s="452"/>
      <c r="KEQ78" s="596"/>
      <c r="KER78" s="548"/>
      <c r="KES78" s="548"/>
      <c r="KET78" s="548"/>
      <c r="KEU78" s="548"/>
      <c r="KEV78" s="548"/>
      <c r="KEW78" s="452"/>
      <c r="KEX78" s="596"/>
      <c r="KEY78" s="548"/>
      <c r="KEZ78" s="548"/>
      <c r="KFA78" s="548"/>
      <c r="KFB78" s="548"/>
      <c r="KFC78" s="548"/>
      <c r="KFD78" s="452"/>
      <c r="KFE78" s="596"/>
      <c r="KFF78" s="548"/>
      <c r="KFG78" s="548"/>
      <c r="KFH78" s="548"/>
      <c r="KFI78" s="548"/>
      <c r="KFJ78" s="548"/>
      <c r="KFK78" s="452"/>
      <c r="KFL78" s="596"/>
      <c r="KFM78" s="548"/>
      <c r="KFN78" s="548"/>
      <c r="KFO78" s="548"/>
      <c r="KFP78" s="548"/>
      <c r="KFQ78" s="548"/>
      <c r="KFR78" s="452"/>
      <c r="KFS78" s="596"/>
      <c r="KFT78" s="548"/>
      <c r="KFU78" s="548"/>
      <c r="KFV78" s="548"/>
      <c r="KFW78" s="548"/>
      <c r="KFX78" s="548"/>
      <c r="KFY78" s="452"/>
      <c r="KFZ78" s="596"/>
      <c r="KGA78" s="548"/>
      <c r="KGB78" s="548"/>
      <c r="KGC78" s="548"/>
      <c r="KGD78" s="548"/>
      <c r="KGE78" s="548"/>
      <c r="KGF78" s="452"/>
      <c r="KGG78" s="596"/>
      <c r="KGH78" s="548"/>
      <c r="KGI78" s="548"/>
      <c r="KGJ78" s="548"/>
      <c r="KGK78" s="548"/>
      <c r="KGL78" s="548"/>
      <c r="KGM78" s="452"/>
      <c r="KGN78" s="596"/>
      <c r="KGO78" s="548"/>
      <c r="KGP78" s="548"/>
      <c r="KGQ78" s="548"/>
      <c r="KGR78" s="548"/>
      <c r="KGS78" s="548"/>
      <c r="KGT78" s="452"/>
      <c r="KGU78" s="596"/>
      <c r="KGV78" s="548"/>
      <c r="KGW78" s="548"/>
      <c r="KGX78" s="548"/>
      <c r="KGY78" s="548"/>
      <c r="KGZ78" s="548"/>
      <c r="KHA78" s="452"/>
      <c r="KHB78" s="596"/>
      <c r="KHC78" s="548"/>
      <c r="KHD78" s="548"/>
      <c r="KHE78" s="548"/>
      <c r="KHF78" s="548"/>
      <c r="KHG78" s="548"/>
      <c r="KHH78" s="452"/>
      <c r="KHI78" s="596"/>
      <c r="KHJ78" s="548"/>
      <c r="KHK78" s="548"/>
      <c r="KHL78" s="548"/>
      <c r="KHM78" s="548"/>
      <c r="KHN78" s="548"/>
      <c r="KHO78" s="452"/>
      <c r="KHP78" s="596"/>
      <c r="KHQ78" s="548"/>
      <c r="KHR78" s="548"/>
      <c r="KHS78" s="548"/>
      <c r="KHT78" s="548"/>
      <c r="KHU78" s="548"/>
      <c r="KHV78" s="452"/>
      <c r="KHW78" s="596"/>
      <c r="KHX78" s="548"/>
      <c r="KHY78" s="548"/>
      <c r="KHZ78" s="548"/>
      <c r="KIA78" s="548"/>
      <c r="KIB78" s="548"/>
      <c r="KIC78" s="452"/>
      <c r="KID78" s="596"/>
      <c r="KIE78" s="548"/>
      <c r="KIF78" s="548"/>
      <c r="KIG78" s="548"/>
      <c r="KIH78" s="548"/>
      <c r="KII78" s="548"/>
      <c r="KIJ78" s="452"/>
      <c r="KIK78" s="596"/>
      <c r="KIL78" s="548"/>
      <c r="KIM78" s="548"/>
      <c r="KIN78" s="548"/>
      <c r="KIO78" s="548"/>
      <c r="KIP78" s="548"/>
      <c r="KIQ78" s="452"/>
      <c r="KIR78" s="596"/>
      <c r="KIS78" s="548"/>
      <c r="KIT78" s="548"/>
      <c r="KIU78" s="548"/>
      <c r="KIV78" s="548"/>
      <c r="KIW78" s="548"/>
      <c r="KIX78" s="452"/>
      <c r="KIY78" s="596"/>
      <c r="KIZ78" s="548"/>
      <c r="KJA78" s="548"/>
      <c r="KJB78" s="548"/>
      <c r="KJC78" s="548"/>
      <c r="KJD78" s="548"/>
      <c r="KJE78" s="452"/>
      <c r="KJF78" s="596"/>
      <c r="KJG78" s="548"/>
      <c r="KJH78" s="548"/>
      <c r="KJI78" s="548"/>
      <c r="KJJ78" s="548"/>
      <c r="KJK78" s="548"/>
      <c r="KJL78" s="452"/>
      <c r="KJM78" s="596"/>
      <c r="KJN78" s="548"/>
      <c r="KJO78" s="548"/>
      <c r="KJP78" s="548"/>
      <c r="KJQ78" s="548"/>
      <c r="KJR78" s="548"/>
      <c r="KJS78" s="452"/>
      <c r="KJT78" s="596"/>
      <c r="KJU78" s="548"/>
      <c r="KJV78" s="548"/>
      <c r="KJW78" s="548"/>
      <c r="KJX78" s="548"/>
      <c r="KJY78" s="548"/>
      <c r="KJZ78" s="452"/>
      <c r="KKA78" s="596"/>
      <c r="KKB78" s="548"/>
      <c r="KKC78" s="548"/>
      <c r="KKD78" s="548"/>
      <c r="KKE78" s="548"/>
      <c r="KKF78" s="548"/>
      <c r="KKG78" s="452"/>
      <c r="KKH78" s="596"/>
      <c r="KKI78" s="548"/>
      <c r="KKJ78" s="548"/>
      <c r="KKK78" s="548"/>
      <c r="KKL78" s="548"/>
      <c r="KKM78" s="548"/>
      <c r="KKN78" s="452"/>
      <c r="KKO78" s="596"/>
      <c r="KKP78" s="548"/>
      <c r="KKQ78" s="548"/>
      <c r="KKR78" s="548"/>
      <c r="KKS78" s="548"/>
      <c r="KKT78" s="548"/>
      <c r="KKU78" s="452"/>
      <c r="KKV78" s="596"/>
      <c r="KKW78" s="548"/>
      <c r="KKX78" s="548"/>
      <c r="KKY78" s="548"/>
      <c r="KKZ78" s="548"/>
      <c r="KLA78" s="548"/>
      <c r="KLB78" s="452"/>
      <c r="KLC78" s="596"/>
      <c r="KLD78" s="548"/>
      <c r="KLE78" s="548"/>
      <c r="KLF78" s="548"/>
      <c r="KLG78" s="548"/>
      <c r="KLH78" s="548"/>
      <c r="KLI78" s="452"/>
      <c r="KLJ78" s="596"/>
      <c r="KLK78" s="548"/>
      <c r="KLL78" s="548"/>
      <c r="KLM78" s="548"/>
      <c r="KLN78" s="548"/>
      <c r="KLO78" s="548"/>
      <c r="KLP78" s="452"/>
      <c r="KLQ78" s="596"/>
      <c r="KLR78" s="548"/>
      <c r="KLS78" s="548"/>
      <c r="KLT78" s="548"/>
      <c r="KLU78" s="548"/>
      <c r="KLV78" s="548"/>
      <c r="KLW78" s="452"/>
      <c r="KLX78" s="596"/>
      <c r="KLY78" s="548"/>
      <c r="KLZ78" s="548"/>
      <c r="KMA78" s="548"/>
      <c r="KMB78" s="548"/>
      <c r="KMC78" s="548"/>
      <c r="KMD78" s="452"/>
      <c r="KME78" s="596"/>
      <c r="KMF78" s="548"/>
      <c r="KMG78" s="548"/>
      <c r="KMH78" s="548"/>
      <c r="KMI78" s="548"/>
      <c r="KMJ78" s="548"/>
      <c r="KMK78" s="452"/>
      <c r="KML78" s="596"/>
      <c r="KMM78" s="548"/>
      <c r="KMN78" s="548"/>
      <c r="KMO78" s="548"/>
      <c r="KMP78" s="548"/>
      <c r="KMQ78" s="548"/>
      <c r="KMR78" s="452"/>
      <c r="KMS78" s="596"/>
      <c r="KMT78" s="548"/>
      <c r="KMU78" s="548"/>
      <c r="KMV78" s="548"/>
      <c r="KMW78" s="548"/>
      <c r="KMX78" s="548"/>
      <c r="KMY78" s="452"/>
      <c r="KMZ78" s="596"/>
      <c r="KNA78" s="548"/>
      <c r="KNB78" s="548"/>
      <c r="KNC78" s="548"/>
      <c r="KND78" s="548"/>
      <c r="KNE78" s="548"/>
      <c r="KNF78" s="452"/>
      <c r="KNG78" s="596"/>
      <c r="KNH78" s="548"/>
      <c r="KNI78" s="548"/>
      <c r="KNJ78" s="548"/>
      <c r="KNK78" s="548"/>
      <c r="KNL78" s="548"/>
      <c r="KNM78" s="452"/>
      <c r="KNN78" s="596"/>
      <c r="KNO78" s="548"/>
      <c r="KNP78" s="548"/>
      <c r="KNQ78" s="548"/>
      <c r="KNR78" s="548"/>
      <c r="KNS78" s="548"/>
      <c r="KNT78" s="452"/>
      <c r="KNU78" s="596"/>
      <c r="KNV78" s="548"/>
      <c r="KNW78" s="548"/>
      <c r="KNX78" s="548"/>
      <c r="KNY78" s="548"/>
      <c r="KNZ78" s="548"/>
      <c r="KOA78" s="452"/>
      <c r="KOB78" s="596"/>
      <c r="KOC78" s="548"/>
      <c r="KOD78" s="548"/>
      <c r="KOE78" s="548"/>
      <c r="KOF78" s="548"/>
      <c r="KOG78" s="548"/>
      <c r="KOH78" s="452"/>
      <c r="KOI78" s="596"/>
      <c r="KOJ78" s="548"/>
      <c r="KOK78" s="548"/>
      <c r="KOL78" s="548"/>
      <c r="KOM78" s="548"/>
      <c r="KON78" s="548"/>
      <c r="KOO78" s="452"/>
      <c r="KOP78" s="596"/>
      <c r="KOQ78" s="548"/>
      <c r="KOR78" s="548"/>
      <c r="KOS78" s="548"/>
      <c r="KOT78" s="548"/>
      <c r="KOU78" s="548"/>
      <c r="KOV78" s="452"/>
      <c r="KOW78" s="596"/>
      <c r="KOX78" s="548"/>
      <c r="KOY78" s="548"/>
      <c r="KOZ78" s="548"/>
      <c r="KPA78" s="548"/>
      <c r="KPB78" s="548"/>
      <c r="KPC78" s="452"/>
      <c r="KPD78" s="596"/>
      <c r="KPE78" s="548"/>
      <c r="KPF78" s="548"/>
      <c r="KPG78" s="548"/>
      <c r="KPH78" s="548"/>
      <c r="KPI78" s="548"/>
      <c r="KPJ78" s="452"/>
      <c r="KPK78" s="596"/>
      <c r="KPL78" s="548"/>
      <c r="KPM78" s="548"/>
      <c r="KPN78" s="548"/>
      <c r="KPO78" s="548"/>
      <c r="KPP78" s="548"/>
      <c r="KPQ78" s="452"/>
      <c r="KPR78" s="596"/>
      <c r="KPS78" s="548"/>
      <c r="KPT78" s="548"/>
      <c r="KPU78" s="548"/>
      <c r="KPV78" s="548"/>
      <c r="KPW78" s="548"/>
      <c r="KPX78" s="452"/>
      <c r="KPY78" s="596"/>
      <c r="KPZ78" s="548"/>
      <c r="KQA78" s="548"/>
      <c r="KQB78" s="548"/>
      <c r="KQC78" s="548"/>
      <c r="KQD78" s="548"/>
      <c r="KQE78" s="452"/>
      <c r="KQF78" s="596"/>
      <c r="KQG78" s="548"/>
      <c r="KQH78" s="548"/>
      <c r="KQI78" s="548"/>
      <c r="KQJ78" s="548"/>
      <c r="KQK78" s="548"/>
      <c r="KQL78" s="452"/>
      <c r="KQM78" s="596"/>
      <c r="KQN78" s="548"/>
      <c r="KQO78" s="548"/>
      <c r="KQP78" s="548"/>
      <c r="KQQ78" s="548"/>
      <c r="KQR78" s="548"/>
      <c r="KQS78" s="452"/>
      <c r="KQT78" s="596"/>
      <c r="KQU78" s="548"/>
      <c r="KQV78" s="548"/>
      <c r="KQW78" s="548"/>
      <c r="KQX78" s="548"/>
      <c r="KQY78" s="548"/>
      <c r="KQZ78" s="452"/>
      <c r="KRA78" s="596"/>
      <c r="KRB78" s="548"/>
      <c r="KRC78" s="548"/>
      <c r="KRD78" s="548"/>
      <c r="KRE78" s="548"/>
      <c r="KRF78" s="548"/>
      <c r="KRG78" s="452"/>
      <c r="KRH78" s="596"/>
      <c r="KRI78" s="548"/>
      <c r="KRJ78" s="548"/>
      <c r="KRK78" s="548"/>
      <c r="KRL78" s="548"/>
      <c r="KRM78" s="548"/>
      <c r="KRN78" s="452"/>
      <c r="KRO78" s="596"/>
      <c r="KRP78" s="548"/>
      <c r="KRQ78" s="548"/>
      <c r="KRR78" s="548"/>
      <c r="KRS78" s="548"/>
      <c r="KRT78" s="548"/>
      <c r="KRU78" s="452"/>
      <c r="KRV78" s="596"/>
      <c r="KRW78" s="548"/>
      <c r="KRX78" s="548"/>
      <c r="KRY78" s="548"/>
      <c r="KRZ78" s="548"/>
      <c r="KSA78" s="548"/>
      <c r="KSB78" s="452"/>
      <c r="KSC78" s="596"/>
      <c r="KSD78" s="548"/>
      <c r="KSE78" s="548"/>
      <c r="KSF78" s="548"/>
      <c r="KSG78" s="548"/>
      <c r="KSH78" s="548"/>
      <c r="KSI78" s="452"/>
      <c r="KSJ78" s="596"/>
      <c r="KSK78" s="548"/>
      <c r="KSL78" s="548"/>
      <c r="KSM78" s="548"/>
      <c r="KSN78" s="548"/>
      <c r="KSO78" s="548"/>
      <c r="KSP78" s="452"/>
      <c r="KSQ78" s="596"/>
      <c r="KSR78" s="548"/>
      <c r="KSS78" s="548"/>
      <c r="KST78" s="548"/>
      <c r="KSU78" s="548"/>
      <c r="KSV78" s="548"/>
      <c r="KSW78" s="452"/>
      <c r="KSX78" s="596"/>
      <c r="KSY78" s="548"/>
      <c r="KSZ78" s="548"/>
      <c r="KTA78" s="548"/>
      <c r="KTB78" s="548"/>
      <c r="KTC78" s="548"/>
      <c r="KTD78" s="452"/>
      <c r="KTE78" s="596"/>
      <c r="KTF78" s="548"/>
      <c r="KTG78" s="548"/>
      <c r="KTH78" s="548"/>
      <c r="KTI78" s="548"/>
      <c r="KTJ78" s="548"/>
      <c r="KTK78" s="452"/>
      <c r="KTL78" s="596"/>
      <c r="KTM78" s="548"/>
      <c r="KTN78" s="548"/>
      <c r="KTO78" s="548"/>
      <c r="KTP78" s="548"/>
      <c r="KTQ78" s="548"/>
      <c r="KTR78" s="452"/>
      <c r="KTS78" s="596"/>
      <c r="KTT78" s="548"/>
      <c r="KTU78" s="548"/>
      <c r="KTV78" s="548"/>
      <c r="KTW78" s="548"/>
      <c r="KTX78" s="548"/>
      <c r="KTY78" s="452"/>
      <c r="KTZ78" s="596"/>
      <c r="KUA78" s="548"/>
      <c r="KUB78" s="548"/>
      <c r="KUC78" s="548"/>
      <c r="KUD78" s="548"/>
      <c r="KUE78" s="548"/>
      <c r="KUF78" s="452"/>
      <c r="KUG78" s="596"/>
      <c r="KUH78" s="548"/>
      <c r="KUI78" s="548"/>
      <c r="KUJ78" s="548"/>
      <c r="KUK78" s="548"/>
      <c r="KUL78" s="548"/>
      <c r="KUM78" s="452"/>
      <c r="KUN78" s="596"/>
      <c r="KUO78" s="548"/>
      <c r="KUP78" s="548"/>
      <c r="KUQ78" s="548"/>
      <c r="KUR78" s="548"/>
      <c r="KUS78" s="548"/>
      <c r="KUT78" s="452"/>
      <c r="KUU78" s="596"/>
      <c r="KUV78" s="548"/>
      <c r="KUW78" s="548"/>
      <c r="KUX78" s="548"/>
      <c r="KUY78" s="548"/>
      <c r="KUZ78" s="548"/>
      <c r="KVA78" s="452"/>
      <c r="KVB78" s="596"/>
      <c r="KVC78" s="548"/>
      <c r="KVD78" s="548"/>
      <c r="KVE78" s="548"/>
      <c r="KVF78" s="548"/>
      <c r="KVG78" s="548"/>
      <c r="KVH78" s="452"/>
      <c r="KVI78" s="596"/>
      <c r="KVJ78" s="548"/>
      <c r="KVK78" s="548"/>
      <c r="KVL78" s="548"/>
      <c r="KVM78" s="548"/>
      <c r="KVN78" s="548"/>
      <c r="KVO78" s="452"/>
      <c r="KVP78" s="596"/>
      <c r="KVQ78" s="548"/>
      <c r="KVR78" s="548"/>
      <c r="KVS78" s="548"/>
      <c r="KVT78" s="548"/>
      <c r="KVU78" s="548"/>
      <c r="KVV78" s="452"/>
      <c r="KVW78" s="596"/>
      <c r="KVX78" s="548"/>
      <c r="KVY78" s="548"/>
      <c r="KVZ78" s="548"/>
      <c r="KWA78" s="548"/>
      <c r="KWB78" s="548"/>
      <c r="KWC78" s="452"/>
      <c r="KWD78" s="596"/>
      <c r="KWE78" s="548"/>
      <c r="KWF78" s="548"/>
      <c r="KWG78" s="548"/>
      <c r="KWH78" s="548"/>
      <c r="KWI78" s="548"/>
      <c r="KWJ78" s="452"/>
      <c r="KWK78" s="596"/>
      <c r="KWL78" s="548"/>
      <c r="KWM78" s="548"/>
      <c r="KWN78" s="548"/>
      <c r="KWO78" s="548"/>
      <c r="KWP78" s="548"/>
      <c r="KWQ78" s="452"/>
      <c r="KWR78" s="596"/>
      <c r="KWS78" s="548"/>
      <c r="KWT78" s="548"/>
      <c r="KWU78" s="548"/>
      <c r="KWV78" s="548"/>
      <c r="KWW78" s="548"/>
      <c r="KWX78" s="452"/>
      <c r="KWY78" s="596"/>
      <c r="KWZ78" s="548"/>
      <c r="KXA78" s="548"/>
      <c r="KXB78" s="548"/>
      <c r="KXC78" s="548"/>
      <c r="KXD78" s="548"/>
      <c r="KXE78" s="452"/>
      <c r="KXF78" s="596"/>
      <c r="KXG78" s="548"/>
      <c r="KXH78" s="548"/>
      <c r="KXI78" s="548"/>
      <c r="KXJ78" s="548"/>
      <c r="KXK78" s="548"/>
      <c r="KXL78" s="452"/>
      <c r="KXM78" s="596"/>
      <c r="KXN78" s="548"/>
      <c r="KXO78" s="548"/>
      <c r="KXP78" s="548"/>
      <c r="KXQ78" s="548"/>
      <c r="KXR78" s="548"/>
      <c r="KXS78" s="452"/>
      <c r="KXT78" s="596"/>
      <c r="KXU78" s="548"/>
      <c r="KXV78" s="548"/>
      <c r="KXW78" s="548"/>
      <c r="KXX78" s="548"/>
      <c r="KXY78" s="548"/>
      <c r="KXZ78" s="452"/>
      <c r="KYA78" s="596"/>
      <c r="KYB78" s="548"/>
      <c r="KYC78" s="548"/>
      <c r="KYD78" s="548"/>
      <c r="KYE78" s="548"/>
      <c r="KYF78" s="548"/>
      <c r="KYG78" s="452"/>
      <c r="KYH78" s="596"/>
      <c r="KYI78" s="548"/>
      <c r="KYJ78" s="548"/>
      <c r="KYK78" s="548"/>
      <c r="KYL78" s="548"/>
      <c r="KYM78" s="548"/>
      <c r="KYN78" s="452"/>
      <c r="KYO78" s="596"/>
      <c r="KYP78" s="548"/>
      <c r="KYQ78" s="548"/>
      <c r="KYR78" s="548"/>
      <c r="KYS78" s="548"/>
      <c r="KYT78" s="548"/>
      <c r="KYU78" s="452"/>
      <c r="KYV78" s="596"/>
      <c r="KYW78" s="548"/>
      <c r="KYX78" s="548"/>
      <c r="KYY78" s="548"/>
      <c r="KYZ78" s="548"/>
      <c r="KZA78" s="548"/>
      <c r="KZB78" s="452"/>
      <c r="KZC78" s="596"/>
      <c r="KZD78" s="548"/>
      <c r="KZE78" s="548"/>
      <c r="KZF78" s="548"/>
      <c r="KZG78" s="548"/>
      <c r="KZH78" s="548"/>
      <c r="KZI78" s="452"/>
      <c r="KZJ78" s="596"/>
      <c r="KZK78" s="548"/>
      <c r="KZL78" s="548"/>
      <c r="KZM78" s="548"/>
      <c r="KZN78" s="548"/>
      <c r="KZO78" s="548"/>
      <c r="KZP78" s="452"/>
      <c r="KZQ78" s="596"/>
      <c r="KZR78" s="548"/>
      <c r="KZS78" s="548"/>
      <c r="KZT78" s="548"/>
      <c r="KZU78" s="548"/>
      <c r="KZV78" s="548"/>
      <c r="KZW78" s="452"/>
      <c r="KZX78" s="596"/>
      <c r="KZY78" s="548"/>
      <c r="KZZ78" s="548"/>
      <c r="LAA78" s="548"/>
      <c r="LAB78" s="548"/>
      <c r="LAC78" s="548"/>
      <c r="LAD78" s="452"/>
      <c r="LAE78" s="596"/>
      <c r="LAF78" s="548"/>
      <c r="LAG78" s="548"/>
      <c r="LAH78" s="548"/>
      <c r="LAI78" s="548"/>
      <c r="LAJ78" s="548"/>
      <c r="LAK78" s="452"/>
      <c r="LAL78" s="596"/>
      <c r="LAM78" s="548"/>
      <c r="LAN78" s="548"/>
      <c r="LAO78" s="548"/>
      <c r="LAP78" s="548"/>
      <c r="LAQ78" s="548"/>
      <c r="LAR78" s="452"/>
      <c r="LAS78" s="596"/>
      <c r="LAT78" s="548"/>
      <c r="LAU78" s="548"/>
      <c r="LAV78" s="548"/>
      <c r="LAW78" s="548"/>
      <c r="LAX78" s="548"/>
      <c r="LAY78" s="452"/>
      <c r="LAZ78" s="596"/>
      <c r="LBA78" s="548"/>
      <c r="LBB78" s="548"/>
      <c r="LBC78" s="548"/>
      <c r="LBD78" s="548"/>
      <c r="LBE78" s="548"/>
      <c r="LBF78" s="452"/>
      <c r="LBG78" s="596"/>
      <c r="LBH78" s="548"/>
      <c r="LBI78" s="548"/>
      <c r="LBJ78" s="548"/>
      <c r="LBK78" s="548"/>
      <c r="LBL78" s="548"/>
      <c r="LBM78" s="452"/>
      <c r="LBN78" s="596"/>
      <c r="LBO78" s="548"/>
      <c r="LBP78" s="548"/>
      <c r="LBQ78" s="548"/>
      <c r="LBR78" s="548"/>
      <c r="LBS78" s="548"/>
      <c r="LBT78" s="452"/>
      <c r="LBU78" s="596"/>
      <c r="LBV78" s="548"/>
      <c r="LBW78" s="548"/>
      <c r="LBX78" s="548"/>
      <c r="LBY78" s="548"/>
      <c r="LBZ78" s="548"/>
      <c r="LCA78" s="452"/>
      <c r="LCB78" s="596"/>
      <c r="LCC78" s="548"/>
      <c r="LCD78" s="548"/>
      <c r="LCE78" s="548"/>
      <c r="LCF78" s="548"/>
      <c r="LCG78" s="548"/>
      <c r="LCH78" s="452"/>
      <c r="LCI78" s="596"/>
      <c r="LCJ78" s="548"/>
      <c r="LCK78" s="548"/>
      <c r="LCL78" s="548"/>
      <c r="LCM78" s="548"/>
      <c r="LCN78" s="548"/>
      <c r="LCO78" s="452"/>
      <c r="LCP78" s="596"/>
      <c r="LCQ78" s="548"/>
      <c r="LCR78" s="548"/>
      <c r="LCS78" s="548"/>
      <c r="LCT78" s="548"/>
      <c r="LCU78" s="548"/>
      <c r="LCV78" s="452"/>
      <c r="LCW78" s="596"/>
      <c r="LCX78" s="548"/>
      <c r="LCY78" s="548"/>
      <c r="LCZ78" s="548"/>
      <c r="LDA78" s="548"/>
      <c r="LDB78" s="548"/>
      <c r="LDC78" s="452"/>
      <c r="LDD78" s="596"/>
      <c r="LDE78" s="548"/>
      <c r="LDF78" s="548"/>
      <c r="LDG78" s="548"/>
      <c r="LDH78" s="548"/>
      <c r="LDI78" s="548"/>
      <c r="LDJ78" s="452"/>
      <c r="LDK78" s="596"/>
      <c r="LDL78" s="548"/>
      <c r="LDM78" s="548"/>
      <c r="LDN78" s="548"/>
      <c r="LDO78" s="548"/>
      <c r="LDP78" s="548"/>
      <c r="LDQ78" s="452"/>
      <c r="LDR78" s="596"/>
      <c r="LDS78" s="548"/>
      <c r="LDT78" s="548"/>
      <c r="LDU78" s="548"/>
      <c r="LDV78" s="548"/>
      <c r="LDW78" s="548"/>
      <c r="LDX78" s="452"/>
      <c r="LDY78" s="596"/>
      <c r="LDZ78" s="548"/>
      <c r="LEA78" s="548"/>
      <c r="LEB78" s="548"/>
      <c r="LEC78" s="548"/>
      <c r="LED78" s="548"/>
      <c r="LEE78" s="452"/>
      <c r="LEF78" s="596"/>
      <c r="LEG78" s="548"/>
      <c r="LEH78" s="548"/>
      <c r="LEI78" s="548"/>
      <c r="LEJ78" s="548"/>
      <c r="LEK78" s="548"/>
      <c r="LEL78" s="452"/>
      <c r="LEM78" s="596"/>
      <c r="LEN78" s="548"/>
      <c r="LEO78" s="548"/>
      <c r="LEP78" s="548"/>
      <c r="LEQ78" s="548"/>
      <c r="LER78" s="548"/>
      <c r="LES78" s="452"/>
      <c r="LET78" s="596"/>
      <c r="LEU78" s="548"/>
      <c r="LEV78" s="548"/>
      <c r="LEW78" s="548"/>
      <c r="LEX78" s="548"/>
      <c r="LEY78" s="548"/>
      <c r="LEZ78" s="452"/>
      <c r="LFA78" s="596"/>
      <c r="LFB78" s="548"/>
      <c r="LFC78" s="548"/>
      <c r="LFD78" s="548"/>
      <c r="LFE78" s="548"/>
      <c r="LFF78" s="548"/>
      <c r="LFG78" s="452"/>
      <c r="LFH78" s="596"/>
      <c r="LFI78" s="548"/>
      <c r="LFJ78" s="548"/>
      <c r="LFK78" s="548"/>
      <c r="LFL78" s="548"/>
      <c r="LFM78" s="548"/>
      <c r="LFN78" s="452"/>
      <c r="LFO78" s="596"/>
      <c r="LFP78" s="548"/>
      <c r="LFQ78" s="548"/>
      <c r="LFR78" s="548"/>
      <c r="LFS78" s="548"/>
      <c r="LFT78" s="548"/>
      <c r="LFU78" s="452"/>
      <c r="LFV78" s="596"/>
      <c r="LFW78" s="548"/>
      <c r="LFX78" s="548"/>
      <c r="LFY78" s="548"/>
      <c r="LFZ78" s="548"/>
      <c r="LGA78" s="548"/>
      <c r="LGB78" s="452"/>
      <c r="LGC78" s="596"/>
      <c r="LGD78" s="548"/>
      <c r="LGE78" s="548"/>
      <c r="LGF78" s="548"/>
      <c r="LGG78" s="548"/>
      <c r="LGH78" s="548"/>
      <c r="LGI78" s="452"/>
      <c r="LGJ78" s="596"/>
      <c r="LGK78" s="548"/>
      <c r="LGL78" s="548"/>
      <c r="LGM78" s="548"/>
      <c r="LGN78" s="548"/>
      <c r="LGO78" s="548"/>
      <c r="LGP78" s="452"/>
      <c r="LGQ78" s="596"/>
      <c r="LGR78" s="548"/>
      <c r="LGS78" s="548"/>
      <c r="LGT78" s="548"/>
      <c r="LGU78" s="548"/>
      <c r="LGV78" s="548"/>
      <c r="LGW78" s="452"/>
      <c r="LGX78" s="596"/>
      <c r="LGY78" s="548"/>
      <c r="LGZ78" s="548"/>
      <c r="LHA78" s="548"/>
      <c r="LHB78" s="548"/>
      <c r="LHC78" s="548"/>
      <c r="LHD78" s="452"/>
      <c r="LHE78" s="596"/>
      <c r="LHF78" s="548"/>
      <c r="LHG78" s="548"/>
      <c r="LHH78" s="548"/>
      <c r="LHI78" s="548"/>
      <c r="LHJ78" s="548"/>
      <c r="LHK78" s="452"/>
      <c r="LHL78" s="596"/>
      <c r="LHM78" s="548"/>
      <c r="LHN78" s="548"/>
      <c r="LHO78" s="548"/>
      <c r="LHP78" s="548"/>
      <c r="LHQ78" s="548"/>
      <c r="LHR78" s="452"/>
      <c r="LHS78" s="596"/>
      <c r="LHT78" s="548"/>
      <c r="LHU78" s="548"/>
      <c r="LHV78" s="548"/>
      <c r="LHW78" s="548"/>
      <c r="LHX78" s="548"/>
      <c r="LHY78" s="452"/>
      <c r="LHZ78" s="596"/>
      <c r="LIA78" s="548"/>
      <c r="LIB78" s="548"/>
      <c r="LIC78" s="548"/>
      <c r="LID78" s="548"/>
      <c r="LIE78" s="548"/>
      <c r="LIF78" s="452"/>
      <c r="LIG78" s="596"/>
      <c r="LIH78" s="548"/>
      <c r="LII78" s="548"/>
      <c r="LIJ78" s="548"/>
      <c r="LIK78" s="548"/>
      <c r="LIL78" s="548"/>
      <c r="LIM78" s="452"/>
      <c r="LIN78" s="596"/>
      <c r="LIO78" s="548"/>
      <c r="LIP78" s="548"/>
      <c r="LIQ78" s="548"/>
      <c r="LIR78" s="548"/>
      <c r="LIS78" s="548"/>
      <c r="LIT78" s="452"/>
      <c r="LIU78" s="596"/>
      <c r="LIV78" s="548"/>
      <c r="LIW78" s="548"/>
      <c r="LIX78" s="548"/>
      <c r="LIY78" s="548"/>
      <c r="LIZ78" s="548"/>
      <c r="LJA78" s="452"/>
      <c r="LJB78" s="596"/>
      <c r="LJC78" s="548"/>
      <c r="LJD78" s="548"/>
      <c r="LJE78" s="548"/>
      <c r="LJF78" s="548"/>
      <c r="LJG78" s="548"/>
      <c r="LJH78" s="452"/>
      <c r="LJI78" s="596"/>
      <c r="LJJ78" s="548"/>
      <c r="LJK78" s="548"/>
      <c r="LJL78" s="548"/>
      <c r="LJM78" s="548"/>
      <c r="LJN78" s="548"/>
      <c r="LJO78" s="452"/>
      <c r="LJP78" s="596"/>
      <c r="LJQ78" s="548"/>
      <c r="LJR78" s="548"/>
      <c r="LJS78" s="548"/>
      <c r="LJT78" s="548"/>
      <c r="LJU78" s="548"/>
      <c r="LJV78" s="452"/>
      <c r="LJW78" s="596"/>
      <c r="LJX78" s="548"/>
      <c r="LJY78" s="548"/>
      <c r="LJZ78" s="548"/>
      <c r="LKA78" s="548"/>
      <c r="LKB78" s="548"/>
      <c r="LKC78" s="452"/>
      <c r="LKD78" s="596"/>
      <c r="LKE78" s="548"/>
      <c r="LKF78" s="548"/>
      <c r="LKG78" s="548"/>
      <c r="LKH78" s="548"/>
      <c r="LKI78" s="548"/>
      <c r="LKJ78" s="452"/>
      <c r="LKK78" s="596"/>
      <c r="LKL78" s="548"/>
      <c r="LKM78" s="548"/>
      <c r="LKN78" s="548"/>
      <c r="LKO78" s="548"/>
      <c r="LKP78" s="548"/>
      <c r="LKQ78" s="452"/>
      <c r="LKR78" s="596"/>
      <c r="LKS78" s="548"/>
      <c r="LKT78" s="548"/>
      <c r="LKU78" s="548"/>
      <c r="LKV78" s="548"/>
      <c r="LKW78" s="548"/>
      <c r="LKX78" s="452"/>
      <c r="LKY78" s="596"/>
      <c r="LKZ78" s="548"/>
      <c r="LLA78" s="548"/>
      <c r="LLB78" s="548"/>
      <c r="LLC78" s="548"/>
      <c r="LLD78" s="548"/>
      <c r="LLE78" s="452"/>
      <c r="LLF78" s="596"/>
      <c r="LLG78" s="548"/>
      <c r="LLH78" s="548"/>
      <c r="LLI78" s="548"/>
      <c r="LLJ78" s="548"/>
      <c r="LLK78" s="548"/>
      <c r="LLL78" s="452"/>
      <c r="LLM78" s="596"/>
      <c r="LLN78" s="548"/>
      <c r="LLO78" s="548"/>
      <c r="LLP78" s="548"/>
      <c r="LLQ78" s="548"/>
      <c r="LLR78" s="548"/>
      <c r="LLS78" s="452"/>
      <c r="LLT78" s="596"/>
      <c r="LLU78" s="548"/>
      <c r="LLV78" s="548"/>
      <c r="LLW78" s="548"/>
      <c r="LLX78" s="548"/>
      <c r="LLY78" s="548"/>
      <c r="LLZ78" s="452"/>
      <c r="LMA78" s="596"/>
      <c r="LMB78" s="548"/>
      <c r="LMC78" s="548"/>
      <c r="LMD78" s="548"/>
      <c r="LME78" s="548"/>
      <c r="LMF78" s="548"/>
      <c r="LMG78" s="452"/>
      <c r="LMH78" s="596"/>
      <c r="LMI78" s="548"/>
      <c r="LMJ78" s="548"/>
      <c r="LMK78" s="548"/>
      <c r="LML78" s="548"/>
      <c r="LMM78" s="548"/>
      <c r="LMN78" s="452"/>
      <c r="LMO78" s="596"/>
      <c r="LMP78" s="548"/>
      <c r="LMQ78" s="548"/>
      <c r="LMR78" s="548"/>
      <c r="LMS78" s="548"/>
      <c r="LMT78" s="548"/>
      <c r="LMU78" s="452"/>
      <c r="LMV78" s="596"/>
      <c r="LMW78" s="548"/>
      <c r="LMX78" s="548"/>
      <c r="LMY78" s="548"/>
      <c r="LMZ78" s="548"/>
      <c r="LNA78" s="548"/>
      <c r="LNB78" s="452"/>
      <c r="LNC78" s="596"/>
      <c r="LND78" s="548"/>
      <c r="LNE78" s="548"/>
      <c r="LNF78" s="548"/>
      <c r="LNG78" s="548"/>
      <c r="LNH78" s="548"/>
      <c r="LNI78" s="452"/>
      <c r="LNJ78" s="596"/>
      <c r="LNK78" s="548"/>
      <c r="LNL78" s="548"/>
      <c r="LNM78" s="548"/>
      <c r="LNN78" s="548"/>
      <c r="LNO78" s="548"/>
      <c r="LNP78" s="452"/>
      <c r="LNQ78" s="596"/>
      <c r="LNR78" s="548"/>
      <c r="LNS78" s="548"/>
      <c r="LNT78" s="548"/>
      <c r="LNU78" s="548"/>
      <c r="LNV78" s="548"/>
      <c r="LNW78" s="452"/>
      <c r="LNX78" s="596"/>
      <c r="LNY78" s="548"/>
      <c r="LNZ78" s="548"/>
      <c r="LOA78" s="548"/>
      <c r="LOB78" s="548"/>
      <c r="LOC78" s="548"/>
      <c r="LOD78" s="452"/>
      <c r="LOE78" s="596"/>
      <c r="LOF78" s="548"/>
      <c r="LOG78" s="548"/>
      <c r="LOH78" s="548"/>
      <c r="LOI78" s="548"/>
      <c r="LOJ78" s="548"/>
      <c r="LOK78" s="452"/>
      <c r="LOL78" s="596"/>
      <c r="LOM78" s="548"/>
      <c r="LON78" s="548"/>
      <c r="LOO78" s="548"/>
      <c r="LOP78" s="548"/>
      <c r="LOQ78" s="548"/>
      <c r="LOR78" s="452"/>
      <c r="LOS78" s="596"/>
      <c r="LOT78" s="548"/>
      <c r="LOU78" s="548"/>
      <c r="LOV78" s="548"/>
      <c r="LOW78" s="548"/>
      <c r="LOX78" s="548"/>
      <c r="LOY78" s="452"/>
      <c r="LOZ78" s="596"/>
      <c r="LPA78" s="548"/>
      <c r="LPB78" s="548"/>
      <c r="LPC78" s="548"/>
      <c r="LPD78" s="548"/>
      <c r="LPE78" s="548"/>
      <c r="LPF78" s="452"/>
      <c r="LPG78" s="596"/>
      <c r="LPH78" s="548"/>
      <c r="LPI78" s="548"/>
      <c r="LPJ78" s="548"/>
      <c r="LPK78" s="548"/>
      <c r="LPL78" s="548"/>
      <c r="LPM78" s="452"/>
      <c r="LPN78" s="596"/>
      <c r="LPO78" s="548"/>
      <c r="LPP78" s="548"/>
      <c r="LPQ78" s="548"/>
      <c r="LPR78" s="548"/>
      <c r="LPS78" s="548"/>
      <c r="LPT78" s="452"/>
      <c r="LPU78" s="596"/>
      <c r="LPV78" s="548"/>
      <c r="LPW78" s="548"/>
      <c r="LPX78" s="548"/>
      <c r="LPY78" s="548"/>
      <c r="LPZ78" s="548"/>
      <c r="LQA78" s="452"/>
      <c r="LQB78" s="596"/>
      <c r="LQC78" s="548"/>
      <c r="LQD78" s="548"/>
      <c r="LQE78" s="548"/>
      <c r="LQF78" s="548"/>
      <c r="LQG78" s="548"/>
      <c r="LQH78" s="452"/>
      <c r="LQI78" s="596"/>
      <c r="LQJ78" s="548"/>
      <c r="LQK78" s="548"/>
      <c r="LQL78" s="548"/>
      <c r="LQM78" s="548"/>
      <c r="LQN78" s="548"/>
      <c r="LQO78" s="452"/>
      <c r="LQP78" s="596"/>
      <c r="LQQ78" s="548"/>
      <c r="LQR78" s="548"/>
      <c r="LQS78" s="548"/>
      <c r="LQT78" s="548"/>
      <c r="LQU78" s="548"/>
      <c r="LQV78" s="452"/>
      <c r="LQW78" s="596"/>
      <c r="LQX78" s="548"/>
      <c r="LQY78" s="548"/>
      <c r="LQZ78" s="548"/>
      <c r="LRA78" s="548"/>
      <c r="LRB78" s="548"/>
      <c r="LRC78" s="452"/>
      <c r="LRD78" s="596"/>
      <c r="LRE78" s="548"/>
      <c r="LRF78" s="548"/>
      <c r="LRG78" s="548"/>
      <c r="LRH78" s="548"/>
      <c r="LRI78" s="548"/>
      <c r="LRJ78" s="452"/>
      <c r="LRK78" s="596"/>
      <c r="LRL78" s="548"/>
      <c r="LRM78" s="548"/>
      <c r="LRN78" s="548"/>
      <c r="LRO78" s="548"/>
      <c r="LRP78" s="548"/>
      <c r="LRQ78" s="452"/>
      <c r="LRR78" s="596"/>
      <c r="LRS78" s="548"/>
      <c r="LRT78" s="548"/>
      <c r="LRU78" s="548"/>
      <c r="LRV78" s="548"/>
      <c r="LRW78" s="548"/>
      <c r="LRX78" s="452"/>
      <c r="LRY78" s="596"/>
      <c r="LRZ78" s="548"/>
      <c r="LSA78" s="548"/>
      <c r="LSB78" s="548"/>
      <c r="LSC78" s="548"/>
      <c r="LSD78" s="548"/>
      <c r="LSE78" s="452"/>
      <c r="LSF78" s="596"/>
      <c r="LSG78" s="548"/>
      <c r="LSH78" s="548"/>
      <c r="LSI78" s="548"/>
      <c r="LSJ78" s="548"/>
      <c r="LSK78" s="548"/>
      <c r="LSL78" s="452"/>
      <c r="LSM78" s="596"/>
      <c r="LSN78" s="548"/>
      <c r="LSO78" s="548"/>
      <c r="LSP78" s="548"/>
      <c r="LSQ78" s="548"/>
      <c r="LSR78" s="548"/>
      <c r="LSS78" s="452"/>
      <c r="LST78" s="596"/>
      <c r="LSU78" s="548"/>
      <c r="LSV78" s="548"/>
      <c r="LSW78" s="548"/>
      <c r="LSX78" s="548"/>
      <c r="LSY78" s="548"/>
      <c r="LSZ78" s="452"/>
      <c r="LTA78" s="596"/>
      <c r="LTB78" s="548"/>
      <c r="LTC78" s="548"/>
      <c r="LTD78" s="548"/>
      <c r="LTE78" s="548"/>
      <c r="LTF78" s="548"/>
      <c r="LTG78" s="452"/>
      <c r="LTH78" s="596"/>
      <c r="LTI78" s="548"/>
      <c r="LTJ78" s="548"/>
      <c r="LTK78" s="548"/>
      <c r="LTL78" s="548"/>
      <c r="LTM78" s="548"/>
      <c r="LTN78" s="452"/>
      <c r="LTO78" s="596"/>
      <c r="LTP78" s="548"/>
      <c r="LTQ78" s="548"/>
      <c r="LTR78" s="548"/>
      <c r="LTS78" s="548"/>
      <c r="LTT78" s="548"/>
      <c r="LTU78" s="452"/>
      <c r="LTV78" s="596"/>
      <c r="LTW78" s="548"/>
      <c r="LTX78" s="548"/>
      <c r="LTY78" s="548"/>
      <c r="LTZ78" s="548"/>
      <c r="LUA78" s="548"/>
      <c r="LUB78" s="452"/>
      <c r="LUC78" s="596"/>
      <c r="LUD78" s="548"/>
      <c r="LUE78" s="548"/>
      <c r="LUF78" s="548"/>
      <c r="LUG78" s="548"/>
      <c r="LUH78" s="548"/>
      <c r="LUI78" s="452"/>
      <c r="LUJ78" s="596"/>
      <c r="LUK78" s="548"/>
      <c r="LUL78" s="548"/>
      <c r="LUM78" s="548"/>
      <c r="LUN78" s="548"/>
      <c r="LUO78" s="548"/>
      <c r="LUP78" s="452"/>
      <c r="LUQ78" s="596"/>
      <c r="LUR78" s="548"/>
      <c r="LUS78" s="548"/>
      <c r="LUT78" s="548"/>
      <c r="LUU78" s="548"/>
      <c r="LUV78" s="548"/>
      <c r="LUW78" s="452"/>
      <c r="LUX78" s="596"/>
      <c r="LUY78" s="548"/>
      <c r="LUZ78" s="548"/>
      <c r="LVA78" s="548"/>
      <c r="LVB78" s="548"/>
      <c r="LVC78" s="548"/>
      <c r="LVD78" s="452"/>
      <c r="LVE78" s="596"/>
      <c r="LVF78" s="548"/>
      <c r="LVG78" s="548"/>
      <c r="LVH78" s="548"/>
      <c r="LVI78" s="548"/>
      <c r="LVJ78" s="548"/>
      <c r="LVK78" s="452"/>
      <c r="LVL78" s="596"/>
      <c r="LVM78" s="548"/>
      <c r="LVN78" s="548"/>
      <c r="LVO78" s="548"/>
      <c r="LVP78" s="548"/>
      <c r="LVQ78" s="548"/>
      <c r="LVR78" s="452"/>
      <c r="LVS78" s="596"/>
      <c r="LVT78" s="548"/>
      <c r="LVU78" s="548"/>
      <c r="LVV78" s="548"/>
      <c r="LVW78" s="548"/>
      <c r="LVX78" s="548"/>
      <c r="LVY78" s="452"/>
      <c r="LVZ78" s="596"/>
      <c r="LWA78" s="548"/>
      <c r="LWB78" s="548"/>
      <c r="LWC78" s="548"/>
      <c r="LWD78" s="548"/>
      <c r="LWE78" s="548"/>
      <c r="LWF78" s="452"/>
      <c r="LWG78" s="596"/>
      <c r="LWH78" s="548"/>
      <c r="LWI78" s="548"/>
      <c r="LWJ78" s="548"/>
      <c r="LWK78" s="548"/>
      <c r="LWL78" s="548"/>
      <c r="LWM78" s="452"/>
      <c r="LWN78" s="596"/>
      <c r="LWO78" s="548"/>
      <c r="LWP78" s="548"/>
      <c r="LWQ78" s="548"/>
      <c r="LWR78" s="548"/>
      <c r="LWS78" s="548"/>
      <c r="LWT78" s="452"/>
      <c r="LWU78" s="596"/>
      <c r="LWV78" s="548"/>
      <c r="LWW78" s="548"/>
      <c r="LWX78" s="548"/>
      <c r="LWY78" s="548"/>
      <c r="LWZ78" s="548"/>
      <c r="LXA78" s="452"/>
      <c r="LXB78" s="596"/>
      <c r="LXC78" s="548"/>
      <c r="LXD78" s="548"/>
      <c r="LXE78" s="548"/>
      <c r="LXF78" s="548"/>
      <c r="LXG78" s="548"/>
      <c r="LXH78" s="452"/>
      <c r="LXI78" s="596"/>
      <c r="LXJ78" s="548"/>
      <c r="LXK78" s="548"/>
      <c r="LXL78" s="548"/>
      <c r="LXM78" s="548"/>
      <c r="LXN78" s="548"/>
      <c r="LXO78" s="452"/>
      <c r="LXP78" s="596"/>
      <c r="LXQ78" s="548"/>
      <c r="LXR78" s="548"/>
      <c r="LXS78" s="548"/>
      <c r="LXT78" s="548"/>
      <c r="LXU78" s="548"/>
      <c r="LXV78" s="452"/>
      <c r="LXW78" s="596"/>
      <c r="LXX78" s="548"/>
      <c r="LXY78" s="548"/>
      <c r="LXZ78" s="548"/>
      <c r="LYA78" s="548"/>
      <c r="LYB78" s="548"/>
      <c r="LYC78" s="452"/>
      <c r="LYD78" s="596"/>
      <c r="LYE78" s="548"/>
      <c r="LYF78" s="548"/>
      <c r="LYG78" s="548"/>
      <c r="LYH78" s="548"/>
      <c r="LYI78" s="548"/>
      <c r="LYJ78" s="452"/>
      <c r="LYK78" s="596"/>
      <c r="LYL78" s="548"/>
      <c r="LYM78" s="548"/>
      <c r="LYN78" s="548"/>
      <c r="LYO78" s="548"/>
      <c r="LYP78" s="548"/>
      <c r="LYQ78" s="452"/>
      <c r="LYR78" s="596"/>
      <c r="LYS78" s="548"/>
      <c r="LYT78" s="548"/>
      <c r="LYU78" s="548"/>
      <c r="LYV78" s="548"/>
      <c r="LYW78" s="548"/>
      <c r="LYX78" s="452"/>
      <c r="LYY78" s="596"/>
      <c r="LYZ78" s="548"/>
      <c r="LZA78" s="548"/>
      <c r="LZB78" s="548"/>
      <c r="LZC78" s="548"/>
      <c r="LZD78" s="548"/>
      <c r="LZE78" s="452"/>
      <c r="LZF78" s="596"/>
      <c r="LZG78" s="548"/>
      <c r="LZH78" s="548"/>
      <c r="LZI78" s="548"/>
      <c r="LZJ78" s="548"/>
      <c r="LZK78" s="548"/>
      <c r="LZL78" s="452"/>
      <c r="LZM78" s="596"/>
      <c r="LZN78" s="548"/>
      <c r="LZO78" s="548"/>
      <c r="LZP78" s="548"/>
      <c r="LZQ78" s="548"/>
      <c r="LZR78" s="548"/>
      <c r="LZS78" s="452"/>
      <c r="LZT78" s="596"/>
      <c r="LZU78" s="548"/>
      <c r="LZV78" s="548"/>
      <c r="LZW78" s="548"/>
      <c r="LZX78" s="548"/>
      <c r="LZY78" s="548"/>
      <c r="LZZ78" s="452"/>
      <c r="MAA78" s="596"/>
      <c r="MAB78" s="548"/>
      <c r="MAC78" s="548"/>
      <c r="MAD78" s="548"/>
      <c r="MAE78" s="548"/>
      <c r="MAF78" s="548"/>
      <c r="MAG78" s="452"/>
      <c r="MAH78" s="596"/>
      <c r="MAI78" s="548"/>
      <c r="MAJ78" s="548"/>
      <c r="MAK78" s="548"/>
      <c r="MAL78" s="548"/>
      <c r="MAM78" s="548"/>
      <c r="MAN78" s="452"/>
      <c r="MAO78" s="596"/>
      <c r="MAP78" s="548"/>
      <c r="MAQ78" s="548"/>
      <c r="MAR78" s="548"/>
      <c r="MAS78" s="548"/>
      <c r="MAT78" s="548"/>
      <c r="MAU78" s="452"/>
      <c r="MAV78" s="596"/>
      <c r="MAW78" s="548"/>
      <c r="MAX78" s="548"/>
      <c r="MAY78" s="548"/>
      <c r="MAZ78" s="548"/>
      <c r="MBA78" s="548"/>
      <c r="MBB78" s="452"/>
      <c r="MBC78" s="596"/>
      <c r="MBD78" s="548"/>
      <c r="MBE78" s="548"/>
      <c r="MBF78" s="548"/>
      <c r="MBG78" s="548"/>
      <c r="MBH78" s="548"/>
      <c r="MBI78" s="452"/>
      <c r="MBJ78" s="596"/>
      <c r="MBK78" s="548"/>
      <c r="MBL78" s="548"/>
      <c r="MBM78" s="548"/>
      <c r="MBN78" s="548"/>
      <c r="MBO78" s="548"/>
      <c r="MBP78" s="452"/>
      <c r="MBQ78" s="596"/>
      <c r="MBR78" s="548"/>
      <c r="MBS78" s="548"/>
      <c r="MBT78" s="548"/>
      <c r="MBU78" s="548"/>
      <c r="MBV78" s="548"/>
      <c r="MBW78" s="452"/>
      <c r="MBX78" s="596"/>
      <c r="MBY78" s="548"/>
      <c r="MBZ78" s="548"/>
      <c r="MCA78" s="548"/>
      <c r="MCB78" s="548"/>
      <c r="MCC78" s="548"/>
      <c r="MCD78" s="452"/>
      <c r="MCE78" s="596"/>
      <c r="MCF78" s="548"/>
      <c r="MCG78" s="548"/>
      <c r="MCH78" s="548"/>
      <c r="MCI78" s="548"/>
      <c r="MCJ78" s="548"/>
      <c r="MCK78" s="452"/>
      <c r="MCL78" s="596"/>
      <c r="MCM78" s="548"/>
      <c r="MCN78" s="548"/>
      <c r="MCO78" s="548"/>
      <c r="MCP78" s="548"/>
      <c r="MCQ78" s="548"/>
      <c r="MCR78" s="452"/>
      <c r="MCS78" s="596"/>
      <c r="MCT78" s="548"/>
      <c r="MCU78" s="548"/>
      <c r="MCV78" s="548"/>
      <c r="MCW78" s="548"/>
      <c r="MCX78" s="548"/>
      <c r="MCY78" s="452"/>
      <c r="MCZ78" s="596"/>
      <c r="MDA78" s="548"/>
      <c r="MDB78" s="548"/>
      <c r="MDC78" s="548"/>
      <c r="MDD78" s="548"/>
      <c r="MDE78" s="548"/>
      <c r="MDF78" s="452"/>
      <c r="MDG78" s="596"/>
      <c r="MDH78" s="548"/>
      <c r="MDI78" s="548"/>
      <c r="MDJ78" s="548"/>
      <c r="MDK78" s="548"/>
      <c r="MDL78" s="548"/>
      <c r="MDM78" s="452"/>
      <c r="MDN78" s="596"/>
      <c r="MDO78" s="548"/>
      <c r="MDP78" s="548"/>
      <c r="MDQ78" s="548"/>
      <c r="MDR78" s="548"/>
      <c r="MDS78" s="548"/>
      <c r="MDT78" s="452"/>
      <c r="MDU78" s="596"/>
      <c r="MDV78" s="548"/>
      <c r="MDW78" s="548"/>
      <c r="MDX78" s="548"/>
      <c r="MDY78" s="548"/>
      <c r="MDZ78" s="548"/>
      <c r="MEA78" s="452"/>
      <c r="MEB78" s="596"/>
      <c r="MEC78" s="548"/>
      <c r="MED78" s="548"/>
      <c r="MEE78" s="548"/>
      <c r="MEF78" s="548"/>
      <c r="MEG78" s="548"/>
      <c r="MEH78" s="452"/>
      <c r="MEI78" s="596"/>
      <c r="MEJ78" s="548"/>
      <c r="MEK78" s="548"/>
      <c r="MEL78" s="548"/>
      <c r="MEM78" s="548"/>
      <c r="MEN78" s="548"/>
      <c r="MEO78" s="452"/>
      <c r="MEP78" s="596"/>
      <c r="MEQ78" s="548"/>
      <c r="MER78" s="548"/>
      <c r="MES78" s="548"/>
      <c r="MET78" s="548"/>
      <c r="MEU78" s="548"/>
      <c r="MEV78" s="452"/>
      <c r="MEW78" s="596"/>
      <c r="MEX78" s="548"/>
      <c r="MEY78" s="548"/>
      <c r="MEZ78" s="548"/>
      <c r="MFA78" s="548"/>
      <c r="MFB78" s="548"/>
      <c r="MFC78" s="452"/>
      <c r="MFD78" s="596"/>
      <c r="MFE78" s="548"/>
      <c r="MFF78" s="548"/>
      <c r="MFG78" s="548"/>
      <c r="MFH78" s="548"/>
      <c r="MFI78" s="548"/>
      <c r="MFJ78" s="452"/>
      <c r="MFK78" s="596"/>
      <c r="MFL78" s="548"/>
      <c r="MFM78" s="548"/>
      <c r="MFN78" s="548"/>
      <c r="MFO78" s="548"/>
      <c r="MFP78" s="548"/>
      <c r="MFQ78" s="452"/>
      <c r="MFR78" s="596"/>
      <c r="MFS78" s="548"/>
      <c r="MFT78" s="548"/>
      <c r="MFU78" s="548"/>
      <c r="MFV78" s="548"/>
      <c r="MFW78" s="548"/>
      <c r="MFX78" s="452"/>
      <c r="MFY78" s="596"/>
      <c r="MFZ78" s="548"/>
      <c r="MGA78" s="548"/>
      <c r="MGB78" s="548"/>
      <c r="MGC78" s="548"/>
      <c r="MGD78" s="548"/>
      <c r="MGE78" s="452"/>
      <c r="MGF78" s="596"/>
      <c r="MGG78" s="548"/>
      <c r="MGH78" s="548"/>
      <c r="MGI78" s="548"/>
      <c r="MGJ78" s="548"/>
      <c r="MGK78" s="548"/>
      <c r="MGL78" s="452"/>
      <c r="MGM78" s="596"/>
      <c r="MGN78" s="548"/>
      <c r="MGO78" s="548"/>
      <c r="MGP78" s="548"/>
      <c r="MGQ78" s="548"/>
      <c r="MGR78" s="548"/>
      <c r="MGS78" s="452"/>
      <c r="MGT78" s="596"/>
      <c r="MGU78" s="548"/>
      <c r="MGV78" s="548"/>
      <c r="MGW78" s="548"/>
      <c r="MGX78" s="548"/>
      <c r="MGY78" s="548"/>
      <c r="MGZ78" s="452"/>
      <c r="MHA78" s="596"/>
      <c r="MHB78" s="548"/>
      <c r="MHC78" s="548"/>
      <c r="MHD78" s="548"/>
      <c r="MHE78" s="548"/>
      <c r="MHF78" s="548"/>
      <c r="MHG78" s="452"/>
      <c r="MHH78" s="596"/>
      <c r="MHI78" s="548"/>
      <c r="MHJ78" s="548"/>
      <c r="MHK78" s="548"/>
      <c r="MHL78" s="548"/>
      <c r="MHM78" s="548"/>
      <c r="MHN78" s="452"/>
      <c r="MHO78" s="596"/>
      <c r="MHP78" s="548"/>
      <c r="MHQ78" s="548"/>
      <c r="MHR78" s="548"/>
      <c r="MHS78" s="548"/>
      <c r="MHT78" s="548"/>
      <c r="MHU78" s="452"/>
      <c r="MHV78" s="596"/>
      <c r="MHW78" s="548"/>
      <c r="MHX78" s="548"/>
      <c r="MHY78" s="548"/>
      <c r="MHZ78" s="548"/>
      <c r="MIA78" s="548"/>
      <c r="MIB78" s="452"/>
      <c r="MIC78" s="596"/>
      <c r="MID78" s="548"/>
      <c r="MIE78" s="548"/>
      <c r="MIF78" s="548"/>
      <c r="MIG78" s="548"/>
      <c r="MIH78" s="548"/>
      <c r="MII78" s="452"/>
      <c r="MIJ78" s="596"/>
      <c r="MIK78" s="548"/>
      <c r="MIL78" s="548"/>
      <c r="MIM78" s="548"/>
      <c r="MIN78" s="548"/>
      <c r="MIO78" s="548"/>
      <c r="MIP78" s="452"/>
      <c r="MIQ78" s="596"/>
      <c r="MIR78" s="548"/>
      <c r="MIS78" s="548"/>
      <c r="MIT78" s="548"/>
      <c r="MIU78" s="548"/>
      <c r="MIV78" s="548"/>
      <c r="MIW78" s="452"/>
      <c r="MIX78" s="596"/>
      <c r="MIY78" s="548"/>
      <c r="MIZ78" s="548"/>
      <c r="MJA78" s="548"/>
      <c r="MJB78" s="548"/>
      <c r="MJC78" s="548"/>
      <c r="MJD78" s="452"/>
      <c r="MJE78" s="596"/>
      <c r="MJF78" s="548"/>
      <c r="MJG78" s="548"/>
      <c r="MJH78" s="548"/>
      <c r="MJI78" s="548"/>
      <c r="MJJ78" s="548"/>
      <c r="MJK78" s="452"/>
      <c r="MJL78" s="596"/>
      <c r="MJM78" s="548"/>
      <c r="MJN78" s="548"/>
      <c r="MJO78" s="548"/>
      <c r="MJP78" s="548"/>
      <c r="MJQ78" s="548"/>
      <c r="MJR78" s="452"/>
      <c r="MJS78" s="596"/>
      <c r="MJT78" s="548"/>
      <c r="MJU78" s="548"/>
      <c r="MJV78" s="548"/>
      <c r="MJW78" s="548"/>
      <c r="MJX78" s="548"/>
      <c r="MJY78" s="452"/>
      <c r="MJZ78" s="596"/>
      <c r="MKA78" s="548"/>
      <c r="MKB78" s="548"/>
      <c r="MKC78" s="548"/>
      <c r="MKD78" s="548"/>
      <c r="MKE78" s="548"/>
      <c r="MKF78" s="452"/>
      <c r="MKG78" s="596"/>
      <c r="MKH78" s="548"/>
      <c r="MKI78" s="548"/>
      <c r="MKJ78" s="548"/>
      <c r="MKK78" s="548"/>
      <c r="MKL78" s="548"/>
      <c r="MKM78" s="452"/>
      <c r="MKN78" s="596"/>
      <c r="MKO78" s="548"/>
      <c r="MKP78" s="548"/>
      <c r="MKQ78" s="548"/>
      <c r="MKR78" s="548"/>
      <c r="MKS78" s="548"/>
      <c r="MKT78" s="452"/>
      <c r="MKU78" s="596"/>
      <c r="MKV78" s="548"/>
      <c r="MKW78" s="548"/>
      <c r="MKX78" s="548"/>
      <c r="MKY78" s="548"/>
      <c r="MKZ78" s="548"/>
      <c r="MLA78" s="452"/>
      <c r="MLB78" s="596"/>
      <c r="MLC78" s="548"/>
      <c r="MLD78" s="548"/>
      <c r="MLE78" s="548"/>
      <c r="MLF78" s="548"/>
      <c r="MLG78" s="548"/>
      <c r="MLH78" s="452"/>
      <c r="MLI78" s="596"/>
      <c r="MLJ78" s="548"/>
      <c r="MLK78" s="548"/>
      <c r="MLL78" s="548"/>
      <c r="MLM78" s="548"/>
      <c r="MLN78" s="548"/>
      <c r="MLO78" s="452"/>
      <c r="MLP78" s="596"/>
      <c r="MLQ78" s="548"/>
      <c r="MLR78" s="548"/>
      <c r="MLS78" s="548"/>
      <c r="MLT78" s="548"/>
      <c r="MLU78" s="548"/>
      <c r="MLV78" s="452"/>
      <c r="MLW78" s="596"/>
      <c r="MLX78" s="548"/>
      <c r="MLY78" s="548"/>
      <c r="MLZ78" s="548"/>
      <c r="MMA78" s="548"/>
      <c r="MMB78" s="548"/>
      <c r="MMC78" s="452"/>
      <c r="MMD78" s="596"/>
      <c r="MME78" s="548"/>
      <c r="MMF78" s="548"/>
      <c r="MMG78" s="548"/>
      <c r="MMH78" s="548"/>
      <c r="MMI78" s="548"/>
      <c r="MMJ78" s="452"/>
      <c r="MMK78" s="596"/>
      <c r="MML78" s="548"/>
      <c r="MMM78" s="548"/>
      <c r="MMN78" s="548"/>
      <c r="MMO78" s="548"/>
      <c r="MMP78" s="548"/>
      <c r="MMQ78" s="452"/>
      <c r="MMR78" s="596"/>
      <c r="MMS78" s="548"/>
      <c r="MMT78" s="548"/>
      <c r="MMU78" s="548"/>
      <c r="MMV78" s="548"/>
      <c r="MMW78" s="548"/>
      <c r="MMX78" s="452"/>
      <c r="MMY78" s="596"/>
      <c r="MMZ78" s="548"/>
      <c r="MNA78" s="548"/>
      <c r="MNB78" s="548"/>
      <c r="MNC78" s="548"/>
      <c r="MND78" s="548"/>
      <c r="MNE78" s="452"/>
      <c r="MNF78" s="596"/>
      <c r="MNG78" s="548"/>
      <c r="MNH78" s="548"/>
      <c r="MNI78" s="548"/>
      <c r="MNJ78" s="548"/>
      <c r="MNK78" s="548"/>
      <c r="MNL78" s="452"/>
      <c r="MNM78" s="596"/>
      <c r="MNN78" s="548"/>
      <c r="MNO78" s="548"/>
      <c r="MNP78" s="548"/>
      <c r="MNQ78" s="548"/>
      <c r="MNR78" s="548"/>
      <c r="MNS78" s="452"/>
      <c r="MNT78" s="596"/>
      <c r="MNU78" s="548"/>
      <c r="MNV78" s="548"/>
      <c r="MNW78" s="548"/>
      <c r="MNX78" s="548"/>
      <c r="MNY78" s="548"/>
      <c r="MNZ78" s="452"/>
      <c r="MOA78" s="596"/>
      <c r="MOB78" s="548"/>
      <c r="MOC78" s="548"/>
      <c r="MOD78" s="548"/>
      <c r="MOE78" s="548"/>
      <c r="MOF78" s="548"/>
      <c r="MOG78" s="452"/>
      <c r="MOH78" s="596"/>
      <c r="MOI78" s="548"/>
      <c r="MOJ78" s="548"/>
      <c r="MOK78" s="548"/>
      <c r="MOL78" s="548"/>
      <c r="MOM78" s="548"/>
      <c r="MON78" s="452"/>
      <c r="MOO78" s="596"/>
      <c r="MOP78" s="548"/>
      <c r="MOQ78" s="548"/>
      <c r="MOR78" s="548"/>
      <c r="MOS78" s="548"/>
      <c r="MOT78" s="548"/>
      <c r="MOU78" s="452"/>
      <c r="MOV78" s="596"/>
      <c r="MOW78" s="548"/>
      <c r="MOX78" s="548"/>
      <c r="MOY78" s="548"/>
      <c r="MOZ78" s="548"/>
      <c r="MPA78" s="548"/>
      <c r="MPB78" s="452"/>
      <c r="MPC78" s="596"/>
      <c r="MPD78" s="548"/>
      <c r="MPE78" s="548"/>
      <c r="MPF78" s="548"/>
      <c r="MPG78" s="548"/>
      <c r="MPH78" s="548"/>
      <c r="MPI78" s="452"/>
      <c r="MPJ78" s="596"/>
      <c r="MPK78" s="548"/>
      <c r="MPL78" s="548"/>
      <c r="MPM78" s="548"/>
      <c r="MPN78" s="548"/>
      <c r="MPO78" s="548"/>
      <c r="MPP78" s="452"/>
      <c r="MPQ78" s="596"/>
      <c r="MPR78" s="548"/>
      <c r="MPS78" s="548"/>
      <c r="MPT78" s="548"/>
      <c r="MPU78" s="548"/>
      <c r="MPV78" s="548"/>
      <c r="MPW78" s="452"/>
      <c r="MPX78" s="596"/>
      <c r="MPY78" s="548"/>
      <c r="MPZ78" s="548"/>
      <c r="MQA78" s="548"/>
      <c r="MQB78" s="548"/>
      <c r="MQC78" s="548"/>
      <c r="MQD78" s="452"/>
      <c r="MQE78" s="596"/>
      <c r="MQF78" s="548"/>
      <c r="MQG78" s="548"/>
      <c r="MQH78" s="548"/>
      <c r="MQI78" s="548"/>
      <c r="MQJ78" s="548"/>
      <c r="MQK78" s="452"/>
      <c r="MQL78" s="596"/>
      <c r="MQM78" s="548"/>
      <c r="MQN78" s="548"/>
      <c r="MQO78" s="548"/>
      <c r="MQP78" s="548"/>
      <c r="MQQ78" s="548"/>
      <c r="MQR78" s="452"/>
      <c r="MQS78" s="596"/>
      <c r="MQT78" s="548"/>
      <c r="MQU78" s="548"/>
      <c r="MQV78" s="548"/>
      <c r="MQW78" s="548"/>
      <c r="MQX78" s="548"/>
      <c r="MQY78" s="452"/>
      <c r="MQZ78" s="596"/>
      <c r="MRA78" s="548"/>
      <c r="MRB78" s="548"/>
      <c r="MRC78" s="548"/>
      <c r="MRD78" s="548"/>
      <c r="MRE78" s="548"/>
      <c r="MRF78" s="452"/>
      <c r="MRG78" s="596"/>
      <c r="MRH78" s="548"/>
      <c r="MRI78" s="548"/>
      <c r="MRJ78" s="548"/>
      <c r="MRK78" s="548"/>
      <c r="MRL78" s="548"/>
      <c r="MRM78" s="452"/>
      <c r="MRN78" s="596"/>
      <c r="MRO78" s="548"/>
      <c r="MRP78" s="548"/>
      <c r="MRQ78" s="548"/>
      <c r="MRR78" s="548"/>
      <c r="MRS78" s="548"/>
      <c r="MRT78" s="452"/>
      <c r="MRU78" s="596"/>
      <c r="MRV78" s="548"/>
      <c r="MRW78" s="548"/>
      <c r="MRX78" s="548"/>
      <c r="MRY78" s="548"/>
      <c r="MRZ78" s="548"/>
      <c r="MSA78" s="452"/>
      <c r="MSB78" s="596"/>
      <c r="MSC78" s="548"/>
      <c r="MSD78" s="548"/>
      <c r="MSE78" s="548"/>
      <c r="MSF78" s="548"/>
      <c r="MSG78" s="548"/>
      <c r="MSH78" s="452"/>
      <c r="MSI78" s="596"/>
      <c r="MSJ78" s="548"/>
      <c r="MSK78" s="548"/>
      <c r="MSL78" s="548"/>
      <c r="MSM78" s="548"/>
      <c r="MSN78" s="548"/>
      <c r="MSO78" s="452"/>
      <c r="MSP78" s="596"/>
      <c r="MSQ78" s="548"/>
      <c r="MSR78" s="548"/>
      <c r="MSS78" s="548"/>
      <c r="MST78" s="548"/>
      <c r="MSU78" s="548"/>
      <c r="MSV78" s="452"/>
      <c r="MSW78" s="596"/>
      <c r="MSX78" s="548"/>
      <c r="MSY78" s="548"/>
      <c r="MSZ78" s="548"/>
      <c r="MTA78" s="548"/>
      <c r="MTB78" s="548"/>
      <c r="MTC78" s="452"/>
      <c r="MTD78" s="596"/>
      <c r="MTE78" s="548"/>
      <c r="MTF78" s="548"/>
      <c r="MTG78" s="548"/>
      <c r="MTH78" s="548"/>
      <c r="MTI78" s="548"/>
      <c r="MTJ78" s="452"/>
      <c r="MTK78" s="596"/>
      <c r="MTL78" s="548"/>
      <c r="MTM78" s="548"/>
      <c r="MTN78" s="548"/>
      <c r="MTO78" s="548"/>
      <c r="MTP78" s="548"/>
      <c r="MTQ78" s="452"/>
      <c r="MTR78" s="596"/>
      <c r="MTS78" s="548"/>
      <c r="MTT78" s="548"/>
      <c r="MTU78" s="548"/>
      <c r="MTV78" s="548"/>
      <c r="MTW78" s="548"/>
      <c r="MTX78" s="452"/>
      <c r="MTY78" s="596"/>
      <c r="MTZ78" s="548"/>
      <c r="MUA78" s="548"/>
      <c r="MUB78" s="548"/>
      <c r="MUC78" s="548"/>
      <c r="MUD78" s="548"/>
      <c r="MUE78" s="452"/>
      <c r="MUF78" s="596"/>
      <c r="MUG78" s="548"/>
      <c r="MUH78" s="548"/>
      <c r="MUI78" s="548"/>
      <c r="MUJ78" s="548"/>
      <c r="MUK78" s="548"/>
      <c r="MUL78" s="452"/>
      <c r="MUM78" s="596"/>
      <c r="MUN78" s="548"/>
      <c r="MUO78" s="548"/>
      <c r="MUP78" s="548"/>
      <c r="MUQ78" s="548"/>
      <c r="MUR78" s="548"/>
      <c r="MUS78" s="452"/>
      <c r="MUT78" s="596"/>
      <c r="MUU78" s="548"/>
      <c r="MUV78" s="548"/>
      <c r="MUW78" s="548"/>
      <c r="MUX78" s="548"/>
      <c r="MUY78" s="548"/>
      <c r="MUZ78" s="452"/>
      <c r="MVA78" s="596"/>
      <c r="MVB78" s="548"/>
      <c r="MVC78" s="548"/>
      <c r="MVD78" s="548"/>
      <c r="MVE78" s="548"/>
      <c r="MVF78" s="548"/>
      <c r="MVG78" s="452"/>
      <c r="MVH78" s="596"/>
      <c r="MVI78" s="548"/>
      <c r="MVJ78" s="548"/>
      <c r="MVK78" s="548"/>
      <c r="MVL78" s="548"/>
      <c r="MVM78" s="548"/>
      <c r="MVN78" s="452"/>
      <c r="MVO78" s="596"/>
      <c r="MVP78" s="548"/>
      <c r="MVQ78" s="548"/>
      <c r="MVR78" s="548"/>
      <c r="MVS78" s="548"/>
      <c r="MVT78" s="548"/>
      <c r="MVU78" s="452"/>
      <c r="MVV78" s="596"/>
      <c r="MVW78" s="548"/>
      <c r="MVX78" s="548"/>
      <c r="MVY78" s="548"/>
      <c r="MVZ78" s="548"/>
      <c r="MWA78" s="548"/>
      <c r="MWB78" s="452"/>
      <c r="MWC78" s="596"/>
      <c r="MWD78" s="548"/>
      <c r="MWE78" s="548"/>
      <c r="MWF78" s="548"/>
      <c r="MWG78" s="548"/>
      <c r="MWH78" s="548"/>
      <c r="MWI78" s="452"/>
      <c r="MWJ78" s="596"/>
      <c r="MWK78" s="548"/>
      <c r="MWL78" s="548"/>
      <c r="MWM78" s="548"/>
      <c r="MWN78" s="548"/>
      <c r="MWO78" s="548"/>
      <c r="MWP78" s="452"/>
      <c r="MWQ78" s="596"/>
      <c r="MWR78" s="548"/>
      <c r="MWS78" s="548"/>
      <c r="MWT78" s="548"/>
      <c r="MWU78" s="548"/>
      <c r="MWV78" s="548"/>
      <c r="MWW78" s="452"/>
      <c r="MWX78" s="596"/>
      <c r="MWY78" s="548"/>
      <c r="MWZ78" s="548"/>
      <c r="MXA78" s="548"/>
      <c r="MXB78" s="548"/>
      <c r="MXC78" s="548"/>
      <c r="MXD78" s="452"/>
      <c r="MXE78" s="596"/>
      <c r="MXF78" s="548"/>
      <c r="MXG78" s="548"/>
      <c r="MXH78" s="548"/>
      <c r="MXI78" s="548"/>
      <c r="MXJ78" s="548"/>
      <c r="MXK78" s="452"/>
      <c r="MXL78" s="596"/>
      <c r="MXM78" s="548"/>
      <c r="MXN78" s="548"/>
      <c r="MXO78" s="548"/>
      <c r="MXP78" s="548"/>
      <c r="MXQ78" s="548"/>
      <c r="MXR78" s="452"/>
      <c r="MXS78" s="596"/>
      <c r="MXT78" s="548"/>
      <c r="MXU78" s="548"/>
      <c r="MXV78" s="548"/>
      <c r="MXW78" s="548"/>
      <c r="MXX78" s="548"/>
      <c r="MXY78" s="452"/>
      <c r="MXZ78" s="596"/>
      <c r="MYA78" s="548"/>
      <c r="MYB78" s="548"/>
      <c r="MYC78" s="548"/>
      <c r="MYD78" s="548"/>
      <c r="MYE78" s="548"/>
      <c r="MYF78" s="452"/>
      <c r="MYG78" s="596"/>
      <c r="MYH78" s="548"/>
      <c r="MYI78" s="548"/>
      <c r="MYJ78" s="548"/>
      <c r="MYK78" s="548"/>
      <c r="MYL78" s="548"/>
      <c r="MYM78" s="452"/>
      <c r="MYN78" s="596"/>
      <c r="MYO78" s="548"/>
      <c r="MYP78" s="548"/>
      <c r="MYQ78" s="548"/>
      <c r="MYR78" s="548"/>
      <c r="MYS78" s="548"/>
      <c r="MYT78" s="452"/>
      <c r="MYU78" s="596"/>
      <c r="MYV78" s="548"/>
      <c r="MYW78" s="548"/>
      <c r="MYX78" s="548"/>
      <c r="MYY78" s="548"/>
      <c r="MYZ78" s="548"/>
      <c r="MZA78" s="452"/>
      <c r="MZB78" s="596"/>
      <c r="MZC78" s="548"/>
      <c r="MZD78" s="548"/>
      <c r="MZE78" s="548"/>
      <c r="MZF78" s="548"/>
      <c r="MZG78" s="548"/>
      <c r="MZH78" s="452"/>
      <c r="MZI78" s="596"/>
      <c r="MZJ78" s="548"/>
      <c r="MZK78" s="548"/>
      <c r="MZL78" s="548"/>
      <c r="MZM78" s="548"/>
      <c r="MZN78" s="548"/>
      <c r="MZO78" s="452"/>
      <c r="MZP78" s="596"/>
      <c r="MZQ78" s="548"/>
      <c r="MZR78" s="548"/>
      <c r="MZS78" s="548"/>
      <c r="MZT78" s="548"/>
      <c r="MZU78" s="548"/>
      <c r="MZV78" s="452"/>
      <c r="MZW78" s="596"/>
      <c r="MZX78" s="548"/>
      <c r="MZY78" s="548"/>
      <c r="MZZ78" s="548"/>
      <c r="NAA78" s="548"/>
      <c r="NAB78" s="548"/>
      <c r="NAC78" s="452"/>
      <c r="NAD78" s="596"/>
      <c r="NAE78" s="548"/>
      <c r="NAF78" s="548"/>
      <c r="NAG78" s="548"/>
      <c r="NAH78" s="548"/>
      <c r="NAI78" s="548"/>
      <c r="NAJ78" s="452"/>
      <c r="NAK78" s="596"/>
      <c r="NAL78" s="548"/>
      <c r="NAM78" s="548"/>
      <c r="NAN78" s="548"/>
      <c r="NAO78" s="548"/>
      <c r="NAP78" s="548"/>
      <c r="NAQ78" s="452"/>
      <c r="NAR78" s="596"/>
      <c r="NAS78" s="548"/>
      <c r="NAT78" s="548"/>
      <c r="NAU78" s="548"/>
      <c r="NAV78" s="548"/>
      <c r="NAW78" s="548"/>
      <c r="NAX78" s="452"/>
      <c r="NAY78" s="596"/>
      <c r="NAZ78" s="548"/>
      <c r="NBA78" s="548"/>
      <c r="NBB78" s="548"/>
      <c r="NBC78" s="548"/>
      <c r="NBD78" s="548"/>
      <c r="NBE78" s="452"/>
      <c r="NBF78" s="596"/>
      <c r="NBG78" s="548"/>
      <c r="NBH78" s="548"/>
      <c r="NBI78" s="548"/>
      <c r="NBJ78" s="548"/>
      <c r="NBK78" s="548"/>
      <c r="NBL78" s="452"/>
      <c r="NBM78" s="596"/>
      <c r="NBN78" s="548"/>
      <c r="NBO78" s="548"/>
      <c r="NBP78" s="548"/>
      <c r="NBQ78" s="548"/>
      <c r="NBR78" s="548"/>
      <c r="NBS78" s="452"/>
      <c r="NBT78" s="596"/>
      <c r="NBU78" s="548"/>
      <c r="NBV78" s="548"/>
      <c r="NBW78" s="548"/>
      <c r="NBX78" s="548"/>
      <c r="NBY78" s="548"/>
      <c r="NBZ78" s="452"/>
      <c r="NCA78" s="596"/>
      <c r="NCB78" s="548"/>
      <c r="NCC78" s="548"/>
      <c r="NCD78" s="548"/>
      <c r="NCE78" s="548"/>
      <c r="NCF78" s="548"/>
      <c r="NCG78" s="452"/>
      <c r="NCH78" s="596"/>
      <c r="NCI78" s="548"/>
      <c r="NCJ78" s="548"/>
      <c r="NCK78" s="548"/>
      <c r="NCL78" s="548"/>
      <c r="NCM78" s="548"/>
      <c r="NCN78" s="452"/>
      <c r="NCO78" s="596"/>
      <c r="NCP78" s="548"/>
      <c r="NCQ78" s="548"/>
      <c r="NCR78" s="548"/>
      <c r="NCS78" s="548"/>
      <c r="NCT78" s="548"/>
      <c r="NCU78" s="452"/>
      <c r="NCV78" s="596"/>
      <c r="NCW78" s="548"/>
      <c r="NCX78" s="548"/>
      <c r="NCY78" s="548"/>
      <c r="NCZ78" s="548"/>
      <c r="NDA78" s="548"/>
      <c r="NDB78" s="452"/>
      <c r="NDC78" s="596"/>
      <c r="NDD78" s="548"/>
      <c r="NDE78" s="548"/>
      <c r="NDF78" s="548"/>
      <c r="NDG78" s="548"/>
      <c r="NDH78" s="548"/>
      <c r="NDI78" s="452"/>
      <c r="NDJ78" s="596"/>
      <c r="NDK78" s="548"/>
      <c r="NDL78" s="548"/>
      <c r="NDM78" s="548"/>
      <c r="NDN78" s="548"/>
      <c r="NDO78" s="548"/>
      <c r="NDP78" s="452"/>
      <c r="NDQ78" s="596"/>
      <c r="NDR78" s="548"/>
      <c r="NDS78" s="548"/>
      <c r="NDT78" s="548"/>
      <c r="NDU78" s="548"/>
      <c r="NDV78" s="548"/>
      <c r="NDW78" s="452"/>
      <c r="NDX78" s="596"/>
      <c r="NDY78" s="548"/>
      <c r="NDZ78" s="548"/>
      <c r="NEA78" s="548"/>
      <c r="NEB78" s="548"/>
      <c r="NEC78" s="548"/>
      <c r="NED78" s="452"/>
      <c r="NEE78" s="596"/>
      <c r="NEF78" s="548"/>
      <c r="NEG78" s="548"/>
      <c r="NEH78" s="548"/>
      <c r="NEI78" s="548"/>
      <c r="NEJ78" s="548"/>
      <c r="NEK78" s="452"/>
      <c r="NEL78" s="596"/>
      <c r="NEM78" s="548"/>
      <c r="NEN78" s="548"/>
      <c r="NEO78" s="548"/>
      <c r="NEP78" s="548"/>
      <c r="NEQ78" s="548"/>
      <c r="NER78" s="452"/>
      <c r="NES78" s="596"/>
      <c r="NET78" s="548"/>
      <c r="NEU78" s="548"/>
      <c r="NEV78" s="548"/>
      <c r="NEW78" s="548"/>
      <c r="NEX78" s="548"/>
      <c r="NEY78" s="452"/>
      <c r="NEZ78" s="596"/>
      <c r="NFA78" s="548"/>
      <c r="NFB78" s="548"/>
      <c r="NFC78" s="548"/>
      <c r="NFD78" s="548"/>
      <c r="NFE78" s="548"/>
      <c r="NFF78" s="452"/>
      <c r="NFG78" s="596"/>
      <c r="NFH78" s="548"/>
      <c r="NFI78" s="548"/>
      <c r="NFJ78" s="548"/>
      <c r="NFK78" s="548"/>
      <c r="NFL78" s="548"/>
      <c r="NFM78" s="452"/>
      <c r="NFN78" s="596"/>
      <c r="NFO78" s="548"/>
      <c r="NFP78" s="548"/>
      <c r="NFQ78" s="548"/>
      <c r="NFR78" s="548"/>
      <c r="NFS78" s="548"/>
      <c r="NFT78" s="452"/>
      <c r="NFU78" s="596"/>
      <c r="NFV78" s="548"/>
      <c r="NFW78" s="548"/>
      <c r="NFX78" s="548"/>
      <c r="NFY78" s="548"/>
      <c r="NFZ78" s="548"/>
      <c r="NGA78" s="452"/>
      <c r="NGB78" s="596"/>
      <c r="NGC78" s="548"/>
      <c r="NGD78" s="548"/>
      <c r="NGE78" s="548"/>
      <c r="NGF78" s="548"/>
      <c r="NGG78" s="548"/>
      <c r="NGH78" s="452"/>
      <c r="NGI78" s="596"/>
      <c r="NGJ78" s="548"/>
      <c r="NGK78" s="548"/>
      <c r="NGL78" s="548"/>
      <c r="NGM78" s="548"/>
      <c r="NGN78" s="548"/>
      <c r="NGO78" s="452"/>
      <c r="NGP78" s="596"/>
      <c r="NGQ78" s="548"/>
      <c r="NGR78" s="548"/>
      <c r="NGS78" s="548"/>
      <c r="NGT78" s="548"/>
      <c r="NGU78" s="548"/>
      <c r="NGV78" s="452"/>
      <c r="NGW78" s="596"/>
      <c r="NGX78" s="548"/>
      <c r="NGY78" s="548"/>
      <c r="NGZ78" s="548"/>
      <c r="NHA78" s="548"/>
      <c r="NHB78" s="548"/>
      <c r="NHC78" s="452"/>
      <c r="NHD78" s="596"/>
      <c r="NHE78" s="548"/>
      <c r="NHF78" s="548"/>
      <c r="NHG78" s="548"/>
      <c r="NHH78" s="548"/>
      <c r="NHI78" s="548"/>
      <c r="NHJ78" s="452"/>
      <c r="NHK78" s="596"/>
      <c r="NHL78" s="548"/>
      <c r="NHM78" s="548"/>
      <c r="NHN78" s="548"/>
      <c r="NHO78" s="548"/>
      <c r="NHP78" s="548"/>
      <c r="NHQ78" s="452"/>
      <c r="NHR78" s="596"/>
      <c r="NHS78" s="548"/>
      <c r="NHT78" s="548"/>
      <c r="NHU78" s="548"/>
      <c r="NHV78" s="548"/>
      <c r="NHW78" s="548"/>
      <c r="NHX78" s="452"/>
      <c r="NHY78" s="596"/>
      <c r="NHZ78" s="548"/>
      <c r="NIA78" s="548"/>
      <c r="NIB78" s="548"/>
      <c r="NIC78" s="548"/>
      <c r="NID78" s="548"/>
      <c r="NIE78" s="452"/>
      <c r="NIF78" s="596"/>
      <c r="NIG78" s="548"/>
      <c r="NIH78" s="548"/>
      <c r="NII78" s="548"/>
      <c r="NIJ78" s="548"/>
      <c r="NIK78" s="548"/>
      <c r="NIL78" s="452"/>
      <c r="NIM78" s="596"/>
      <c r="NIN78" s="548"/>
      <c r="NIO78" s="548"/>
      <c r="NIP78" s="548"/>
      <c r="NIQ78" s="548"/>
      <c r="NIR78" s="548"/>
      <c r="NIS78" s="452"/>
      <c r="NIT78" s="596"/>
      <c r="NIU78" s="548"/>
      <c r="NIV78" s="548"/>
      <c r="NIW78" s="548"/>
      <c r="NIX78" s="548"/>
      <c r="NIY78" s="548"/>
      <c r="NIZ78" s="452"/>
      <c r="NJA78" s="596"/>
      <c r="NJB78" s="548"/>
      <c r="NJC78" s="548"/>
      <c r="NJD78" s="548"/>
      <c r="NJE78" s="548"/>
      <c r="NJF78" s="548"/>
      <c r="NJG78" s="452"/>
      <c r="NJH78" s="596"/>
      <c r="NJI78" s="548"/>
      <c r="NJJ78" s="548"/>
      <c r="NJK78" s="548"/>
      <c r="NJL78" s="548"/>
      <c r="NJM78" s="548"/>
      <c r="NJN78" s="452"/>
      <c r="NJO78" s="596"/>
      <c r="NJP78" s="548"/>
      <c r="NJQ78" s="548"/>
      <c r="NJR78" s="548"/>
      <c r="NJS78" s="548"/>
      <c r="NJT78" s="548"/>
      <c r="NJU78" s="452"/>
      <c r="NJV78" s="596"/>
      <c r="NJW78" s="548"/>
      <c r="NJX78" s="548"/>
      <c r="NJY78" s="548"/>
      <c r="NJZ78" s="548"/>
      <c r="NKA78" s="548"/>
      <c r="NKB78" s="452"/>
      <c r="NKC78" s="596"/>
      <c r="NKD78" s="548"/>
      <c r="NKE78" s="548"/>
      <c r="NKF78" s="548"/>
      <c r="NKG78" s="548"/>
      <c r="NKH78" s="548"/>
      <c r="NKI78" s="452"/>
      <c r="NKJ78" s="596"/>
      <c r="NKK78" s="548"/>
      <c r="NKL78" s="548"/>
      <c r="NKM78" s="548"/>
      <c r="NKN78" s="548"/>
      <c r="NKO78" s="548"/>
      <c r="NKP78" s="452"/>
      <c r="NKQ78" s="596"/>
      <c r="NKR78" s="548"/>
      <c r="NKS78" s="548"/>
      <c r="NKT78" s="548"/>
      <c r="NKU78" s="548"/>
      <c r="NKV78" s="548"/>
      <c r="NKW78" s="452"/>
      <c r="NKX78" s="596"/>
      <c r="NKY78" s="548"/>
      <c r="NKZ78" s="548"/>
      <c r="NLA78" s="548"/>
      <c r="NLB78" s="548"/>
      <c r="NLC78" s="548"/>
      <c r="NLD78" s="452"/>
      <c r="NLE78" s="596"/>
      <c r="NLF78" s="548"/>
      <c r="NLG78" s="548"/>
      <c r="NLH78" s="548"/>
      <c r="NLI78" s="548"/>
      <c r="NLJ78" s="548"/>
      <c r="NLK78" s="452"/>
      <c r="NLL78" s="596"/>
      <c r="NLM78" s="548"/>
      <c r="NLN78" s="548"/>
      <c r="NLO78" s="548"/>
      <c r="NLP78" s="548"/>
      <c r="NLQ78" s="548"/>
      <c r="NLR78" s="452"/>
      <c r="NLS78" s="596"/>
      <c r="NLT78" s="548"/>
      <c r="NLU78" s="548"/>
      <c r="NLV78" s="548"/>
      <c r="NLW78" s="548"/>
      <c r="NLX78" s="548"/>
      <c r="NLY78" s="452"/>
      <c r="NLZ78" s="596"/>
      <c r="NMA78" s="548"/>
      <c r="NMB78" s="548"/>
      <c r="NMC78" s="548"/>
      <c r="NMD78" s="548"/>
      <c r="NME78" s="548"/>
      <c r="NMF78" s="452"/>
      <c r="NMG78" s="596"/>
      <c r="NMH78" s="548"/>
      <c r="NMI78" s="548"/>
      <c r="NMJ78" s="548"/>
      <c r="NMK78" s="548"/>
      <c r="NML78" s="548"/>
      <c r="NMM78" s="452"/>
      <c r="NMN78" s="596"/>
      <c r="NMO78" s="548"/>
      <c r="NMP78" s="548"/>
      <c r="NMQ78" s="548"/>
      <c r="NMR78" s="548"/>
      <c r="NMS78" s="548"/>
      <c r="NMT78" s="452"/>
      <c r="NMU78" s="596"/>
      <c r="NMV78" s="548"/>
      <c r="NMW78" s="548"/>
      <c r="NMX78" s="548"/>
      <c r="NMY78" s="548"/>
      <c r="NMZ78" s="548"/>
      <c r="NNA78" s="452"/>
      <c r="NNB78" s="596"/>
      <c r="NNC78" s="548"/>
      <c r="NND78" s="548"/>
      <c r="NNE78" s="548"/>
      <c r="NNF78" s="548"/>
      <c r="NNG78" s="548"/>
      <c r="NNH78" s="452"/>
      <c r="NNI78" s="596"/>
      <c r="NNJ78" s="548"/>
      <c r="NNK78" s="548"/>
      <c r="NNL78" s="548"/>
      <c r="NNM78" s="548"/>
      <c r="NNN78" s="548"/>
      <c r="NNO78" s="452"/>
      <c r="NNP78" s="596"/>
      <c r="NNQ78" s="548"/>
      <c r="NNR78" s="548"/>
      <c r="NNS78" s="548"/>
      <c r="NNT78" s="548"/>
      <c r="NNU78" s="548"/>
      <c r="NNV78" s="452"/>
      <c r="NNW78" s="596"/>
      <c r="NNX78" s="548"/>
      <c r="NNY78" s="548"/>
      <c r="NNZ78" s="548"/>
      <c r="NOA78" s="548"/>
      <c r="NOB78" s="548"/>
      <c r="NOC78" s="452"/>
      <c r="NOD78" s="596"/>
      <c r="NOE78" s="548"/>
      <c r="NOF78" s="548"/>
      <c r="NOG78" s="548"/>
      <c r="NOH78" s="548"/>
      <c r="NOI78" s="548"/>
      <c r="NOJ78" s="452"/>
      <c r="NOK78" s="596"/>
      <c r="NOL78" s="548"/>
      <c r="NOM78" s="548"/>
      <c r="NON78" s="548"/>
      <c r="NOO78" s="548"/>
      <c r="NOP78" s="548"/>
      <c r="NOQ78" s="452"/>
      <c r="NOR78" s="596"/>
      <c r="NOS78" s="548"/>
      <c r="NOT78" s="548"/>
      <c r="NOU78" s="548"/>
      <c r="NOV78" s="548"/>
      <c r="NOW78" s="548"/>
      <c r="NOX78" s="452"/>
      <c r="NOY78" s="596"/>
      <c r="NOZ78" s="548"/>
      <c r="NPA78" s="548"/>
      <c r="NPB78" s="548"/>
      <c r="NPC78" s="548"/>
      <c r="NPD78" s="548"/>
      <c r="NPE78" s="452"/>
      <c r="NPF78" s="596"/>
      <c r="NPG78" s="548"/>
      <c r="NPH78" s="548"/>
      <c r="NPI78" s="548"/>
      <c r="NPJ78" s="548"/>
      <c r="NPK78" s="548"/>
      <c r="NPL78" s="452"/>
      <c r="NPM78" s="596"/>
      <c r="NPN78" s="548"/>
      <c r="NPO78" s="548"/>
      <c r="NPP78" s="548"/>
      <c r="NPQ78" s="548"/>
      <c r="NPR78" s="548"/>
      <c r="NPS78" s="452"/>
      <c r="NPT78" s="596"/>
      <c r="NPU78" s="548"/>
      <c r="NPV78" s="548"/>
      <c r="NPW78" s="548"/>
      <c r="NPX78" s="548"/>
      <c r="NPY78" s="548"/>
      <c r="NPZ78" s="452"/>
      <c r="NQA78" s="596"/>
      <c r="NQB78" s="548"/>
      <c r="NQC78" s="548"/>
      <c r="NQD78" s="548"/>
      <c r="NQE78" s="548"/>
      <c r="NQF78" s="548"/>
      <c r="NQG78" s="452"/>
      <c r="NQH78" s="596"/>
      <c r="NQI78" s="548"/>
      <c r="NQJ78" s="548"/>
      <c r="NQK78" s="548"/>
      <c r="NQL78" s="548"/>
      <c r="NQM78" s="548"/>
      <c r="NQN78" s="452"/>
      <c r="NQO78" s="596"/>
      <c r="NQP78" s="548"/>
      <c r="NQQ78" s="548"/>
      <c r="NQR78" s="548"/>
      <c r="NQS78" s="548"/>
      <c r="NQT78" s="548"/>
      <c r="NQU78" s="452"/>
      <c r="NQV78" s="596"/>
      <c r="NQW78" s="548"/>
      <c r="NQX78" s="548"/>
      <c r="NQY78" s="548"/>
      <c r="NQZ78" s="548"/>
      <c r="NRA78" s="548"/>
      <c r="NRB78" s="452"/>
      <c r="NRC78" s="596"/>
      <c r="NRD78" s="548"/>
      <c r="NRE78" s="548"/>
      <c r="NRF78" s="548"/>
      <c r="NRG78" s="548"/>
      <c r="NRH78" s="548"/>
      <c r="NRI78" s="452"/>
      <c r="NRJ78" s="596"/>
      <c r="NRK78" s="548"/>
      <c r="NRL78" s="548"/>
      <c r="NRM78" s="548"/>
      <c r="NRN78" s="548"/>
      <c r="NRO78" s="548"/>
      <c r="NRP78" s="452"/>
      <c r="NRQ78" s="596"/>
      <c r="NRR78" s="548"/>
      <c r="NRS78" s="548"/>
      <c r="NRT78" s="548"/>
      <c r="NRU78" s="548"/>
      <c r="NRV78" s="548"/>
      <c r="NRW78" s="452"/>
      <c r="NRX78" s="596"/>
      <c r="NRY78" s="548"/>
      <c r="NRZ78" s="548"/>
      <c r="NSA78" s="548"/>
      <c r="NSB78" s="548"/>
      <c r="NSC78" s="548"/>
      <c r="NSD78" s="452"/>
      <c r="NSE78" s="596"/>
      <c r="NSF78" s="548"/>
      <c r="NSG78" s="548"/>
      <c r="NSH78" s="548"/>
      <c r="NSI78" s="548"/>
      <c r="NSJ78" s="548"/>
      <c r="NSK78" s="452"/>
      <c r="NSL78" s="596"/>
      <c r="NSM78" s="548"/>
      <c r="NSN78" s="548"/>
      <c r="NSO78" s="548"/>
      <c r="NSP78" s="548"/>
      <c r="NSQ78" s="548"/>
      <c r="NSR78" s="452"/>
      <c r="NSS78" s="596"/>
      <c r="NST78" s="548"/>
      <c r="NSU78" s="548"/>
      <c r="NSV78" s="548"/>
      <c r="NSW78" s="548"/>
      <c r="NSX78" s="548"/>
      <c r="NSY78" s="452"/>
      <c r="NSZ78" s="596"/>
      <c r="NTA78" s="548"/>
      <c r="NTB78" s="548"/>
      <c r="NTC78" s="548"/>
      <c r="NTD78" s="548"/>
      <c r="NTE78" s="548"/>
      <c r="NTF78" s="452"/>
      <c r="NTG78" s="596"/>
      <c r="NTH78" s="548"/>
      <c r="NTI78" s="548"/>
      <c r="NTJ78" s="548"/>
      <c r="NTK78" s="548"/>
      <c r="NTL78" s="548"/>
      <c r="NTM78" s="452"/>
      <c r="NTN78" s="596"/>
      <c r="NTO78" s="548"/>
      <c r="NTP78" s="548"/>
      <c r="NTQ78" s="548"/>
      <c r="NTR78" s="548"/>
      <c r="NTS78" s="548"/>
      <c r="NTT78" s="452"/>
      <c r="NTU78" s="596"/>
      <c r="NTV78" s="548"/>
      <c r="NTW78" s="548"/>
      <c r="NTX78" s="548"/>
      <c r="NTY78" s="548"/>
      <c r="NTZ78" s="548"/>
      <c r="NUA78" s="452"/>
      <c r="NUB78" s="596"/>
      <c r="NUC78" s="548"/>
      <c r="NUD78" s="548"/>
      <c r="NUE78" s="548"/>
      <c r="NUF78" s="548"/>
      <c r="NUG78" s="548"/>
      <c r="NUH78" s="452"/>
      <c r="NUI78" s="596"/>
      <c r="NUJ78" s="548"/>
      <c r="NUK78" s="548"/>
      <c r="NUL78" s="548"/>
      <c r="NUM78" s="548"/>
      <c r="NUN78" s="548"/>
      <c r="NUO78" s="452"/>
      <c r="NUP78" s="596"/>
      <c r="NUQ78" s="548"/>
      <c r="NUR78" s="548"/>
      <c r="NUS78" s="548"/>
      <c r="NUT78" s="548"/>
      <c r="NUU78" s="548"/>
      <c r="NUV78" s="452"/>
      <c r="NUW78" s="596"/>
      <c r="NUX78" s="548"/>
      <c r="NUY78" s="548"/>
      <c r="NUZ78" s="548"/>
      <c r="NVA78" s="548"/>
      <c r="NVB78" s="548"/>
      <c r="NVC78" s="452"/>
      <c r="NVD78" s="596"/>
      <c r="NVE78" s="548"/>
      <c r="NVF78" s="548"/>
      <c r="NVG78" s="548"/>
      <c r="NVH78" s="548"/>
      <c r="NVI78" s="548"/>
      <c r="NVJ78" s="452"/>
      <c r="NVK78" s="596"/>
      <c r="NVL78" s="548"/>
      <c r="NVM78" s="548"/>
      <c r="NVN78" s="548"/>
      <c r="NVO78" s="548"/>
      <c r="NVP78" s="548"/>
      <c r="NVQ78" s="452"/>
      <c r="NVR78" s="596"/>
      <c r="NVS78" s="548"/>
      <c r="NVT78" s="548"/>
      <c r="NVU78" s="548"/>
      <c r="NVV78" s="548"/>
      <c r="NVW78" s="548"/>
      <c r="NVX78" s="452"/>
      <c r="NVY78" s="596"/>
      <c r="NVZ78" s="548"/>
      <c r="NWA78" s="548"/>
      <c r="NWB78" s="548"/>
      <c r="NWC78" s="548"/>
      <c r="NWD78" s="548"/>
      <c r="NWE78" s="452"/>
      <c r="NWF78" s="596"/>
      <c r="NWG78" s="548"/>
      <c r="NWH78" s="548"/>
      <c r="NWI78" s="548"/>
      <c r="NWJ78" s="548"/>
      <c r="NWK78" s="548"/>
      <c r="NWL78" s="452"/>
      <c r="NWM78" s="596"/>
      <c r="NWN78" s="548"/>
      <c r="NWO78" s="548"/>
      <c r="NWP78" s="548"/>
      <c r="NWQ78" s="548"/>
      <c r="NWR78" s="548"/>
      <c r="NWS78" s="452"/>
      <c r="NWT78" s="596"/>
      <c r="NWU78" s="548"/>
      <c r="NWV78" s="548"/>
      <c r="NWW78" s="548"/>
      <c r="NWX78" s="548"/>
      <c r="NWY78" s="548"/>
      <c r="NWZ78" s="452"/>
      <c r="NXA78" s="596"/>
      <c r="NXB78" s="548"/>
      <c r="NXC78" s="548"/>
      <c r="NXD78" s="548"/>
      <c r="NXE78" s="548"/>
      <c r="NXF78" s="548"/>
      <c r="NXG78" s="452"/>
      <c r="NXH78" s="596"/>
      <c r="NXI78" s="548"/>
      <c r="NXJ78" s="548"/>
      <c r="NXK78" s="548"/>
      <c r="NXL78" s="548"/>
      <c r="NXM78" s="548"/>
      <c r="NXN78" s="452"/>
      <c r="NXO78" s="596"/>
      <c r="NXP78" s="548"/>
      <c r="NXQ78" s="548"/>
      <c r="NXR78" s="548"/>
      <c r="NXS78" s="548"/>
      <c r="NXT78" s="548"/>
      <c r="NXU78" s="452"/>
      <c r="NXV78" s="596"/>
      <c r="NXW78" s="548"/>
      <c r="NXX78" s="548"/>
      <c r="NXY78" s="548"/>
      <c r="NXZ78" s="548"/>
      <c r="NYA78" s="548"/>
      <c r="NYB78" s="452"/>
      <c r="NYC78" s="596"/>
      <c r="NYD78" s="548"/>
      <c r="NYE78" s="548"/>
      <c r="NYF78" s="548"/>
      <c r="NYG78" s="548"/>
      <c r="NYH78" s="548"/>
      <c r="NYI78" s="452"/>
      <c r="NYJ78" s="596"/>
      <c r="NYK78" s="548"/>
      <c r="NYL78" s="548"/>
      <c r="NYM78" s="548"/>
      <c r="NYN78" s="548"/>
      <c r="NYO78" s="548"/>
      <c r="NYP78" s="452"/>
      <c r="NYQ78" s="596"/>
      <c r="NYR78" s="548"/>
      <c r="NYS78" s="548"/>
      <c r="NYT78" s="548"/>
      <c r="NYU78" s="548"/>
      <c r="NYV78" s="548"/>
      <c r="NYW78" s="452"/>
      <c r="NYX78" s="596"/>
      <c r="NYY78" s="548"/>
      <c r="NYZ78" s="548"/>
      <c r="NZA78" s="548"/>
      <c r="NZB78" s="548"/>
      <c r="NZC78" s="548"/>
      <c r="NZD78" s="452"/>
      <c r="NZE78" s="596"/>
      <c r="NZF78" s="548"/>
      <c r="NZG78" s="548"/>
      <c r="NZH78" s="548"/>
      <c r="NZI78" s="548"/>
      <c r="NZJ78" s="548"/>
      <c r="NZK78" s="452"/>
      <c r="NZL78" s="596"/>
      <c r="NZM78" s="548"/>
      <c r="NZN78" s="548"/>
      <c r="NZO78" s="548"/>
      <c r="NZP78" s="548"/>
      <c r="NZQ78" s="548"/>
      <c r="NZR78" s="452"/>
      <c r="NZS78" s="596"/>
      <c r="NZT78" s="548"/>
      <c r="NZU78" s="548"/>
      <c r="NZV78" s="548"/>
      <c r="NZW78" s="548"/>
      <c r="NZX78" s="548"/>
      <c r="NZY78" s="452"/>
      <c r="NZZ78" s="596"/>
      <c r="OAA78" s="548"/>
      <c r="OAB78" s="548"/>
      <c r="OAC78" s="548"/>
      <c r="OAD78" s="548"/>
      <c r="OAE78" s="548"/>
      <c r="OAF78" s="452"/>
      <c r="OAG78" s="596"/>
      <c r="OAH78" s="548"/>
      <c r="OAI78" s="548"/>
      <c r="OAJ78" s="548"/>
      <c r="OAK78" s="548"/>
      <c r="OAL78" s="548"/>
      <c r="OAM78" s="452"/>
      <c r="OAN78" s="596"/>
      <c r="OAO78" s="548"/>
      <c r="OAP78" s="548"/>
      <c r="OAQ78" s="548"/>
      <c r="OAR78" s="548"/>
      <c r="OAS78" s="548"/>
      <c r="OAT78" s="452"/>
      <c r="OAU78" s="596"/>
      <c r="OAV78" s="548"/>
      <c r="OAW78" s="548"/>
      <c r="OAX78" s="548"/>
      <c r="OAY78" s="548"/>
      <c r="OAZ78" s="548"/>
      <c r="OBA78" s="452"/>
      <c r="OBB78" s="596"/>
      <c r="OBC78" s="548"/>
      <c r="OBD78" s="548"/>
      <c r="OBE78" s="548"/>
      <c r="OBF78" s="548"/>
      <c r="OBG78" s="548"/>
      <c r="OBH78" s="452"/>
      <c r="OBI78" s="596"/>
      <c r="OBJ78" s="548"/>
      <c r="OBK78" s="548"/>
      <c r="OBL78" s="548"/>
      <c r="OBM78" s="548"/>
      <c r="OBN78" s="548"/>
      <c r="OBO78" s="452"/>
      <c r="OBP78" s="596"/>
      <c r="OBQ78" s="548"/>
      <c r="OBR78" s="548"/>
      <c r="OBS78" s="548"/>
      <c r="OBT78" s="548"/>
      <c r="OBU78" s="548"/>
      <c r="OBV78" s="452"/>
      <c r="OBW78" s="596"/>
      <c r="OBX78" s="548"/>
      <c r="OBY78" s="548"/>
      <c r="OBZ78" s="548"/>
      <c r="OCA78" s="548"/>
      <c r="OCB78" s="548"/>
      <c r="OCC78" s="452"/>
      <c r="OCD78" s="596"/>
      <c r="OCE78" s="548"/>
      <c r="OCF78" s="548"/>
      <c r="OCG78" s="548"/>
      <c r="OCH78" s="548"/>
      <c r="OCI78" s="548"/>
      <c r="OCJ78" s="452"/>
      <c r="OCK78" s="596"/>
      <c r="OCL78" s="548"/>
      <c r="OCM78" s="548"/>
      <c r="OCN78" s="548"/>
      <c r="OCO78" s="548"/>
      <c r="OCP78" s="548"/>
      <c r="OCQ78" s="452"/>
      <c r="OCR78" s="596"/>
      <c r="OCS78" s="548"/>
      <c r="OCT78" s="548"/>
      <c r="OCU78" s="548"/>
      <c r="OCV78" s="548"/>
      <c r="OCW78" s="548"/>
      <c r="OCX78" s="452"/>
      <c r="OCY78" s="596"/>
      <c r="OCZ78" s="548"/>
      <c r="ODA78" s="548"/>
      <c r="ODB78" s="548"/>
      <c r="ODC78" s="548"/>
      <c r="ODD78" s="548"/>
      <c r="ODE78" s="452"/>
      <c r="ODF78" s="596"/>
      <c r="ODG78" s="548"/>
      <c r="ODH78" s="548"/>
      <c r="ODI78" s="548"/>
      <c r="ODJ78" s="548"/>
      <c r="ODK78" s="548"/>
      <c r="ODL78" s="452"/>
      <c r="ODM78" s="596"/>
      <c r="ODN78" s="548"/>
      <c r="ODO78" s="548"/>
      <c r="ODP78" s="548"/>
      <c r="ODQ78" s="548"/>
      <c r="ODR78" s="548"/>
      <c r="ODS78" s="452"/>
      <c r="ODT78" s="596"/>
      <c r="ODU78" s="548"/>
      <c r="ODV78" s="548"/>
      <c r="ODW78" s="548"/>
      <c r="ODX78" s="548"/>
      <c r="ODY78" s="548"/>
      <c r="ODZ78" s="452"/>
      <c r="OEA78" s="596"/>
      <c r="OEB78" s="548"/>
      <c r="OEC78" s="548"/>
      <c r="OED78" s="548"/>
      <c r="OEE78" s="548"/>
      <c r="OEF78" s="548"/>
      <c r="OEG78" s="452"/>
      <c r="OEH78" s="596"/>
      <c r="OEI78" s="548"/>
      <c r="OEJ78" s="548"/>
      <c r="OEK78" s="548"/>
      <c r="OEL78" s="548"/>
      <c r="OEM78" s="548"/>
      <c r="OEN78" s="452"/>
      <c r="OEO78" s="596"/>
      <c r="OEP78" s="548"/>
      <c r="OEQ78" s="548"/>
      <c r="OER78" s="548"/>
      <c r="OES78" s="548"/>
      <c r="OET78" s="548"/>
      <c r="OEU78" s="452"/>
      <c r="OEV78" s="596"/>
      <c r="OEW78" s="548"/>
      <c r="OEX78" s="548"/>
      <c r="OEY78" s="548"/>
      <c r="OEZ78" s="548"/>
      <c r="OFA78" s="548"/>
      <c r="OFB78" s="452"/>
      <c r="OFC78" s="596"/>
      <c r="OFD78" s="548"/>
      <c r="OFE78" s="548"/>
      <c r="OFF78" s="548"/>
      <c r="OFG78" s="548"/>
      <c r="OFH78" s="548"/>
      <c r="OFI78" s="452"/>
      <c r="OFJ78" s="596"/>
      <c r="OFK78" s="548"/>
      <c r="OFL78" s="548"/>
      <c r="OFM78" s="548"/>
      <c r="OFN78" s="548"/>
      <c r="OFO78" s="548"/>
      <c r="OFP78" s="452"/>
      <c r="OFQ78" s="596"/>
      <c r="OFR78" s="548"/>
      <c r="OFS78" s="548"/>
      <c r="OFT78" s="548"/>
      <c r="OFU78" s="548"/>
      <c r="OFV78" s="548"/>
      <c r="OFW78" s="452"/>
      <c r="OFX78" s="596"/>
      <c r="OFY78" s="548"/>
      <c r="OFZ78" s="548"/>
      <c r="OGA78" s="548"/>
      <c r="OGB78" s="548"/>
      <c r="OGC78" s="548"/>
      <c r="OGD78" s="452"/>
      <c r="OGE78" s="596"/>
      <c r="OGF78" s="548"/>
      <c r="OGG78" s="548"/>
      <c r="OGH78" s="548"/>
      <c r="OGI78" s="548"/>
      <c r="OGJ78" s="548"/>
      <c r="OGK78" s="452"/>
      <c r="OGL78" s="596"/>
      <c r="OGM78" s="548"/>
      <c r="OGN78" s="548"/>
      <c r="OGO78" s="548"/>
      <c r="OGP78" s="548"/>
      <c r="OGQ78" s="548"/>
      <c r="OGR78" s="452"/>
      <c r="OGS78" s="596"/>
      <c r="OGT78" s="548"/>
      <c r="OGU78" s="548"/>
      <c r="OGV78" s="548"/>
      <c r="OGW78" s="548"/>
      <c r="OGX78" s="548"/>
      <c r="OGY78" s="452"/>
      <c r="OGZ78" s="596"/>
      <c r="OHA78" s="548"/>
      <c r="OHB78" s="548"/>
      <c r="OHC78" s="548"/>
      <c r="OHD78" s="548"/>
      <c r="OHE78" s="548"/>
      <c r="OHF78" s="452"/>
      <c r="OHG78" s="596"/>
      <c r="OHH78" s="548"/>
      <c r="OHI78" s="548"/>
      <c r="OHJ78" s="548"/>
      <c r="OHK78" s="548"/>
      <c r="OHL78" s="548"/>
      <c r="OHM78" s="452"/>
      <c r="OHN78" s="596"/>
      <c r="OHO78" s="548"/>
      <c r="OHP78" s="548"/>
      <c r="OHQ78" s="548"/>
      <c r="OHR78" s="548"/>
      <c r="OHS78" s="548"/>
      <c r="OHT78" s="452"/>
      <c r="OHU78" s="596"/>
      <c r="OHV78" s="548"/>
      <c r="OHW78" s="548"/>
      <c r="OHX78" s="548"/>
      <c r="OHY78" s="548"/>
      <c r="OHZ78" s="548"/>
      <c r="OIA78" s="452"/>
      <c r="OIB78" s="596"/>
      <c r="OIC78" s="548"/>
      <c r="OID78" s="548"/>
      <c r="OIE78" s="548"/>
      <c r="OIF78" s="548"/>
      <c r="OIG78" s="548"/>
      <c r="OIH78" s="452"/>
      <c r="OII78" s="596"/>
      <c r="OIJ78" s="548"/>
      <c r="OIK78" s="548"/>
      <c r="OIL78" s="548"/>
      <c r="OIM78" s="548"/>
      <c r="OIN78" s="548"/>
      <c r="OIO78" s="452"/>
      <c r="OIP78" s="596"/>
      <c r="OIQ78" s="548"/>
      <c r="OIR78" s="548"/>
      <c r="OIS78" s="548"/>
      <c r="OIT78" s="548"/>
      <c r="OIU78" s="548"/>
      <c r="OIV78" s="452"/>
      <c r="OIW78" s="596"/>
      <c r="OIX78" s="548"/>
      <c r="OIY78" s="548"/>
      <c r="OIZ78" s="548"/>
      <c r="OJA78" s="548"/>
      <c r="OJB78" s="548"/>
      <c r="OJC78" s="452"/>
      <c r="OJD78" s="596"/>
      <c r="OJE78" s="548"/>
      <c r="OJF78" s="548"/>
      <c r="OJG78" s="548"/>
      <c r="OJH78" s="548"/>
      <c r="OJI78" s="548"/>
      <c r="OJJ78" s="452"/>
      <c r="OJK78" s="596"/>
      <c r="OJL78" s="548"/>
      <c r="OJM78" s="548"/>
      <c r="OJN78" s="548"/>
      <c r="OJO78" s="548"/>
      <c r="OJP78" s="548"/>
      <c r="OJQ78" s="452"/>
      <c r="OJR78" s="596"/>
      <c r="OJS78" s="548"/>
      <c r="OJT78" s="548"/>
      <c r="OJU78" s="548"/>
      <c r="OJV78" s="548"/>
      <c r="OJW78" s="548"/>
      <c r="OJX78" s="452"/>
      <c r="OJY78" s="596"/>
      <c r="OJZ78" s="548"/>
      <c r="OKA78" s="548"/>
      <c r="OKB78" s="548"/>
      <c r="OKC78" s="548"/>
      <c r="OKD78" s="548"/>
      <c r="OKE78" s="452"/>
      <c r="OKF78" s="596"/>
      <c r="OKG78" s="548"/>
      <c r="OKH78" s="548"/>
      <c r="OKI78" s="548"/>
      <c r="OKJ78" s="548"/>
      <c r="OKK78" s="548"/>
      <c r="OKL78" s="452"/>
      <c r="OKM78" s="596"/>
      <c r="OKN78" s="548"/>
      <c r="OKO78" s="548"/>
      <c r="OKP78" s="548"/>
      <c r="OKQ78" s="548"/>
      <c r="OKR78" s="548"/>
      <c r="OKS78" s="452"/>
      <c r="OKT78" s="596"/>
      <c r="OKU78" s="548"/>
      <c r="OKV78" s="548"/>
      <c r="OKW78" s="548"/>
      <c r="OKX78" s="548"/>
      <c r="OKY78" s="548"/>
      <c r="OKZ78" s="452"/>
      <c r="OLA78" s="596"/>
      <c r="OLB78" s="548"/>
      <c r="OLC78" s="548"/>
      <c r="OLD78" s="548"/>
      <c r="OLE78" s="548"/>
      <c r="OLF78" s="548"/>
      <c r="OLG78" s="452"/>
      <c r="OLH78" s="596"/>
      <c r="OLI78" s="548"/>
      <c r="OLJ78" s="548"/>
      <c r="OLK78" s="548"/>
      <c r="OLL78" s="548"/>
      <c r="OLM78" s="548"/>
      <c r="OLN78" s="452"/>
      <c r="OLO78" s="596"/>
      <c r="OLP78" s="548"/>
      <c r="OLQ78" s="548"/>
      <c r="OLR78" s="548"/>
      <c r="OLS78" s="548"/>
      <c r="OLT78" s="548"/>
      <c r="OLU78" s="452"/>
      <c r="OLV78" s="596"/>
      <c r="OLW78" s="548"/>
      <c r="OLX78" s="548"/>
      <c r="OLY78" s="548"/>
      <c r="OLZ78" s="548"/>
      <c r="OMA78" s="548"/>
      <c r="OMB78" s="452"/>
      <c r="OMC78" s="596"/>
      <c r="OMD78" s="548"/>
      <c r="OME78" s="548"/>
      <c r="OMF78" s="548"/>
      <c r="OMG78" s="548"/>
      <c r="OMH78" s="548"/>
      <c r="OMI78" s="452"/>
      <c r="OMJ78" s="596"/>
      <c r="OMK78" s="548"/>
      <c r="OML78" s="548"/>
      <c r="OMM78" s="548"/>
      <c r="OMN78" s="548"/>
      <c r="OMO78" s="548"/>
      <c r="OMP78" s="452"/>
      <c r="OMQ78" s="596"/>
      <c r="OMR78" s="548"/>
      <c r="OMS78" s="548"/>
      <c r="OMT78" s="548"/>
      <c r="OMU78" s="548"/>
      <c r="OMV78" s="548"/>
      <c r="OMW78" s="452"/>
      <c r="OMX78" s="596"/>
      <c r="OMY78" s="548"/>
      <c r="OMZ78" s="548"/>
      <c r="ONA78" s="548"/>
      <c r="ONB78" s="548"/>
      <c r="ONC78" s="548"/>
      <c r="OND78" s="452"/>
      <c r="ONE78" s="596"/>
      <c r="ONF78" s="548"/>
      <c r="ONG78" s="548"/>
      <c r="ONH78" s="548"/>
      <c r="ONI78" s="548"/>
      <c r="ONJ78" s="548"/>
      <c r="ONK78" s="452"/>
      <c r="ONL78" s="596"/>
      <c r="ONM78" s="548"/>
      <c r="ONN78" s="548"/>
      <c r="ONO78" s="548"/>
      <c r="ONP78" s="548"/>
      <c r="ONQ78" s="548"/>
      <c r="ONR78" s="452"/>
      <c r="ONS78" s="596"/>
      <c r="ONT78" s="548"/>
      <c r="ONU78" s="548"/>
      <c r="ONV78" s="548"/>
      <c r="ONW78" s="548"/>
      <c r="ONX78" s="548"/>
      <c r="ONY78" s="452"/>
      <c r="ONZ78" s="596"/>
      <c r="OOA78" s="548"/>
      <c r="OOB78" s="548"/>
      <c r="OOC78" s="548"/>
      <c r="OOD78" s="548"/>
      <c r="OOE78" s="548"/>
      <c r="OOF78" s="452"/>
      <c r="OOG78" s="596"/>
      <c r="OOH78" s="548"/>
      <c r="OOI78" s="548"/>
      <c r="OOJ78" s="548"/>
      <c r="OOK78" s="548"/>
      <c r="OOL78" s="548"/>
      <c r="OOM78" s="452"/>
      <c r="OON78" s="596"/>
      <c r="OOO78" s="548"/>
      <c r="OOP78" s="548"/>
      <c r="OOQ78" s="548"/>
      <c r="OOR78" s="548"/>
      <c r="OOS78" s="548"/>
      <c r="OOT78" s="452"/>
      <c r="OOU78" s="596"/>
      <c r="OOV78" s="548"/>
      <c r="OOW78" s="548"/>
      <c r="OOX78" s="548"/>
      <c r="OOY78" s="548"/>
      <c r="OOZ78" s="548"/>
      <c r="OPA78" s="452"/>
      <c r="OPB78" s="596"/>
      <c r="OPC78" s="548"/>
      <c r="OPD78" s="548"/>
      <c r="OPE78" s="548"/>
      <c r="OPF78" s="548"/>
      <c r="OPG78" s="548"/>
      <c r="OPH78" s="452"/>
      <c r="OPI78" s="596"/>
      <c r="OPJ78" s="548"/>
      <c r="OPK78" s="548"/>
      <c r="OPL78" s="548"/>
      <c r="OPM78" s="548"/>
      <c r="OPN78" s="548"/>
      <c r="OPO78" s="452"/>
      <c r="OPP78" s="596"/>
      <c r="OPQ78" s="548"/>
      <c r="OPR78" s="548"/>
      <c r="OPS78" s="548"/>
      <c r="OPT78" s="548"/>
      <c r="OPU78" s="548"/>
      <c r="OPV78" s="452"/>
      <c r="OPW78" s="596"/>
      <c r="OPX78" s="548"/>
      <c r="OPY78" s="548"/>
      <c r="OPZ78" s="548"/>
      <c r="OQA78" s="548"/>
      <c r="OQB78" s="548"/>
      <c r="OQC78" s="452"/>
      <c r="OQD78" s="596"/>
      <c r="OQE78" s="548"/>
      <c r="OQF78" s="548"/>
      <c r="OQG78" s="548"/>
      <c r="OQH78" s="548"/>
      <c r="OQI78" s="548"/>
      <c r="OQJ78" s="452"/>
      <c r="OQK78" s="596"/>
      <c r="OQL78" s="548"/>
      <c r="OQM78" s="548"/>
      <c r="OQN78" s="548"/>
      <c r="OQO78" s="548"/>
      <c r="OQP78" s="548"/>
      <c r="OQQ78" s="452"/>
      <c r="OQR78" s="596"/>
      <c r="OQS78" s="548"/>
      <c r="OQT78" s="548"/>
      <c r="OQU78" s="548"/>
      <c r="OQV78" s="548"/>
      <c r="OQW78" s="548"/>
      <c r="OQX78" s="452"/>
      <c r="OQY78" s="596"/>
      <c r="OQZ78" s="548"/>
      <c r="ORA78" s="548"/>
      <c r="ORB78" s="548"/>
      <c r="ORC78" s="548"/>
      <c r="ORD78" s="548"/>
      <c r="ORE78" s="452"/>
      <c r="ORF78" s="596"/>
      <c r="ORG78" s="548"/>
      <c r="ORH78" s="548"/>
      <c r="ORI78" s="548"/>
      <c r="ORJ78" s="548"/>
      <c r="ORK78" s="548"/>
      <c r="ORL78" s="452"/>
      <c r="ORM78" s="596"/>
      <c r="ORN78" s="548"/>
      <c r="ORO78" s="548"/>
      <c r="ORP78" s="548"/>
      <c r="ORQ78" s="548"/>
      <c r="ORR78" s="548"/>
      <c r="ORS78" s="452"/>
      <c r="ORT78" s="596"/>
      <c r="ORU78" s="548"/>
      <c r="ORV78" s="548"/>
      <c r="ORW78" s="548"/>
      <c r="ORX78" s="548"/>
      <c r="ORY78" s="548"/>
      <c r="ORZ78" s="452"/>
      <c r="OSA78" s="596"/>
      <c r="OSB78" s="548"/>
      <c r="OSC78" s="548"/>
      <c r="OSD78" s="548"/>
      <c r="OSE78" s="548"/>
      <c r="OSF78" s="548"/>
      <c r="OSG78" s="452"/>
      <c r="OSH78" s="596"/>
      <c r="OSI78" s="548"/>
      <c r="OSJ78" s="548"/>
      <c r="OSK78" s="548"/>
      <c r="OSL78" s="548"/>
      <c r="OSM78" s="548"/>
      <c r="OSN78" s="452"/>
      <c r="OSO78" s="596"/>
      <c r="OSP78" s="548"/>
      <c r="OSQ78" s="548"/>
      <c r="OSR78" s="548"/>
      <c r="OSS78" s="548"/>
      <c r="OST78" s="548"/>
      <c r="OSU78" s="452"/>
      <c r="OSV78" s="596"/>
      <c r="OSW78" s="548"/>
      <c r="OSX78" s="548"/>
      <c r="OSY78" s="548"/>
      <c r="OSZ78" s="548"/>
      <c r="OTA78" s="548"/>
      <c r="OTB78" s="452"/>
      <c r="OTC78" s="596"/>
      <c r="OTD78" s="548"/>
      <c r="OTE78" s="548"/>
      <c r="OTF78" s="548"/>
      <c r="OTG78" s="548"/>
      <c r="OTH78" s="548"/>
      <c r="OTI78" s="452"/>
      <c r="OTJ78" s="596"/>
      <c r="OTK78" s="548"/>
      <c r="OTL78" s="548"/>
      <c r="OTM78" s="548"/>
      <c r="OTN78" s="548"/>
      <c r="OTO78" s="548"/>
      <c r="OTP78" s="452"/>
      <c r="OTQ78" s="596"/>
      <c r="OTR78" s="548"/>
      <c r="OTS78" s="548"/>
      <c r="OTT78" s="548"/>
      <c r="OTU78" s="548"/>
      <c r="OTV78" s="548"/>
      <c r="OTW78" s="452"/>
      <c r="OTX78" s="596"/>
      <c r="OTY78" s="548"/>
      <c r="OTZ78" s="548"/>
      <c r="OUA78" s="548"/>
      <c r="OUB78" s="548"/>
      <c r="OUC78" s="548"/>
      <c r="OUD78" s="452"/>
      <c r="OUE78" s="596"/>
      <c r="OUF78" s="548"/>
      <c r="OUG78" s="548"/>
      <c r="OUH78" s="548"/>
      <c r="OUI78" s="548"/>
      <c r="OUJ78" s="548"/>
      <c r="OUK78" s="452"/>
      <c r="OUL78" s="596"/>
      <c r="OUM78" s="548"/>
      <c r="OUN78" s="548"/>
      <c r="OUO78" s="548"/>
      <c r="OUP78" s="548"/>
      <c r="OUQ78" s="548"/>
      <c r="OUR78" s="452"/>
      <c r="OUS78" s="596"/>
      <c r="OUT78" s="548"/>
      <c r="OUU78" s="548"/>
      <c r="OUV78" s="548"/>
      <c r="OUW78" s="548"/>
      <c r="OUX78" s="548"/>
      <c r="OUY78" s="452"/>
      <c r="OUZ78" s="596"/>
      <c r="OVA78" s="548"/>
      <c r="OVB78" s="548"/>
      <c r="OVC78" s="548"/>
      <c r="OVD78" s="548"/>
      <c r="OVE78" s="548"/>
      <c r="OVF78" s="452"/>
      <c r="OVG78" s="596"/>
      <c r="OVH78" s="548"/>
      <c r="OVI78" s="548"/>
      <c r="OVJ78" s="548"/>
      <c r="OVK78" s="548"/>
      <c r="OVL78" s="548"/>
      <c r="OVM78" s="452"/>
      <c r="OVN78" s="596"/>
      <c r="OVO78" s="548"/>
      <c r="OVP78" s="548"/>
      <c r="OVQ78" s="548"/>
      <c r="OVR78" s="548"/>
      <c r="OVS78" s="548"/>
      <c r="OVT78" s="452"/>
      <c r="OVU78" s="596"/>
      <c r="OVV78" s="548"/>
      <c r="OVW78" s="548"/>
      <c r="OVX78" s="548"/>
      <c r="OVY78" s="548"/>
      <c r="OVZ78" s="548"/>
      <c r="OWA78" s="452"/>
      <c r="OWB78" s="596"/>
      <c r="OWC78" s="548"/>
      <c r="OWD78" s="548"/>
      <c r="OWE78" s="548"/>
      <c r="OWF78" s="548"/>
      <c r="OWG78" s="548"/>
      <c r="OWH78" s="452"/>
      <c r="OWI78" s="596"/>
      <c r="OWJ78" s="548"/>
      <c r="OWK78" s="548"/>
      <c r="OWL78" s="548"/>
      <c r="OWM78" s="548"/>
      <c r="OWN78" s="548"/>
      <c r="OWO78" s="452"/>
      <c r="OWP78" s="596"/>
      <c r="OWQ78" s="548"/>
      <c r="OWR78" s="548"/>
      <c r="OWS78" s="548"/>
      <c r="OWT78" s="548"/>
      <c r="OWU78" s="548"/>
      <c r="OWV78" s="452"/>
      <c r="OWW78" s="596"/>
      <c r="OWX78" s="548"/>
      <c r="OWY78" s="548"/>
      <c r="OWZ78" s="548"/>
      <c r="OXA78" s="548"/>
      <c r="OXB78" s="548"/>
      <c r="OXC78" s="452"/>
      <c r="OXD78" s="596"/>
      <c r="OXE78" s="548"/>
      <c r="OXF78" s="548"/>
      <c r="OXG78" s="548"/>
      <c r="OXH78" s="548"/>
      <c r="OXI78" s="548"/>
      <c r="OXJ78" s="452"/>
      <c r="OXK78" s="596"/>
      <c r="OXL78" s="548"/>
      <c r="OXM78" s="548"/>
      <c r="OXN78" s="548"/>
      <c r="OXO78" s="548"/>
      <c r="OXP78" s="548"/>
      <c r="OXQ78" s="452"/>
      <c r="OXR78" s="596"/>
      <c r="OXS78" s="548"/>
      <c r="OXT78" s="548"/>
      <c r="OXU78" s="548"/>
      <c r="OXV78" s="548"/>
      <c r="OXW78" s="548"/>
      <c r="OXX78" s="452"/>
      <c r="OXY78" s="596"/>
      <c r="OXZ78" s="548"/>
      <c r="OYA78" s="548"/>
      <c r="OYB78" s="548"/>
      <c r="OYC78" s="548"/>
      <c r="OYD78" s="548"/>
      <c r="OYE78" s="452"/>
      <c r="OYF78" s="596"/>
      <c r="OYG78" s="548"/>
      <c r="OYH78" s="548"/>
      <c r="OYI78" s="548"/>
      <c r="OYJ78" s="548"/>
      <c r="OYK78" s="548"/>
      <c r="OYL78" s="452"/>
      <c r="OYM78" s="596"/>
      <c r="OYN78" s="548"/>
      <c r="OYO78" s="548"/>
      <c r="OYP78" s="548"/>
      <c r="OYQ78" s="548"/>
      <c r="OYR78" s="548"/>
      <c r="OYS78" s="452"/>
      <c r="OYT78" s="596"/>
      <c r="OYU78" s="548"/>
      <c r="OYV78" s="548"/>
      <c r="OYW78" s="548"/>
      <c r="OYX78" s="548"/>
      <c r="OYY78" s="548"/>
      <c r="OYZ78" s="452"/>
      <c r="OZA78" s="596"/>
      <c r="OZB78" s="548"/>
      <c r="OZC78" s="548"/>
      <c r="OZD78" s="548"/>
      <c r="OZE78" s="548"/>
      <c r="OZF78" s="548"/>
      <c r="OZG78" s="452"/>
      <c r="OZH78" s="596"/>
      <c r="OZI78" s="548"/>
      <c r="OZJ78" s="548"/>
      <c r="OZK78" s="548"/>
      <c r="OZL78" s="548"/>
      <c r="OZM78" s="548"/>
      <c r="OZN78" s="452"/>
      <c r="OZO78" s="596"/>
      <c r="OZP78" s="548"/>
      <c r="OZQ78" s="548"/>
      <c r="OZR78" s="548"/>
      <c r="OZS78" s="548"/>
      <c r="OZT78" s="548"/>
      <c r="OZU78" s="452"/>
      <c r="OZV78" s="596"/>
      <c r="OZW78" s="548"/>
      <c r="OZX78" s="548"/>
      <c r="OZY78" s="548"/>
      <c r="OZZ78" s="548"/>
      <c r="PAA78" s="548"/>
      <c r="PAB78" s="452"/>
      <c r="PAC78" s="596"/>
      <c r="PAD78" s="548"/>
      <c r="PAE78" s="548"/>
      <c r="PAF78" s="548"/>
      <c r="PAG78" s="548"/>
      <c r="PAH78" s="548"/>
      <c r="PAI78" s="452"/>
      <c r="PAJ78" s="596"/>
      <c r="PAK78" s="548"/>
      <c r="PAL78" s="548"/>
      <c r="PAM78" s="548"/>
      <c r="PAN78" s="548"/>
      <c r="PAO78" s="548"/>
      <c r="PAP78" s="452"/>
      <c r="PAQ78" s="596"/>
      <c r="PAR78" s="548"/>
      <c r="PAS78" s="548"/>
      <c r="PAT78" s="548"/>
      <c r="PAU78" s="548"/>
      <c r="PAV78" s="548"/>
      <c r="PAW78" s="452"/>
      <c r="PAX78" s="596"/>
      <c r="PAY78" s="548"/>
      <c r="PAZ78" s="548"/>
      <c r="PBA78" s="548"/>
      <c r="PBB78" s="548"/>
      <c r="PBC78" s="548"/>
      <c r="PBD78" s="452"/>
      <c r="PBE78" s="596"/>
      <c r="PBF78" s="548"/>
      <c r="PBG78" s="548"/>
      <c r="PBH78" s="548"/>
      <c r="PBI78" s="548"/>
      <c r="PBJ78" s="548"/>
      <c r="PBK78" s="452"/>
      <c r="PBL78" s="596"/>
      <c r="PBM78" s="548"/>
      <c r="PBN78" s="548"/>
      <c r="PBO78" s="548"/>
      <c r="PBP78" s="548"/>
      <c r="PBQ78" s="548"/>
      <c r="PBR78" s="452"/>
      <c r="PBS78" s="596"/>
      <c r="PBT78" s="548"/>
      <c r="PBU78" s="548"/>
      <c r="PBV78" s="548"/>
      <c r="PBW78" s="548"/>
      <c r="PBX78" s="548"/>
      <c r="PBY78" s="452"/>
      <c r="PBZ78" s="596"/>
      <c r="PCA78" s="548"/>
      <c r="PCB78" s="548"/>
      <c r="PCC78" s="548"/>
      <c r="PCD78" s="548"/>
      <c r="PCE78" s="548"/>
      <c r="PCF78" s="452"/>
      <c r="PCG78" s="596"/>
      <c r="PCH78" s="548"/>
      <c r="PCI78" s="548"/>
      <c r="PCJ78" s="548"/>
      <c r="PCK78" s="548"/>
      <c r="PCL78" s="548"/>
      <c r="PCM78" s="452"/>
      <c r="PCN78" s="596"/>
      <c r="PCO78" s="548"/>
      <c r="PCP78" s="548"/>
      <c r="PCQ78" s="548"/>
      <c r="PCR78" s="548"/>
      <c r="PCS78" s="548"/>
      <c r="PCT78" s="452"/>
      <c r="PCU78" s="596"/>
      <c r="PCV78" s="548"/>
      <c r="PCW78" s="548"/>
      <c r="PCX78" s="548"/>
      <c r="PCY78" s="548"/>
      <c r="PCZ78" s="548"/>
      <c r="PDA78" s="452"/>
      <c r="PDB78" s="596"/>
      <c r="PDC78" s="548"/>
      <c r="PDD78" s="548"/>
      <c r="PDE78" s="548"/>
      <c r="PDF78" s="548"/>
      <c r="PDG78" s="548"/>
      <c r="PDH78" s="452"/>
      <c r="PDI78" s="596"/>
      <c r="PDJ78" s="548"/>
      <c r="PDK78" s="548"/>
      <c r="PDL78" s="548"/>
      <c r="PDM78" s="548"/>
      <c r="PDN78" s="548"/>
      <c r="PDO78" s="452"/>
      <c r="PDP78" s="596"/>
      <c r="PDQ78" s="548"/>
      <c r="PDR78" s="548"/>
      <c r="PDS78" s="548"/>
      <c r="PDT78" s="548"/>
      <c r="PDU78" s="548"/>
      <c r="PDV78" s="452"/>
      <c r="PDW78" s="596"/>
      <c r="PDX78" s="548"/>
      <c r="PDY78" s="548"/>
      <c r="PDZ78" s="548"/>
      <c r="PEA78" s="548"/>
      <c r="PEB78" s="548"/>
      <c r="PEC78" s="452"/>
      <c r="PED78" s="596"/>
      <c r="PEE78" s="548"/>
      <c r="PEF78" s="548"/>
      <c r="PEG78" s="548"/>
      <c r="PEH78" s="548"/>
      <c r="PEI78" s="548"/>
      <c r="PEJ78" s="452"/>
      <c r="PEK78" s="596"/>
      <c r="PEL78" s="548"/>
      <c r="PEM78" s="548"/>
      <c r="PEN78" s="548"/>
      <c r="PEO78" s="548"/>
      <c r="PEP78" s="548"/>
      <c r="PEQ78" s="452"/>
      <c r="PER78" s="596"/>
      <c r="PES78" s="548"/>
      <c r="PET78" s="548"/>
      <c r="PEU78" s="548"/>
      <c r="PEV78" s="548"/>
      <c r="PEW78" s="548"/>
      <c r="PEX78" s="452"/>
      <c r="PEY78" s="596"/>
      <c r="PEZ78" s="548"/>
      <c r="PFA78" s="548"/>
      <c r="PFB78" s="548"/>
      <c r="PFC78" s="548"/>
      <c r="PFD78" s="548"/>
      <c r="PFE78" s="452"/>
      <c r="PFF78" s="596"/>
      <c r="PFG78" s="548"/>
      <c r="PFH78" s="548"/>
      <c r="PFI78" s="548"/>
      <c r="PFJ78" s="548"/>
      <c r="PFK78" s="548"/>
      <c r="PFL78" s="452"/>
      <c r="PFM78" s="596"/>
      <c r="PFN78" s="548"/>
      <c r="PFO78" s="548"/>
      <c r="PFP78" s="548"/>
      <c r="PFQ78" s="548"/>
      <c r="PFR78" s="548"/>
      <c r="PFS78" s="452"/>
      <c r="PFT78" s="596"/>
      <c r="PFU78" s="548"/>
      <c r="PFV78" s="548"/>
      <c r="PFW78" s="548"/>
      <c r="PFX78" s="548"/>
      <c r="PFY78" s="548"/>
      <c r="PFZ78" s="452"/>
      <c r="PGA78" s="596"/>
      <c r="PGB78" s="548"/>
      <c r="PGC78" s="548"/>
      <c r="PGD78" s="548"/>
      <c r="PGE78" s="548"/>
      <c r="PGF78" s="548"/>
      <c r="PGG78" s="452"/>
      <c r="PGH78" s="596"/>
      <c r="PGI78" s="548"/>
      <c r="PGJ78" s="548"/>
      <c r="PGK78" s="548"/>
      <c r="PGL78" s="548"/>
      <c r="PGM78" s="548"/>
      <c r="PGN78" s="452"/>
      <c r="PGO78" s="596"/>
      <c r="PGP78" s="548"/>
      <c r="PGQ78" s="548"/>
      <c r="PGR78" s="548"/>
      <c r="PGS78" s="548"/>
      <c r="PGT78" s="548"/>
      <c r="PGU78" s="452"/>
      <c r="PGV78" s="596"/>
      <c r="PGW78" s="548"/>
      <c r="PGX78" s="548"/>
      <c r="PGY78" s="548"/>
      <c r="PGZ78" s="548"/>
      <c r="PHA78" s="548"/>
      <c r="PHB78" s="452"/>
      <c r="PHC78" s="596"/>
      <c r="PHD78" s="548"/>
      <c r="PHE78" s="548"/>
      <c r="PHF78" s="548"/>
      <c r="PHG78" s="548"/>
      <c r="PHH78" s="548"/>
      <c r="PHI78" s="452"/>
      <c r="PHJ78" s="596"/>
      <c r="PHK78" s="548"/>
      <c r="PHL78" s="548"/>
      <c r="PHM78" s="548"/>
      <c r="PHN78" s="548"/>
      <c r="PHO78" s="548"/>
      <c r="PHP78" s="452"/>
      <c r="PHQ78" s="596"/>
      <c r="PHR78" s="548"/>
      <c r="PHS78" s="548"/>
      <c r="PHT78" s="548"/>
      <c r="PHU78" s="548"/>
      <c r="PHV78" s="548"/>
      <c r="PHW78" s="452"/>
      <c r="PHX78" s="596"/>
      <c r="PHY78" s="548"/>
      <c r="PHZ78" s="548"/>
      <c r="PIA78" s="548"/>
      <c r="PIB78" s="548"/>
      <c r="PIC78" s="548"/>
      <c r="PID78" s="452"/>
      <c r="PIE78" s="596"/>
      <c r="PIF78" s="548"/>
      <c r="PIG78" s="548"/>
      <c r="PIH78" s="548"/>
      <c r="PII78" s="548"/>
      <c r="PIJ78" s="548"/>
      <c r="PIK78" s="452"/>
      <c r="PIL78" s="596"/>
      <c r="PIM78" s="548"/>
      <c r="PIN78" s="548"/>
      <c r="PIO78" s="548"/>
      <c r="PIP78" s="548"/>
      <c r="PIQ78" s="548"/>
      <c r="PIR78" s="452"/>
      <c r="PIS78" s="596"/>
      <c r="PIT78" s="548"/>
      <c r="PIU78" s="548"/>
      <c r="PIV78" s="548"/>
      <c r="PIW78" s="548"/>
      <c r="PIX78" s="548"/>
      <c r="PIY78" s="452"/>
      <c r="PIZ78" s="596"/>
      <c r="PJA78" s="548"/>
      <c r="PJB78" s="548"/>
      <c r="PJC78" s="548"/>
      <c r="PJD78" s="548"/>
      <c r="PJE78" s="548"/>
      <c r="PJF78" s="452"/>
      <c r="PJG78" s="596"/>
      <c r="PJH78" s="548"/>
      <c r="PJI78" s="548"/>
      <c r="PJJ78" s="548"/>
      <c r="PJK78" s="548"/>
      <c r="PJL78" s="548"/>
      <c r="PJM78" s="452"/>
      <c r="PJN78" s="596"/>
      <c r="PJO78" s="548"/>
      <c r="PJP78" s="548"/>
      <c r="PJQ78" s="548"/>
      <c r="PJR78" s="548"/>
      <c r="PJS78" s="548"/>
      <c r="PJT78" s="452"/>
      <c r="PJU78" s="596"/>
      <c r="PJV78" s="548"/>
      <c r="PJW78" s="548"/>
      <c r="PJX78" s="548"/>
      <c r="PJY78" s="548"/>
      <c r="PJZ78" s="548"/>
      <c r="PKA78" s="452"/>
      <c r="PKB78" s="596"/>
      <c r="PKC78" s="548"/>
      <c r="PKD78" s="548"/>
      <c r="PKE78" s="548"/>
      <c r="PKF78" s="548"/>
      <c r="PKG78" s="548"/>
      <c r="PKH78" s="452"/>
      <c r="PKI78" s="596"/>
      <c r="PKJ78" s="548"/>
      <c r="PKK78" s="548"/>
      <c r="PKL78" s="548"/>
      <c r="PKM78" s="548"/>
      <c r="PKN78" s="548"/>
      <c r="PKO78" s="452"/>
      <c r="PKP78" s="596"/>
      <c r="PKQ78" s="548"/>
      <c r="PKR78" s="548"/>
      <c r="PKS78" s="548"/>
      <c r="PKT78" s="548"/>
      <c r="PKU78" s="548"/>
      <c r="PKV78" s="452"/>
      <c r="PKW78" s="596"/>
      <c r="PKX78" s="548"/>
      <c r="PKY78" s="548"/>
      <c r="PKZ78" s="548"/>
      <c r="PLA78" s="548"/>
      <c r="PLB78" s="548"/>
      <c r="PLC78" s="452"/>
      <c r="PLD78" s="596"/>
      <c r="PLE78" s="548"/>
      <c r="PLF78" s="548"/>
      <c r="PLG78" s="548"/>
      <c r="PLH78" s="548"/>
      <c r="PLI78" s="548"/>
      <c r="PLJ78" s="452"/>
      <c r="PLK78" s="596"/>
      <c r="PLL78" s="548"/>
      <c r="PLM78" s="548"/>
      <c r="PLN78" s="548"/>
      <c r="PLO78" s="548"/>
      <c r="PLP78" s="548"/>
      <c r="PLQ78" s="452"/>
      <c r="PLR78" s="596"/>
      <c r="PLS78" s="548"/>
      <c r="PLT78" s="548"/>
      <c r="PLU78" s="548"/>
      <c r="PLV78" s="548"/>
      <c r="PLW78" s="548"/>
      <c r="PLX78" s="452"/>
      <c r="PLY78" s="596"/>
      <c r="PLZ78" s="548"/>
      <c r="PMA78" s="548"/>
      <c r="PMB78" s="548"/>
      <c r="PMC78" s="548"/>
      <c r="PMD78" s="548"/>
      <c r="PME78" s="452"/>
      <c r="PMF78" s="596"/>
      <c r="PMG78" s="548"/>
      <c r="PMH78" s="548"/>
      <c r="PMI78" s="548"/>
      <c r="PMJ78" s="548"/>
      <c r="PMK78" s="548"/>
      <c r="PML78" s="452"/>
      <c r="PMM78" s="596"/>
      <c r="PMN78" s="548"/>
      <c r="PMO78" s="548"/>
      <c r="PMP78" s="548"/>
      <c r="PMQ78" s="548"/>
      <c r="PMR78" s="548"/>
      <c r="PMS78" s="452"/>
      <c r="PMT78" s="596"/>
      <c r="PMU78" s="548"/>
      <c r="PMV78" s="548"/>
      <c r="PMW78" s="548"/>
      <c r="PMX78" s="548"/>
      <c r="PMY78" s="548"/>
      <c r="PMZ78" s="452"/>
      <c r="PNA78" s="596"/>
      <c r="PNB78" s="548"/>
      <c r="PNC78" s="548"/>
      <c r="PND78" s="548"/>
      <c r="PNE78" s="548"/>
      <c r="PNF78" s="548"/>
      <c r="PNG78" s="452"/>
      <c r="PNH78" s="596"/>
      <c r="PNI78" s="548"/>
      <c r="PNJ78" s="548"/>
      <c r="PNK78" s="548"/>
      <c r="PNL78" s="548"/>
      <c r="PNM78" s="548"/>
      <c r="PNN78" s="452"/>
      <c r="PNO78" s="596"/>
      <c r="PNP78" s="548"/>
      <c r="PNQ78" s="548"/>
      <c r="PNR78" s="548"/>
      <c r="PNS78" s="548"/>
      <c r="PNT78" s="548"/>
      <c r="PNU78" s="452"/>
      <c r="PNV78" s="596"/>
      <c r="PNW78" s="548"/>
      <c r="PNX78" s="548"/>
      <c r="PNY78" s="548"/>
      <c r="PNZ78" s="548"/>
      <c r="POA78" s="548"/>
      <c r="POB78" s="452"/>
      <c r="POC78" s="596"/>
      <c r="POD78" s="548"/>
      <c r="POE78" s="548"/>
      <c r="POF78" s="548"/>
      <c r="POG78" s="548"/>
      <c r="POH78" s="548"/>
      <c r="POI78" s="452"/>
      <c r="POJ78" s="596"/>
      <c r="POK78" s="548"/>
      <c r="POL78" s="548"/>
      <c r="POM78" s="548"/>
      <c r="PON78" s="548"/>
      <c r="POO78" s="548"/>
      <c r="POP78" s="452"/>
      <c r="POQ78" s="596"/>
      <c r="POR78" s="548"/>
      <c r="POS78" s="548"/>
      <c r="POT78" s="548"/>
      <c r="POU78" s="548"/>
      <c r="POV78" s="548"/>
      <c r="POW78" s="452"/>
      <c r="POX78" s="596"/>
      <c r="POY78" s="548"/>
      <c r="POZ78" s="548"/>
      <c r="PPA78" s="548"/>
      <c r="PPB78" s="548"/>
      <c r="PPC78" s="548"/>
      <c r="PPD78" s="452"/>
      <c r="PPE78" s="596"/>
      <c r="PPF78" s="548"/>
      <c r="PPG78" s="548"/>
      <c r="PPH78" s="548"/>
      <c r="PPI78" s="548"/>
      <c r="PPJ78" s="548"/>
      <c r="PPK78" s="452"/>
      <c r="PPL78" s="596"/>
      <c r="PPM78" s="548"/>
      <c r="PPN78" s="548"/>
      <c r="PPO78" s="548"/>
      <c r="PPP78" s="548"/>
      <c r="PPQ78" s="548"/>
      <c r="PPR78" s="452"/>
      <c r="PPS78" s="596"/>
      <c r="PPT78" s="548"/>
      <c r="PPU78" s="548"/>
      <c r="PPV78" s="548"/>
      <c r="PPW78" s="548"/>
      <c r="PPX78" s="548"/>
      <c r="PPY78" s="452"/>
      <c r="PPZ78" s="596"/>
      <c r="PQA78" s="548"/>
      <c r="PQB78" s="548"/>
      <c r="PQC78" s="548"/>
      <c r="PQD78" s="548"/>
      <c r="PQE78" s="548"/>
      <c r="PQF78" s="452"/>
      <c r="PQG78" s="596"/>
      <c r="PQH78" s="548"/>
      <c r="PQI78" s="548"/>
      <c r="PQJ78" s="548"/>
      <c r="PQK78" s="548"/>
      <c r="PQL78" s="548"/>
      <c r="PQM78" s="452"/>
      <c r="PQN78" s="596"/>
      <c r="PQO78" s="548"/>
      <c r="PQP78" s="548"/>
      <c r="PQQ78" s="548"/>
      <c r="PQR78" s="548"/>
      <c r="PQS78" s="548"/>
      <c r="PQT78" s="452"/>
      <c r="PQU78" s="596"/>
      <c r="PQV78" s="548"/>
      <c r="PQW78" s="548"/>
      <c r="PQX78" s="548"/>
      <c r="PQY78" s="548"/>
      <c r="PQZ78" s="548"/>
      <c r="PRA78" s="452"/>
      <c r="PRB78" s="596"/>
      <c r="PRC78" s="548"/>
      <c r="PRD78" s="548"/>
      <c r="PRE78" s="548"/>
      <c r="PRF78" s="548"/>
      <c r="PRG78" s="548"/>
      <c r="PRH78" s="452"/>
      <c r="PRI78" s="596"/>
      <c r="PRJ78" s="548"/>
      <c r="PRK78" s="548"/>
      <c r="PRL78" s="548"/>
      <c r="PRM78" s="548"/>
      <c r="PRN78" s="548"/>
      <c r="PRO78" s="452"/>
      <c r="PRP78" s="596"/>
      <c r="PRQ78" s="548"/>
      <c r="PRR78" s="548"/>
      <c r="PRS78" s="548"/>
      <c r="PRT78" s="548"/>
      <c r="PRU78" s="548"/>
      <c r="PRV78" s="452"/>
      <c r="PRW78" s="596"/>
      <c r="PRX78" s="548"/>
      <c r="PRY78" s="548"/>
      <c r="PRZ78" s="548"/>
      <c r="PSA78" s="548"/>
      <c r="PSB78" s="548"/>
      <c r="PSC78" s="452"/>
      <c r="PSD78" s="596"/>
      <c r="PSE78" s="548"/>
      <c r="PSF78" s="548"/>
      <c r="PSG78" s="548"/>
      <c r="PSH78" s="548"/>
      <c r="PSI78" s="548"/>
      <c r="PSJ78" s="452"/>
      <c r="PSK78" s="596"/>
      <c r="PSL78" s="548"/>
      <c r="PSM78" s="548"/>
      <c r="PSN78" s="548"/>
      <c r="PSO78" s="548"/>
      <c r="PSP78" s="548"/>
      <c r="PSQ78" s="452"/>
      <c r="PSR78" s="596"/>
      <c r="PSS78" s="548"/>
      <c r="PST78" s="548"/>
      <c r="PSU78" s="548"/>
      <c r="PSV78" s="548"/>
      <c r="PSW78" s="548"/>
      <c r="PSX78" s="452"/>
      <c r="PSY78" s="596"/>
      <c r="PSZ78" s="548"/>
      <c r="PTA78" s="548"/>
      <c r="PTB78" s="548"/>
      <c r="PTC78" s="548"/>
      <c r="PTD78" s="548"/>
      <c r="PTE78" s="452"/>
      <c r="PTF78" s="596"/>
      <c r="PTG78" s="548"/>
      <c r="PTH78" s="548"/>
      <c r="PTI78" s="548"/>
      <c r="PTJ78" s="548"/>
      <c r="PTK78" s="548"/>
      <c r="PTL78" s="452"/>
      <c r="PTM78" s="596"/>
      <c r="PTN78" s="548"/>
      <c r="PTO78" s="548"/>
      <c r="PTP78" s="548"/>
      <c r="PTQ78" s="548"/>
      <c r="PTR78" s="548"/>
      <c r="PTS78" s="452"/>
      <c r="PTT78" s="596"/>
      <c r="PTU78" s="548"/>
      <c r="PTV78" s="548"/>
      <c r="PTW78" s="548"/>
      <c r="PTX78" s="548"/>
      <c r="PTY78" s="548"/>
      <c r="PTZ78" s="452"/>
      <c r="PUA78" s="596"/>
      <c r="PUB78" s="548"/>
      <c r="PUC78" s="548"/>
      <c r="PUD78" s="548"/>
      <c r="PUE78" s="548"/>
      <c r="PUF78" s="548"/>
      <c r="PUG78" s="452"/>
      <c r="PUH78" s="596"/>
      <c r="PUI78" s="548"/>
      <c r="PUJ78" s="548"/>
      <c r="PUK78" s="548"/>
      <c r="PUL78" s="548"/>
      <c r="PUM78" s="548"/>
      <c r="PUN78" s="452"/>
      <c r="PUO78" s="596"/>
      <c r="PUP78" s="548"/>
      <c r="PUQ78" s="548"/>
      <c r="PUR78" s="548"/>
      <c r="PUS78" s="548"/>
      <c r="PUT78" s="548"/>
      <c r="PUU78" s="452"/>
      <c r="PUV78" s="596"/>
      <c r="PUW78" s="548"/>
      <c r="PUX78" s="548"/>
      <c r="PUY78" s="548"/>
      <c r="PUZ78" s="548"/>
      <c r="PVA78" s="548"/>
      <c r="PVB78" s="452"/>
      <c r="PVC78" s="596"/>
      <c r="PVD78" s="548"/>
      <c r="PVE78" s="548"/>
      <c r="PVF78" s="548"/>
      <c r="PVG78" s="548"/>
      <c r="PVH78" s="548"/>
      <c r="PVI78" s="452"/>
      <c r="PVJ78" s="596"/>
      <c r="PVK78" s="548"/>
      <c r="PVL78" s="548"/>
      <c r="PVM78" s="548"/>
      <c r="PVN78" s="548"/>
      <c r="PVO78" s="548"/>
      <c r="PVP78" s="452"/>
      <c r="PVQ78" s="596"/>
      <c r="PVR78" s="548"/>
      <c r="PVS78" s="548"/>
      <c r="PVT78" s="548"/>
      <c r="PVU78" s="548"/>
      <c r="PVV78" s="548"/>
      <c r="PVW78" s="452"/>
      <c r="PVX78" s="596"/>
      <c r="PVY78" s="548"/>
      <c r="PVZ78" s="548"/>
      <c r="PWA78" s="548"/>
      <c r="PWB78" s="548"/>
      <c r="PWC78" s="548"/>
      <c r="PWD78" s="452"/>
      <c r="PWE78" s="596"/>
      <c r="PWF78" s="548"/>
      <c r="PWG78" s="548"/>
      <c r="PWH78" s="548"/>
      <c r="PWI78" s="548"/>
      <c r="PWJ78" s="548"/>
      <c r="PWK78" s="452"/>
      <c r="PWL78" s="596"/>
      <c r="PWM78" s="548"/>
      <c r="PWN78" s="548"/>
      <c r="PWO78" s="548"/>
      <c r="PWP78" s="548"/>
      <c r="PWQ78" s="548"/>
      <c r="PWR78" s="452"/>
      <c r="PWS78" s="596"/>
      <c r="PWT78" s="548"/>
      <c r="PWU78" s="548"/>
      <c r="PWV78" s="548"/>
      <c r="PWW78" s="548"/>
      <c r="PWX78" s="548"/>
      <c r="PWY78" s="452"/>
      <c r="PWZ78" s="596"/>
      <c r="PXA78" s="548"/>
      <c r="PXB78" s="548"/>
      <c r="PXC78" s="548"/>
      <c r="PXD78" s="548"/>
      <c r="PXE78" s="548"/>
      <c r="PXF78" s="452"/>
      <c r="PXG78" s="596"/>
      <c r="PXH78" s="548"/>
      <c r="PXI78" s="548"/>
      <c r="PXJ78" s="548"/>
      <c r="PXK78" s="548"/>
      <c r="PXL78" s="548"/>
      <c r="PXM78" s="452"/>
      <c r="PXN78" s="596"/>
      <c r="PXO78" s="548"/>
      <c r="PXP78" s="548"/>
      <c r="PXQ78" s="548"/>
      <c r="PXR78" s="548"/>
      <c r="PXS78" s="548"/>
      <c r="PXT78" s="452"/>
      <c r="PXU78" s="596"/>
      <c r="PXV78" s="548"/>
      <c r="PXW78" s="548"/>
      <c r="PXX78" s="548"/>
      <c r="PXY78" s="548"/>
      <c r="PXZ78" s="548"/>
      <c r="PYA78" s="452"/>
      <c r="PYB78" s="596"/>
      <c r="PYC78" s="548"/>
      <c r="PYD78" s="548"/>
      <c r="PYE78" s="548"/>
      <c r="PYF78" s="548"/>
      <c r="PYG78" s="548"/>
      <c r="PYH78" s="452"/>
      <c r="PYI78" s="596"/>
      <c r="PYJ78" s="548"/>
      <c r="PYK78" s="548"/>
      <c r="PYL78" s="548"/>
      <c r="PYM78" s="548"/>
      <c r="PYN78" s="548"/>
      <c r="PYO78" s="452"/>
      <c r="PYP78" s="596"/>
      <c r="PYQ78" s="548"/>
      <c r="PYR78" s="548"/>
      <c r="PYS78" s="548"/>
      <c r="PYT78" s="548"/>
      <c r="PYU78" s="548"/>
      <c r="PYV78" s="452"/>
      <c r="PYW78" s="596"/>
      <c r="PYX78" s="548"/>
      <c r="PYY78" s="548"/>
      <c r="PYZ78" s="548"/>
      <c r="PZA78" s="548"/>
      <c r="PZB78" s="548"/>
      <c r="PZC78" s="452"/>
      <c r="PZD78" s="596"/>
      <c r="PZE78" s="548"/>
      <c r="PZF78" s="548"/>
      <c r="PZG78" s="548"/>
      <c r="PZH78" s="548"/>
      <c r="PZI78" s="548"/>
      <c r="PZJ78" s="452"/>
      <c r="PZK78" s="596"/>
      <c r="PZL78" s="548"/>
      <c r="PZM78" s="548"/>
      <c r="PZN78" s="548"/>
      <c r="PZO78" s="548"/>
      <c r="PZP78" s="548"/>
      <c r="PZQ78" s="452"/>
      <c r="PZR78" s="596"/>
      <c r="PZS78" s="548"/>
      <c r="PZT78" s="548"/>
      <c r="PZU78" s="548"/>
      <c r="PZV78" s="548"/>
      <c r="PZW78" s="548"/>
      <c r="PZX78" s="452"/>
      <c r="PZY78" s="596"/>
      <c r="PZZ78" s="548"/>
      <c r="QAA78" s="548"/>
      <c r="QAB78" s="548"/>
      <c r="QAC78" s="548"/>
      <c r="QAD78" s="548"/>
      <c r="QAE78" s="452"/>
      <c r="QAF78" s="596"/>
      <c r="QAG78" s="548"/>
      <c r="QAH78" s="548"/>
      <c r="QAI78" s="548"/>
      <c r="QAJ78" s="548"/>
      <c r="QAK78" s="548"/>
      <c r="QAL78" s="452"/>
      <c r="QAM78" s="596"/>
      <c r="QAN78" s="548"/>
      <c r="QAO78" s="548"/>
      <c r="QAP78" s="548"/>
      <c r="QAQ78" s="548"/>
      <c r="QAR78" s="548"/>
      <c r="QAS78" s="452"/>
      <c r="QAT78" s="596"/>
      <c r="QAU78" s="548"/>
      <c r="QAV78" s="548"/>
      <c r="QAW78" s="548"/>
      <c r="QAX78" s="548"/>
      <c r="QAY78" s="548"/>
      <c r="QAZ78" s="452"/>
      <c r="QBA78" s="596"/>
      <c r="QBB78" s="548"/>
      <c r="QBC78" s="548"/>
      <c r="QBD78" s="548"/>
      <c r="QBE78" s="548"/>
      <c r="QBF78" s="548"/>
      <c r="QBG78" s="452"/>
      <c r="QBH78" s="596"/>
      <c r="QBI78" s="548"/>
      <c r="QBJ78" s="548"/>
      <c r="QBK78" s="548"/>
      <c r="QBL78" s="548"/>
      <c r="QBM78" s="548"/>
      <c r="QBN78" s="452"/>
      <c r="QBO78" s="596"/>
      <c r="QBP78" s="548"/>
      <c r="QBQ78" s="548"/>
      <c r="QBR78" s="548"/>
      <c r="QBS78" s="548"/>
      <c r="QBT78" s="548"/>
      <c r="QBU78" s="452"/>
      <c r="QBV78" s="596"/>
      <c r="QBW78" s="548"/>
      <c r="QBX78" s="548"/>
      <c r="QBY78" s="548"/>
      <c r="QBZ78" s="548"/>
      <c r="QCA78" s="548"/>
      <c r="QCB78" s="452"/>
      <c r="QCC78" s="596"/>
      <c r="QCD78" s="548"/>
      <c r="QCE78" s="548"/>
      <c r="QCF78" s="548"/>
      <c r="QCG78" s="548"/>
      <c r="QCH78" s="548"/>
      <c r="QCI78" s="452"/>
      <c r="QCJ78" s="596"/>
      <c r="QCK78" s="548"/>
      <c r="QCL78" s="548"/>
      <c r="QCM78" s="548"/>
      <c r="QCN78" s="548"/>
      <c r="QCO78" s="548"/>
      <c r="QCP78" s="452"/>
      <c r="QCQ78" s="596"/>
      <c r="QCR78" s="548"/>
      <c r="QCS78" s="548"/>
      <c r="QCT78" s="548"/>
      <c r="QCU78" s="548"/>
      <c r="QCV78" s="548"/>
      <c r="QCW78" s="452"/>
      <c r="QCX78" s="596"/>
      <c r="QCY78" s="548"/>
      <c r="QCZ78" s="548"/>
      <c r="QDA78" s="548"/>
      <c r="QDB78" s="548"/>
      <c r="QDC78" s="548"/>
      <c r="QDD78" s="452"/>
      <c r="QDE78" s="596"/>
      <c r="QDF78" s="548"/>
      <c r="QDG78" s="548"/>
      <c r="QDH78" s="548"/>
      <c r="QDI78" s="548"/>
      <c r="QDJ78" s="548"/>
      <c r="QDK78" s="452"/>
      <c r="QDL78" s="596"/>
      <c r="QDM78" s="548"/>
      <c r="QDN78" s="548"/>
      <c r="QDO78" s="548"/>
      <c r="QDP78" s="548"/>
      <c r="QDQ78" s="548"/>
      <c r="QDR78" s="452"/>
      <c r="QDS78" s="596"/>
      <c r="QDT78" s="548"/>
      <c r="QDU78" s="548"/>
      <c r="QDV78" s="548"/>
      <c r="QDW78" s="548"/>
      <c r="QDX78" s="548"/>
      <c r="QDY78" s="452"/>
      <c r="QDZ78" s="596"/>
      <c r="QEA78" s="548"/>
      <c r="QEB78" s="548"/>
      <c r="QEC78" s="548"/>
      <c r="QED78" s="548"/>
      <c r="QEE78" s="548"/>
      <c r="QEF78" s="452"/>
      <c r="QEG78" s="596"/>
      <c r="QEH78" s="548"/>
      <c r="QEI78" s="548"/>
      <c r="QEJ78" s="548"/>
      <c r="QEK78" s="548"/>
      <c r="QEL78" s="548"/>
      <c r="QEM78" s="452"/>
      <c r="QEN78" s="596"/>
      <c r="QEO78" s="548"/>
      <c r="QEP78" s="548"/>
      <c r="QEQ78" s="548"/>
      <c r="QER78" s="548"/>
      <c r="QES78" s="548"/>
      <c r="QET78" s="452"/>
      <c r="QEU78" s="596"/>
      <c r="QEV78" s="548"/>
      <c r="QEW78" s="548"/>
      <c r="QEX78" s="548"/>
      <c r="QEY78" s="548"/>
      <c r="QEZ78" s="548"/>
      <c r="QFA78" s="452"/>
      <c r="QFB78" s="596"/>
      <c r="QFC78" s="548"/>
      <c r="QFD78" s="548"/>
      <c r="QFE78" s="548"/>
      <c r="QFF78" s="548"/>
      <c r="QFG78" s="548"/>
      <c r="QFH78" s="452"/>
      <c r="QFI78" s="596"/>
      <c r="QFJ78" s="548"/>
      <c r="QFK78" s="548"/>
      <c r="QFL78" s="548"/>
      <c r="QFM78" s="548"/>
      <c r="QFN78" s="548"/>
      <c r="QFO78" s="452"/>
      <c r="QFP78" s="596"/>
      <c r="QFQ78" s="548"/>
      <c r="QFR78" s="548"/>
      <c r="QFS78" s="548"/>
      <c r="QFT78" s="548"/>
      <c r="QFU78" s="548"/>
      <c r="QFV78" s="452"/>
      <c r="QFW78" s="596"/>
      <c r="QFX78" s="548"/>
      <c r="QFY78" s="548"/>
      <c r="QFZ78" s="548"/>
      <c r="QGA78" s="548"/>
      <c r="QGB78" s="548"/>
      <c r="QGC78" s="452"/>
      <c r="QGD78" s="596"/>
      <c r="QGE78" s="548"/>
      <c r="QGF78" s="548"/>
      <c r="QGG78" s="548"/>
      <c r="QGH78" s="548"/>
      <c r="QGI78" s="548"/>
      <c r="QGJ78" s="452"/>
      <c r="QGK78" s="596"/>
      <c r="QGL78" s="548"/>
      <c r="QGM78" s="548"/>
      <c r="QGN78" s="548"/>
      <c r="QGO78" s="548"/>
      <c r="QGP78" s="548"/>
      <c r="QGQ78" s="452"/>
      <c r="QGR78" s="596"/>
      <c r="QGS78" s="548"/>
      <c r="QGT78" s="548"/>
      <c r="QGU78" s="548"/>
      <c r="QGV78" s="548"/>
      <c r="QGW78" s="548"/>
      <c r="QGX78" s="452"/>
      <c r="QGY78" s="596"/>
      <c r="QGZ78" s="548"/>
      <c r="QHA78" s="548"/>
      <c r="QHB78" s="548"/>
      <c r="QHC78" s="548"/>
      <c r="QHD78" s="548"/>
      <c r="QHE78" s="452"/>
      <c r="QHF78" s="596"/>
      <c r="QHG78" s="548"/>
      <c r="QHH78" s="548"/>
      <c r="QHI78" s="548"/>
      <c r="QHJ78" s="548"/>
      <c r="QHK78" s="548"/>
      <c r="QHL78" s="452"/>
      <c r="QHM78" s="596"/>
      <c r="QHN78" s="548"/>
      <c r="QHO78" s="548"/>
      <c r="QHP78" s="548"/>
      <c r="QHQ78" s="548"/>
      <c r="QHR78" s="548"/>
      <c r="QHS78" s="452"/>
      <c r="QHT78" s="596"/>
      <c r="QHU78" s="548"/>
      <c r="QHV78" s="548"/>
      <c r="QHW78" s="548"/>
      <c r="QHX78" s="548"/>
      <c r="QHY78" s="548"/>
      <c r="QHZ78" s="452"/>
      <c r="QIA78" s="596"/>
      <c r="QIB78" s="548"/>
      <c r="QIC78" s="548"/>
      <c r="QID78" s="548"/>
      <c r="QIE78" s="548"/>
      <c r="QIF78" s="548"/>
      <c r="QIG78" s="452"/>
      <c r="QIH78" s="596"/>
      <c r="QII78" s="548"/>
      <c r="QIJ78" s="548"/>
      <c r="QIK78" s="548"/>
      <c r="QIL78" s="548"/>
      <c r="QIM78" s="548"/>
      <c r="QIN78" s="452"/>
      <c r="QIO78" s="596"/>
      <c r="QIP78" s="548"/>
      <c r="QIQ78" s="548"/>
      <c r="QIR78" s="548"/>
      <c r="QIS78" s="548"/>
      <c r="QIT78" s="548"/>
      <c r="QIU78" s="452"/>
      <c r="QIV78" s="596"/>
      <c r="QIW78" s="548"/>
      <c r="QIX78" s="548"/>
      <c r="QIY78" s="548"/>
      <c r="QIZ78" s="548"/>
      <c r="QJA78" s="548"/>
      <c r="QJB78" s="452"/>
      <c r="QJC78" s="596"/>
      <c r="QJD78" s="548"/>
      <c r="QJE78" s="548"/>
      <c r="QJF78" s="548"/>
      <c r="QJG78" s="548"/>
      <c r="QJH78" s="548"/>
      <c r="QJI78" s="452"/>
      <c r="QJJ78" s="596"/>
      <c r="QJK78" s="548"/>
      <c r="QJL78" s="548"/>
      <c r="QJM78" s="548"/>
      <c r="QJN78" s="548"/>
      <c r="QJO78" s="548"/>
      <c r="QJP78" s="452"/>
      <c r="QJQ78" s="596"/>
      <c r="QJR78" s="548"/>
      <c r="QJS78" s="548"/>
      <c r="QJT78" s="548"/>
      <c r="QJU78" s="548"/>
      <c r="QJV78" s="548"/>
      <c r="QJW78" s="452"/>
      <c r="QJX78" s="596"/>
      <c r="QJY78" s="548"/>
      <c r="QJZ78" s="548"/>
      <c r="QKA78" s="548"/>
      <c r="QKB78" s="548"/>
      <c r="QKC78" s="548"/>
      <c r="QKD78" s="452"/>
      <c r="QKE78" s="596"/>
      <c r="QKF78" s="548"/>
      <c r="QKG78" s="548"/>
      <c r="QKH78" s="548"/>
      <c r="QKI78" s="548"/>
      <c r="QKJ78" s="548"/>
      <c r="QKK78" s="452"/>
      <c r="QKL78" s="596"/>
      <c r="QKM78" s="548"/>
      <c r="QKN78" s="548"/>
      <c r="QKO78" s="548"/>
      <c r="QKP78" s="548"/>
      <c r="QKQ78" s="548"/>
      <c r="QKR78" s="452"/>
      <c r="QKS78" s="596"/>
      <c r="QKT78" s="548"/>
      <c r="QKU78" s="548"/>
      <c r="QKV78" s="548"/>
      <c r="QKW78" s="548"/>
      <c r="QKX78" s="548"/>
      <c r="QKY78" s="452"/>
      <c r="QKZ78" s="596"/>
      <c r="QLA78" s="548"/>
      <c r="QLB78" s="548"/>
      <c r="QLC78" s="548"/>
      <c r="QLD78" s="548"/>
      <c r="QLE78" s="548"/>
      <c r="QLF78" s="452"/>
      <c r="QLG78" s="596"/>
      <c r="QLH78" s="548"/>
      <c r="QLI78" s="548"/>
      <c r="QLJ78" s="548"/>
      <c r="QLK78" s="548"/>
      <c r="QLL78" s="548"/>
      <c r="QLM78" s="452"/>
      <c r="QLN78" s="596"/>
      <c r="QLO78" s="548"/>
      <c r="QLP78" s="548"/>
      <c r="QLQ78" s="548"/>
      <c r="QLR78" s="548"/>
      <c r="QLS78" s="548"/>
      <c r="QLT78" s="452"/>
      <c r="QLU78" s="596"/>
      <c r="QLV78" s="548"/>
      <c r="QLW78" s="548"/>
      <c r="QLX78" s="548"/>
      <c r="QLY78" s="548"/>
      <c r="QLZ78" s="548"/>
      <c r="QMA78" s="452"/>
      <c r="QMB78" s="596"/>
      <c r="QMC78" s="548"/>
      <c r="QMD78" s="548"/>
      <c r="QME78" s="548"/>
      <c r="QMF78" s="548"/>
      <c r="QMG78" s="548"/>
      <c r="QMH78" s="452"/>
      <c r="QMI78" s="596"/>
      <c r="QMJ78" s="548"/>
      <c r="QMK78" s="548"/>
      <c r="QML78" s="548"/>
      <c r="QMM78" s="548"/>
      <c r="QMN78" s="548"/>
      <c r="QMO78" s="452"/>
      <c r="QMP78" s="596"/>
      <c r="QMQ78" s="548"/>
      <c r="QMR78" s="548"/>
      <c r="QMS78" s="548"/>
      <c r="QMT78" s="548"/>
      <c r="QMU78" s="548"/>
      <c r="QMV78" s="452"/>
      <c r="QMW78" s="596"/>
      <c r="QMX78" s="548"/>
      <c r="QMY78" s="548"/>
      <c r="QMZ78" s="548"/>
      <c r="QNA78" s="548"/>
      <c r="QNB78" s="548"/>
      <c r="QNC78" s="452"/>
      <c r="QND78" s="596"/>
      <c r="QNE78" s="548"/>
      <c r="QNF78" s="548"/>
      <c r="QNG78" s="548"/>
      <c r="QNH78" s="548"/>
      <c r="QNI78" s="548"/>
      <c r="QNJ78" s="452"/>
      <c r="QNK78" s="596"/>
      <c r="QNL78" s="548"/>
      <c r="QNM78" s="548"/>
      <c r="QNN78" s="548"/>
      <c r="QNO78" s="548"/>
      <c r="QNP78" s="548"/>
      <c r="QNQ78" s="452"/>
      <c r="QNR78" s="596"/>
      <c r="QNS78" s="548"/>
      <c r="QNT78" s="548"/>
      <c r="QNU78" s="548"/>
      <c r="QNV78" s="548"/>
      <c r="QNW78" s="548"/>
      <c r="QNX78" s="452"/>
      <c r="QNY78" s="596"/>
      <c r="QNZ78" s="548"/>
      <c r="QOA78" s="548"/>
      <c r="QOB78" s="548"/>
      <c r="QOC78" s="548"/>
      <c r="QOD78" s="548"/>
      <c r="QOE78" s="452"/>
      <c r="QOF78" s="596"/>
      <c r="QOG78" s="548"/>
      <c r="QOH78" s="548"/>
      <c r="QOI78" s="548"/>
      <c r="QOJ78" s="548"/>
      <c r="QOK78" s="548"/>
      <c r="QOL78" s="452"/>
      <c r="QOM78" s="596"/>
      <c r="QON78" s="548"/>
      <c r="QOO78" s="548"/>
      <c r="QOP78" s="548"/>
      <c r="QOQ78" s="548"/>
      <c r="QOR78" s="548"/>
      <c r="QOS78" s="452"/>
      <c r="QOT78" s="596"/>
      <c r="QOU78" s="548"/>
      <c r="QOV78" s="548"/>
      <c r="QOW78" s="548"/>
      <c r="QOX78" s="548"/>
      <c r="QOY78" s="548"/>
      <c r="QOZ78" s="452"/>
      <c r="QPA78" s="596"/>
      <c r="QPB78" s="548"/>
      <c r="QPC78" s="548"/>
      <c r="QPD78" s="548"/>
      <c r="QPE78" s="548"/>
      <c r="QPF78" s="548"/>
      <c r="QPG78" s="452"/>
      <c r="QPH78" s="596"/>
      <c r="QPI78" s="548"/>
      <c r="QPJ78" s="548"/>
      <c r="QPK78" s="548"/>
      <c r="QPL78" s="548"/>
      <c r="QPM78" s="548"/>
      <c r="QPN78" s="452"/>
      <c r="QPO78" s="596"/>
      <c r="QPP78" s="548"/>
      <c r="QPQ78" s="548"/>
      <c r="QPR78" s="548"/>
      <c r="QPS78" s="548"/>
      <c r="QPT78" s="548"/>
      <c r="QPU78" s="452"/>
      <c r="QPV78" s="596"/>
      <c r="QPW78" s="548"/>
      <c r="QPX78" s="548"/>
      <c r="QPY78" s="548"/>
      <c r="QPZ78" s="548"/>
      <c r="QQA78" s="548"/>
      <c r="QQB78" s="452"/>
      <c r="QQC78" s="596"/>
      <c r="QQD78" s="548"/>
      <c r="QQE78" s="548"/>
      <c r="QQF78" s="548"/>
      <c r="QQG78" s="548"/>
      <c r="QQH78" s="548"/>
      <c r="QQI78" s="452"/>
      <c r="QQJ78" s="596"/>
      <c r="QQK78" s="548"/>
      <c r="QQL78" s="548"/>
      <c r="QQM78" s="548"/>
      <c r="QQN78" s="548"/>
      <c r="QQO78" s="548"/>
      <c r="QQP78" s="452"/>
      <c r="QQQ78" s="596"/>
      <c r="QQR78" s="548"/>
      <c r="QQS78" s="548"/>
      <c r="QQT78" s="548"/>
      <c r="QQU78" s="548"/>
      <c r="QQV78" s="548"/>
      <c r="QQW78" s="452"/>
      <c r="QQX78" s="596"/>
      <c r="QQY78" s="548"/>
      <c r="QQZ78" s="548"/>
      <c r="QRA78" s="548"/>
      <c r="QRB78" s="548"/>
      <c r="QRC78" s="548"/>
      <c r="QRD78" s="452"/>
      <c r="QRE78" s="596"/>
      <c r="QRF78" s="548"/>
      <c r="QRG78" s="548"/>
      <c r="QRH78" s="548"/>
      <c r="QRI78" s="548"/>
      <c r="QRJ78" s="548"/>
      <c r="QRK78" s="452"/>
      <c r="QRL78" s="596"/>
      <c r="QRM78" s="548"/>
      <c r="QRN78" s="548"/>
      <c r="QRO78" s="548"/>
      <c r="QRP78" s="548"/>
      <c r="QRQ78" s="548"/>
      <c r="QRR78" s="452"/>
      <c r="QRS78" s="596"/>
      <c r="QRT78" s="548"/>
      <c r="QRU78" s="548"/>
      <c r="QRV78" s="548"/>
      <c r="QRW78" s="548"/>
      <c r="QRX78" s="548"/>
      <c r="QRY78" s="452"/>
      <c r="QRZ78" s="596"/>
      <c r="QSA78" s="548"/>
      <c r="QSB78" s="548"/>
      <c r="QSC78" s="548"/>
      <c r="QSD78" s="548"/>
      <c r="QSE78" s="548"/>
      <c r="QSF78" s="452"/>
      <c r="QSG78" s="596"/>
      <c r="QSH78" s="548"/>
      <c r="QSI78" s="548"/>
      <c r="QSJ78" s="548"/>
      <c r="QSK78" s="548"/>
      <c r="QSL78" s="548"/>
      <c r="QSM78" s="452"/>
      <c r="QSN78" s="596"/>
      <c r="QSO78" s="548"/>
      <c r="QSP78" s="548"/>
      <c r="QSQ78" s="548"/>
      <c r="QSR78" s="548"/>
      <c r="QSS78" s="548"/>
      <c r="QST78" s="452"/>
      <c r="QSU78" s="596"/>
      <c r="QSV78" s="548"/>
      <c r="QSW78" s="548"/>
      <c r="QSX78" s="548"/>
      <c r="QSY78" s="548"/>
      <c r="QSZ78" s="548"/>
      <c r="QTA78" s="452"/>
      <c r="QTB78" s="596"/>
      <c r="QTC78" s="548"/>
      <c r="QTD78" s="548"/>
      <c r="QTE78" s="548"/>
      <c r="QTF78" s="548"/>
      <c r="QTG78" s="548"/>
      <c r="QTH78" s="452"/>
      <c r="QTI78" s="596"/>
      <c r="QTJ78" s="548"/>
      <c r="QTK78" s="548"/>
      <c r="QTL78" s="548"/>
      <c r="QTM78" s="548"/>
      <c r="QTN78" s="548"/>
      <c r="QTO78" s="452"/>
      <c r="QTP78" s="596"/>
      <c r="QTQ78" s="548"/>
      <c r="QTR78" s="548"/>
      <c r="QTS78" s="548"/>
      <c r="QTT78" s="548"/>
      <c r="QTU78" s="548"/>
      <c r="QTV78" s="452"/>
      <c r="QTW78" s="596"/>
      <c r="QTX78" s="548"/>
      <c r="QTY78" s="548"/>
      <c r="QTZ78" s="548"/>
      <c r="QUA78" s="548"/>
      <c r="QUB78" s="548"/>
      <c r="QUC78" s="452"/>
      <c r="QUD78" s="596"/>
      <c r="QUE78" s="548"/>
      <c r="QUF78" s="548"/>
      <c r="QUG78" s="548"/>
      <c r="QUH78" s="548"/>
      <c r="QUI78" s="548"/>
      <c r="QUJ78" s="452"/>
      <c r="QUK78" s="596"/>
      <c r="QUL78" s="548"/>
      <c r="QUM78" s="548"/>
      <c r="QUN78" s="548"/>
      <c r="QUO78" s="548"/>
      <c r="QUP78" s="548"/>
      <c r="QUQ78" s="452"/>
      <c r="QUR78" s="596"/>
      <c r="QUS78" s="548"/>
      <c r="QUT78" s="548"/>
      <c r="QUU78" s="548"/>
      <c r="QUV78" s="548"/>
      <c r="QUW78" s="548"/>
      <c r="QUX78" s="452"/>
      <c r="QUY78" s="596"/>
      <c r="QUZ78" s="548"/>
      <c r="QVA78" s="548"/>
      <c r="QVB78" s="548"/>
      <c r="QVC78" s="548"/>
      <c r="QVD78" s="548"/>
      <c r="QVE78" s="452"/>
      <c r="QVF78" s="596"/>
      <c r="QVG78" s="548"/>
      <c r="QVH78" s="548"/>
      <c r="QVI78" s="548"/>
      <c r="QVJ78" s="548"/>
      <c r="QVK78" s="548"/>
      <c r="QVL78" s="452"/>
      <c r="QVM78" s="596"/>
      <c r="QVN78" s="548"/>
      <c r="QVO78" s="548"/>
      <c r="QVP78" s="548"/>
      <c r="QVQ78" s="548"/>
      <c r="QVR78" s="548"/>
      <c r="QVS78" s="452"/>
      <c r="QVT78" s="596"/>
      <c r="QVU78" s="548"/>
      <c r="QVV78" s="548"/>
      <c r="QVW78" s="548"/>
      <c r="QVX78" s="548"/>
      <c r="QVY78" s="548"/>
      <c r="QVZ78" s="452"/>
      <c r="QWA78" s="596"/>
      <c r="QWB78" s="548"/>
      <c r="QWC78" s="548"/>
      <c r="QWD78" s="548"/>
      <c r="QWE78" s="548"/>
      <c r="QWF78" s="548"/>
      <c r="QWG78" s="452"/>
      <c r="QWH78" s="596"/>
      <c r="QWI78" s="548"/>
      <c r="QWJ78" s="548"/>
      <c r="QWK78" s="548"/>
      <c r="QWL78" s="548"/>
      <c r="QWM78" s="548"/>
      <c r="QWN78" s="452"/>
      <c r="QWO78" s="596"/>
      <c r="QWP78" s="548"/>
      <c r="QWQ78" s="548"/>
      <c r="QWR78" s="548"/>
      <c r="QWS78" s="548"/>
      <c r="QWT78" s="548"/>
      <c r="QWU78" s="452"/>
      <c r="QWV78" s="596"/>
      <c r="QWW78" s="548"/>
      <c r="QWX78" s="548"/>
      <c r="QWY78" s="548"/>
      <c r="QWZ78" s="548"/>
      <c r="QXA78" s="548"/>
      <c r="QXB78" s="452"/>
      <c r="QXC78" s="596"/>
      <c r="QXD78" s="548"/>
      <c r="QXE78" s="548"/>
      <c r="QXF78" s="548"/>
      <c r="QXG78" s="548"/>
      <c r="QXH78" s="548"/>
      <c r="QXI78" s="452"/>
      <c r="QXJ78" s="596"/>
      <c r="QXK78" s="548"/>
      <c r="QXL78" s="548"/>
      <c r="QXM78" s="548"/>
      <c r="QXN78" s="548"/>
      <c r="QXO78" s="548"/>
      <c r="QXP78" s="452"/>
      <c r="QXQ78" s="596"/>
      <c r="QXR78" s="548"/>
      <c r="QXS78" s="548"/>
      <c r="QXT78" s="548"/>
      <c r="QXU78" s="548"/>
      <c r="QXV78" s="548"/>
      <c r="QXW78" s="452"/>
      <c r="QXX78" s="596"/>
      <c r="QXY78" s="548"/>
      <c r="QXZ78" s="548"/>
      <c r="QYA78" s="548"/>
      <c r="QYB78" s="548"/>
      <c r="QYC78" s="548"/>
      <c r="QYD78" s="452"/>
      <c r="QYE78" s="596"/>
      <c r="QYF78" s="548"/>
      <c r="QYG78" s="548"/>
      <c r="QYH78" s="548"/>
      <c r="QYI78" s="548"/>
      <c r="QYJ78" s="548"/>
      <c r="QYK78" s="452"/>
      <c r="QYL78" s="596"/>
      <c r="QYM78" s="548"/>
      <c r="QYN78" s="548"/>
      <c r="QYO78" s="548"/>
      <c r="QYP78" s="548"/>
      <c r="QYQ78" s="548"/>
      <c r="QYR78" s="452"/>
      <c r="QYS78" s="596"/>
      <c r="QYT78" s="548"/>
      <c r="QYU78" s="548"/>
      <c r="QYV78" s="548"/>
      <c r="QYW78" s="548"/>
      <c r="QYX78" s="548"/>
      <c r="QYY78" s="452"/>
      <c r="QYZ78" s="596"/>
      <c r="QZA78" s="548"/>
      <c r="QZB78" s="548"/>
      <c r="QZC78" s="548"/>
      <c r="QZD78" s="548"/>
      <c r="QZE78" s="548"/>
      <c r="QZF78" s="452"/>
      <c r="QZG78" s="596"/>
      <c r="QZH78" s="548"/>
      <c r="QZI78" s="548"/>
      <c r="QZJ78" s="548"/>
      <c r="QZK78" s="548"/>
      <c r="QZL78" s="548"/>
      <c r="QZM78" s="452"/>
      <c r="QZN78" s="596"/>
      <c r="QZO78" s="548"/>
      <c r="QZP78" s="548"/>
      <c r="QZQ78" s="548"/>
      <c r="QZR78" s="548"/>
      <c r="QZS78" s="548"/>
      <c r="QZT78" s="452"/>
      <c r="QZU78" s="596"/>
      <c r="QZV78" s="548"/>
      <c r="QZW78" s="548"/>
      <c r="QZX78" s="548"/>
      <c r="QZY78" s="548"/>
      <c r="QZZ78" s="548"/>
      <c r="RAA78" s="452"/>
      <c r="RAB78" s="596"/>
      <c r="RAC78" s="548"/>
      <c r="RAD78" s="548"/>
      <c r="RAE78" s="548"/>
      <c r="RAF78" s="548"/>
      <c r="RAG78" s="548"/>
      <c r="RAH78" s="452"/>
      <c r="RAI78" s="596"/>
      <c r="RAJ78" s="548"/>
      <c r="RAK78" s="548"/>
      <c r="RAL78" s="548"/>
      <c r="RAM78" s="548"/>
      <c r="RAN78" s="548"/>
      <c r="RAO78" s="452"/>
      <c r="RAP78" s="596"/>
      <c r="RAQ78" s="548"/>
      <c r="RAR78" s="548"/>
      <c r="RAS78" s="548"/>
      <c r="RAT78" s="548"/>
      <c r="RAU78" s="548"/>
      <c r="RAV78" s="452"/>
      <c r="RAW78" s="596"/>
      <c r="RAX78" s="548"/>
      <c r="RAY78" s="548"/>
      <c r="RAZ78" s="548"/>
      <c r="RBA78" s="548"/>
      <c r="RBB78" s="548"/>
      <c r="RBC78" s="452"/>
      <c r="RBD78" s="596"/>
      <c r="RBE78" s="548"/>
      <c r="RBF78" s="548"/>
      <c r="RBG78" s="548"/>
      <c r="RBH78" s="548"/>
      <c r="RBI78" s="548"/>
      <c r="RBJ78" s="452"/>
      <c r="RBK78" s="596"/>
      <c r="RBL78" s="548"/>
      <c r="RBM78" s="548"/>
      <c r="RBN78" s="548"/>
      <c r="RBO78" s="548"/>
      <c r="RBP78" s="548"/>
      <c r="RBQ78" s="452"/>
      <c r="RBR78" s="596"/>
      <c r="RBS78" s="548"/>
      <c r="RBT78" s="548"/>
      <c r="RBU78" s="548"/>
      <c r="RBV78" s="548"/>
      <c r="RBW78" s="548"/>
      <c r="RBX78" s="452"/>
      <c r="RBY78" s="596"/>
      <c r="RBZ78" s="548"/>
      <c r="RCA78" s="548"/>
      <c r="RCB78" s="548"/>
      <c r="RCC78" s="548"/>
      <c r="RCD78" s="548"/>
      <c r="RCE78" s="452"/>
      <c r="RCF78" s="596"/>
      <c r="RCG78" s="548"/>
      <c r="RCH78" s="548"/>
      <c r="RCI78" s="548"/>
      <c r="RCJ78" s="548"/>
      <c r="RCK78" s="548"/>
      <c r="RCL78" s="452"/>
      <c r="RCM78" s="596"/>
      <c r="RCN78" s="548"/>
      <c r="RCO78" s="548"/>
      <c r="RCP78" s="548"/>
      <c r="RCQ78" s="548"/>
      <c r="RCR78" s="548"/>
      <c r="RCS78" s="452"/>
      <c r="RCT78" s="596"/>
      <c r="RCU78" s="548"/>
      <c r="RCV78" s="548"/>
      <c r="RCW78" s="548"/>
      <c r="RCX78" s="548"/>
      <c r="RCY78" s="548"/>
      <c r="RCZ78" s="452"/>
      <c r="RDA78" s="596"/>
      <c r="RDB78" s="548"/>
      <c r="RDC78" s="548"/>
      <c r="RDD78" s="548"/>
      <c r="RDE78" s="548"/>
      <c r="RDF78" s="548"/>
      <c r="RDG78" s="452"/>
      <c r="RDH78" s="596"/>
      <c r="RDI78" s="548"/>
      <c r="RDJ78" s="548"/>
      <c r="RDK78" s="548"/>
      <c r="RDL78" s="548"/>
      <c r="RDM78" s="548"/>
      <c r="RDN78" s="452"/>
      <c r="RDO78" s="596"/>
      <c r="RDP78" s="548"/>
      <c r="RDQ78" s="548"/>
      <c r="RDR78" s="548"/>
      <c r="RDS78" s="548"/>
      <c r="RDT78" s="548"/>
      <c r="RDU78" s="452"/>
      <c r="RDV78" s="596"/>
      <c r="RDW78" s="548"/>
      <c r="RDX78" s="548"/>
      <c r="RDY78" s="548"/>
      <c r="RDZ78" s="548"/>
      <c r="REA78" s="548"/>
      <c r="REB78" s="452"/>
      <c r="REC78" s="596"/>
      <c r="RED78" s="548"/>
      <c r="REE78" s="548"/>
      <c r="REF78" s="548"/>
      <c r="REG78" s="548"/>
      <c r="REH78" s="548"/>
      <c r="REI78" s="452"/>
      <c r="REJ78" s="596"/>
      <c r="REK78" s="548"/>
      <c r="REL78" s="548"/>
      <c r="REM78" s="548"/>
      <c r="REN78" s="548"/>
      <c r="REO78" s="548"/>
      <c r="REP78" s="452"/>
      <c r="REQ78" s="596"/>
      <c r="RER78" s="548"/>
      <c r="RES78" s="548"/>
      <c r="RET78" s="548"/>
      <c r="REU78" s="548"/>
      <c r="REV78" s="548"/>
      <c r="REW78" s="452"/>
      <c r="REX78" s="596"/>
      <c r="REY78" s="548"/>
      <c r="REZ78" s="548"/>
      <c r="RFA78" s="548"/>
      <c r="RFB78" s="548"/>
      <c r="RFC78" s="548"/>
      <c r="RFD78" s="452"/>
      <c r="RFE78" s="596"/>
      <c r="RFF78" s="548"/>
      <c r="RFG78" s="548"/>
      <c r="RFH78" s="548"/>
      <c r="RFI78" s="548"/>
      <c r="RFJ78" s="548"/>
      <c r="RFK78" s="452"/>
      <c r="RFL78" s="596"/>
      <c r="RFM78" s="548"/>
      <c r="RFN78" s="548"/>
      <c r="RFO78" s="548"/>
      <c r="RFP78" s="548"/>
      <c r="RFQ78" s="548"/>
      <c r="RFR78" s="452"/>
      <c r="RFS78" s="596"/>
      <c r="RFT78" s="548"/>
      <c r="RFU78" s="548"/>
      <c r="RFV78" s="548"/>
      <c r="RFW78" s="548"/>
      <c r="RFX78" s="548"/>
      <c r="RFY78" s="452"/>
      <c r="RFZ78" s="596"/>
      <c r="RGA78" s="548"/>
      <c r="RGB78" s="548"/>
      <c r="RGC78" s="548"/>
      <c r="RGD78" s="548"/>
      <c r="RGE78" s="548"/>
      <c r="RGF78" s="452"/>
      <c r="RGG78" s="596"/>
      <c r="RGH78" s="548"/>
      <c r="RGI78" s="548"/>
      <c r="RGJ78" s="548"/>
      <c r="RGK78" s="548"/>
      <c r="RGL78" s="548"/>
      <c r="RGM78" s="452"/>
      <c r="RGN78" s="596"/>
      <c r="RGO78" s="548"/>
      <c r="RGP78" s="548"/>
      <c r="RGQ78" s="548"/>
      <c r="RGR78" s="548"/>
      <c r="RGS78" s="548"/>
      <c r="RGT78" s="452"/>
      <c r="RGU78" s="596"/>
      <c r="RGV78" s="548"/>
      <c r="RGW78" s="548"/>
      <c r="RGX78" s="548"/>
      <c r="RGY78" s="548"/>
      <c r="RGZ78" s="548"/>
      <c r="RHA78" s="452"/>
      <c r="RHB78" s="596"/>
      <c r="RHC78" s="548"/>
      <c r="RHD78" s="548"/>
      <c r="RHE78" s="548"/>
      <c r="RHF78" s="548"/>
      <c r="RHG78" s="548"/>
      <c r="RHH78" s="452"/>
      <c r="RHI78" s="596"/>
      <c r="RHJ78" s="548"/>
      <c r="RHK78" s="548"/>
      <c r="RHL78" s="548"/>
      <c r="RHM78" s="548"/>
      <c r="RHN78" s="548"/>
      <c r="RHO78" s="452"/>
      <c r="RHP78" s="596"/>
      <c r="RHQ78" s="548"/>
      <c r="RHR78" s="548"/>
      <c r="RHS78" s="548"/>
      <c r="RHT78" s="548"/>
      <c r="RHU78" s="548"/>
      <c r="RHV78" s="452"/>
      <c r="RHW78" s="596"/>
      <c r="RHX78" s="548"/>
      <c r="RHY78" s="548"/>
      <c r="RHZ78" s="548"/>
      <c r="RIA78" s="548"/>
      <c r="RIB78" s="548"/>
      <c r="RIC78" s="452"/>
      <c r="RID78" s="596"/>
      <c r="RIE78" s="548"/>
      <c r="RIF78" s="548"/>
      <c r="RIG78" s="548"/>
      <c r="RIH78" s="548"/>
      <c r="RII78" s="548"/>
      <c r="RIJ78" s="452"/>
      <c r="RIK78" s="596"/>
      <c r="RIL78" s="548"/>
      <c r="RIM78" s="548"/>
      <c r="RIN78" s="548"/>
      <c r="RIO78" s="548"/>
      <c r="RIP78" s="548"/>
      <c r="RIQ78" s="452"/>
      <c r="RIR78" s="596"/>
      <c r="RIS78" s="548"/>
      <c r="RIT78" s="548"/>
      <c r="RIU78" s="548"/>
      <c r="RIV78" s="548"/>
      <c r="RIW78" s="548"/>
      <c r="RIX78" s="452"/>
      <c r="RIY78" s="596"/>
      <c r="RIZ78" s="548"/>
      <c r="RJA78" s="548"/>
      <c r="RJB78" s="548"/>
      <c r="RJC78" s="548"/>
      <c r="RJD78" s="548"/>
      <c r="RJE78" s="452"/>
      <c r="RJF78" s="596"/>
      <c r="RJG78" s="548"/>
      <c r="RJH78" s="548"/>
      <c r="RJI78" s="548"/>
      <c r="RJJ78" s="548"/>
      <c r="RJK78" s="548"/>
      <c r="RJL78" s="452"/>
      <c r="RJM78" s="596"/>
      <c r="RJN78" s="548"/>
      <c r="RJO78" s="548"/>
      <c r="RJP78" s="548"/>
      <c r="RJQ78" s="548"/>
      <c r="RJR78" s="548"/>
      <c r="RJS78" s="452"/>
      <c r="RJT78" s="596"/>
      <c r="RJU78" s="548"/>
      <c r="RJV78" s="548"/>
      <c r="RJW78" s="548"/>
      <c r="RJX78" s="548"/>
      <c r="RJY78" s="548"/>
      <c r="RJZ78" s="452"/>
      <c r="RKA78" s="596"/>
      <c r="RKB78" s="548"/>
      <c r="RKC78" s="548"/>
      <c r="RKD78" s="548"/>
      <c r="RKE78" s="548"/>
      <c r="RKF78" s="548"/>
      <c r="RKG78" s="452"/>
      <c r="RKH78" s="596"/>
      <c r="RKI78" s="548"/>
      <c r="RKJ78" s="548"/>
      <c r="RKK78" s="548"/>
      <c r="RKL78" s="548"/>
      <c r="RKM78" s="548"/>
      <c r="RKN78" s="452"/>
      <c r="RKO78" s="596"/>
      <c r="RKP78" s="548"/>
      <c r="RKQ78" s="548"/>
      <c r="RKR78" s="548"/>
      <c r="RKS78" s="548"/>
      <c r="RKT78" s="548"/>
      <c r="RKU78" s="452"/>
      <c r="RKV78" s="596"/>
      <c r="RKW78" s="548"/>
      <c r="RKX78" s="548"/>
      <c r="RKY78" s="548"/>
      <c r="RKZ78" s="548"/>
      <c r="RLA78" s="548"/>
      <c r="RLB78" s="452"/>
      <c r="RLC78" s="596"/>
      <c r="RLD78" s="548"/>
      <c r="RLE78" s="548"/>
      <c r="RLF78" s="548"/>
      <c r="RLG78" s="548"/>
      <c r="RLH78" s="548"/>
      <c r="RLI78" s="452"/>
      <c r="RLJ78" s="596"/>
      <c r="RLK78" s="548"/>
      <c r="RLL78" s="548"/>
      <c r="RLM78" s="548"/>
      <c r="RLN78" s="548"/>
      <c r="RLO78" s="548"/>
      <c r="RLP78" s="452"/>
      <c r="RLQ78" s="596"/>
      <c r="RLR78" s="548"/>
      <c r="RLS78" s="548"/>
      <c r="RLT78" s="548"/>
      <c r="RLU78" s="548"/>
      <c r="RLV78" s="548"/>
      <c r="RLW78" s="452"/>
      <c r="RLX78" s="596"/>
      <c r="RLY78" s="548"/>
      <c r="RLZ78" s="548"/>
      <c r="RMA78" s="548"/>
      <c r="RMB78" s="548"/>
      <c r="RMC78" s="548"/>
      <c r="RMD78" s="452"/>
      <c r="RME78" s="596"/>
      <c r="RMF78" s="548"/>
      <c r="RMG78" s="548"/>
      <c r="RMH78" s="548"/>
      <c r="RMI78" s="548"/>
      <c r="RMJ78" s="548"/>
      <c r="RMK78" s="452"/>
      <c r="RML78" s="596"/>
      <c r="RMM78" s="548"/>
      <c r="RMN78" s="548"/>
      <c r="RMO78" s="548"/>
      <c r="RMP78" s="548"/>
      <c r="RMQ78" s="548"/>
      <c r="RMR78" s="452"/>
      <c r="RMS78" s="596"/>
      <c r="RMT78" s="548"/>
      <c r="RMU78" s="548"/>
      <c r="RMV78" s="548"/>
      <c r="RMW78" s="548"/>
      <c r="RMX78" s="548"/>
      <c r="RMY78" s="452"/>
      <c r="RMZ78" s="596"/>
      <c r="RNA78" s="548"/>
      <c r="RNB78" s="548"/>
      <c r="RNC78" s="548"/>
      <c r="RND78" s="548"/>
      <c r="RNE78" s="548"/>
      <c r="RNF78" s="452"/>
      <c r="RNG78" s="596"/>
      <c r="RNH78" s="548"/>
      <c r="RNI78" s="548"/>
      <c r="RNJ78" s="548"/>
      <c r="RNK78" s="548"/>
      <c r="RNL78" s="548"/>
      <c r="RNM78" s="452"/>
      <c r="RNN78" s="596"/>
      <c r="RNO78" s="548"/>
      <c r="RNP78" s="548"/>
      <c r="RNQ78" s="548"/>
      <c r="RNR78" s="548"/>
      <c r="RNS78" s="548"/>
      <c r="RNT78" s="452"/>
      <c r="RNU78" s="596"/>
      <c r="RNV78" s="548"/>
      <c r="RNW78" s="548"/>
      <c r="RNX78" s="548"/>
      <c r="RNY78" s="548"/>
      <c r="RNZ78" s="548"/>
      <c r="ROA78" s="452"/>
      <c r="ROB78" s="596"/>
      <c r="ROC78" s="548"/>
      <c r="ROD78" s="548"/>
      <c r="ROE78" s="548"/>
      <c r="ROF78" s="548"/>
      <c r="ROG78" s="548"/>
      <c r="ROH78" s="452"/>
      <c r="ROI78" s="596"/>
      <c r="ROJ78" s="548"/>
      <c r="ROK78" s="548"/>
      <c r="ROL78" s="548"/>
      <c r="ROM78" s="548"/>
      <c r="RON78" s="548"/>
      <c r="ROO78" s="452"/>
      <c r="ROP78" s="596"/>
      <c r="ROQ78" s="548"/>
      <c r="ROR78" s="548"/>
      <c r="ROS78" s="548"/>
      <c r="ROT78" s="548"/>
      <c r="ROU78" s="548"/>
      <c r="ROV78" s="452"/>
      <c r="ROW78" s="596"/>
      <c r="ROX78" s="548"/>
      <c r="ROY78" s="548"/>
      <c r="ROZ78" s="548"/>
      <c r="RPA78" s="548"/>
      <c r="RPB78" s="548"/>
      <c r="RPC78" s="452"/>
      <c r="RPD78" s="596"/>
      <c r="RPE78" s="548"/>
      <c r="RPF78" s="548"/>
      <c r="RPG78" s="548"/>
      <c r="RPH78" s="548"/>
      <c r="RPI78" s="548"/>
      <c r="RPJ78" s="452"/>
      <c r="RPK78" s="596"/>
      <c r="RPL78" s="548"/>
      <c r="RPM78" s="548"/>
      <c r="RPN78" s="548"/>
      <c r="RPO78" s="548"/>
      <c r="RPP78" s="548"/>
      <c r="RPQ78" s="452"/>
      <c r="RPR78" s="596"/>
      <c r="RPS78" s="548"/>
      <c r="RPT78" s="548"/>
      <c r="RPU78" s="548"/>
      <c r="RPV78" s="548"/>
      <c r="RPW78" s="548"/>
      <c r="RPX78" s="452"/>
      <c r="RPY78" s="596"/>
      <c r="RPZ78" s="548"/>
      <c r="RQA78" s="548"/>
      <c r="RQB78" s="548"/>
      <c r="RQC78" s="548"/>
      <c r="RQD78" s="548"/>
      <c r="RQE78" s="452"/>
      <c r="RQF78" s="596"/>
      <c r="RQG78" s="548"/>
      <c r="RQH78" s="548"/>
      <c r="RQI78" s="548"/>
      <c r="RQJ78" s="548"/>
      <c r="RQK78" s="548"/>
      <c r="RQL78" s="452"/>
      <c r="RQM78" s="596"/>
      <c r="RQN78" s="548"/>
      <c r="RQO78" s="548"/>
      <c r="RQP78" s="548"/>
      <c r="RQQ78" s="548"/>
      <c r="RQR78" s="548"/>
      <c r="RQS78" s="452"/>
      <c r="RQT78" s="596"/>
      <c r="RQU78" s="548"/>
      <c r="RQV78" s="548"/>
      <c r="RQW78" s="548"/>
      <c r="RQX78" s="548"/>
      <c r="RQY78" s="548"/>
      <c r="RQZ78" s="452"/>
      <c r="RRA78" s="596"/>
      <c r="RRB78" s="548"/>
      <c r="RRC78" s="548"/>
      <c r="RRD78" s="548"/>
      <c r="RRE78" s="548"/>
      <c r="RRF78" s="548"/>
      <c r="RRG78" s="452"/>
      <c r="RRH78" s="596"/>
      <c r="RRI78" s="548"/>
      <c r="RRJ78" s="548"/>
      <c r="RRK78" s="548"/>
      <c r="RRL78" s="548"/>
      <c r="RRM78" s="548"/>
      <c r="RRN78" s="452"/>
      <c r="RRO78" s="596"/>
      <c r="RRP78" s="548"/>
      <c r="RRQ78" s="548"/>
      <c r="RRR78" s="548"/>
      <c r="RRS78" s="548"/>
      <c r="RRT78" s="548"/>
      <c r="RRU78" s="452"/>
      <c r="RRV78" s="596"/>
      <c r="RRW78" s="548"/>
      <c r="RRX78" s="548"/>
      <c r="RRY78" s="548"/>
      <c r="RRZ78" s="548"/>
      <c r="RSA78" s="548"/>
      <c r="RSB78" s="452"/>
      <c r="RSC78" s="596"/>
      <c r="RSD78" s="548"/>
      <c r="RSE78" s="548"/>
      <c r="RSF78" s="548"/>
      <c r="RSG78" s="548"/>
      <c r="RSH78" s="548"/>
      <c r="RSI78" s="452"/>
      <c r="RSJ78" s="596"/>
      <c r="RSK78" s="548"/>
      <c r="RSL78" s="548"/>
      <c r="RSM78" s="548"/>
      <c r="RSN78" s="548"/>
      <c r="RSO78" s="548"/>
      <c r="RSP78" s="452"/>
      <c r="RSQ78" s="596"/>
      <c r="RSR78" s="548"/>
      <c r="RSS78" s="548"/>
      <c r="RST78" s="548"/>
      <c r="RSU78" s="548"/>
      <c r="RSV78" s="548"/>
      <c r="RSW78" s="452"/>
      <c r="RSX78" s="596"/>
      <c r="RSY78" s="548"/>
      <c r="RSZ78" s="548"/>
      <c r="RTA78" s="548"/>
      <c r="RTB78" s="548"/>
      <c r="RTC78" s="548"/>
      <c r="RTD78" s="452"/>
      <c r="RTE78" s="596"/>
      <c r="RTF78" s="548"/>
      <c r="RTG78" s="548"/>
      <c r="RTH78" s="548"/>
      <c r="RTI78" s="548"/>
      <c r="RTJ78" s="548"/>
      <c r="RTK78" s="452"/>
      <c r="RTL78" s="596"/>
      <c r="RTM78" s="548"/>
      <c r="RTN78" s="548"/>
      <c r="RTO78" s="548"/>
      <c r="RTP78" s="548"/>
      <c r="RTQ78" s="548"/>
      <c r="RTR78" s="452"/>
      <c r="RTS78" s="596"/>
      <c r="RTT78" s="548"/>
      <c r="RTU78" s="548"/>
      <c r="RTV78" s="548"/>
      <c r="RTW78" s="548"/>
      <c r="RTX78" s="548"/>
      <c r="RTY78" s="452"/>
      <c r="RTZ78" s="596"/>
      <c r="RUA78" s="548"/>
      <c r="RUB78" s="548"/>
      <c r="RUC78" s="548"/>
      <c r="RUD78" s="548"/>
      <c r="RUE78" s="548"/>
      <c r="RUF78" s="452"/>
      <c r="RUG78" s="596"/>
      <c r="RUH78" s="548"/>
      <c r="RUI78" s="548"/>
      <c r="RUJ78" s="548"/>
      <c r="RUK78" s="548"/>
      <c r="RUL78" s="548"/>
      <c r="RUM78" s="452"/>
      <c r="RUN78" s="596"/>
      <c r="RUO78" s="548"/>
      <c r="RUP78" s="548"/>
      <c r="RUQ78" s="548"/>
      <c r="RUR78" s="548"/>
      <c r="RUS78" s="548"/>
      <c r="RUT78" s="452"/>
      <c r="RUU78" s="596"/>
      <c r="RUV78" s="548"/>
      <c r="RUW78" s="548"/>
      <c r="RUX78" s="548"/>
      <c r="RUY78" s="548"/>
      <c r="RUZ78" s="548"/>
      <c r="RVA78" s="452"/>
      <c r="RVB78" s="596"/>
      <c r="RVC78" s="548"/>
      <c r="RVD78" s="548"/>
      <c r="RVE78" s="548"/>
      <c r="RVF78" s="548"/>
      <c r="RVG78" s="548"/>
      <c r="RVH78" s="452"/>
      <c r="RVI78" s="596"/>
      <c r="RVJ78" s="548"/>
      <c r="RVK78" s="548"/>
      <c r="RVL78" s="548"/>
      <c r="RVM78" s="548"/>
      <c r="RVN78" s="548"/>
      <c r="RVO78" s="452"/>
      <c r="RVP78" s="596"/>
      <c r="RVQ78" s="548"/>
      <c r="RVR78" s="548"/>
      <c r="RVS78" s="548"/>
      <c r="RVT78" s="548"/>
      <c r="RVU78" s="548"/>
      <c r="RVV78" s="452"/>
      <c r="RVW78" s="596"/>
      <c r="RVX78" s="548"/>
      <c r="RVY78" s="548"/>
      <c r="RVZ78" s="548"/>
      <c r="RWA78" s="548"/>
      <c r="RWB78" s="548"/>
      <c r="RWC78" s="452"/>
      <c r="RWD78" s="596"/>
      <c r="RWE78" s="548"/>
      <c r="RWF78" s="548"/>
      <c r="RWG78" s="548"/>
      <c r="RWH78" s="548"/>
      <c r="RWI78" s="548"/>
      <c r="RWJ78" s="452"/>
      <c r="RWK78" s="596"/>
      <c r="RWL78" s="548"/>
      <c r="RWM78" s="548"/>
      <c r="RWN78" s="548"/>
      <c r="RWO78" s="548"/>
      <c r="RWP78" s="548"/>
      <c r="RWQ78" s="452"/>
      <c r="RWR78" s="596"/>
      <c r="RWS78" s="548"/>
      <c r="RWT78" s="548"/>
      <c r="RWU78" s="548"/>
      <c r="RWV78" s="548"/>
      <c r="RWW78" s="548"/>
      <c r="RWX78" s="452"/>
      <c r="RWY78" s="596"/>
      <c r="RWZ78" s="548"/>
      <c r="RXA78" s="548"/>
      <c r="RXB78" s="548"/>
      <c r="RXC78" s="548"/>
      <c r="RXD78" s="548"/>
      <c r="RXE78" s="452"/>
      <c r="RXF78" s="596"/>
      <c r="RXG78" s="548"/>
      <c r="RXH78" s="548"/>
      <c r="RXI78" s="548"/>
      <c r="RXJ78" s="548"/>
      <c r="RXK78" s="548"/>
      <c r="RXL78" s="452"/>
      <c r="RXM78" s="596"/>
      <c r="RXN78" s="548"/>
      <c r="RXO78" s="548"/>
      <c r="RXP78" s="548"/>
      <c r="RXQ78" s="548"/>
      <c r="RXR78" s="548"/>
      <c r="RXS78" s="452"/>
      <c r="RXT78" s="596"/>
      <c r="RXU78" s="548"/>
      <c r="RXV78" s="548"/>
      <c r="RXW78" s="548"/>
      <c r="RXX78" s="548"/>
      <c r="RXY78" s="548"/>
      <c r="RXZ78" s="452"/>
      <c r="RYA78" s="596"/>
      <c r="RYB78" s="548"/>
      <c r="RYC78" s="548"/>
      <c r="RYD78" s="548"/>
      <c r="RYE78" s="548"/>
      <c r="RYF78" s="548"/>
      <c r="RYG78" s="452"/>
      <c r="RYH78" s="596"/>
      <c r="RYI78" s="548"/>
      <c r="RYJ78" s="548"/>
      <c r="RYK78" s="548"/>
      <c r="RYL78" s="548"/>
      <c r="RYM78" s="548"/>
      <c r="RYN78" s="452"/>
      <c r="RYO78" s="596"/>
      <c r="RYP78" s="548"/>
      <c r="RYQ78" s="548"/>
      <c r="RYR78" s="548"/>
      <c r="RYS78" s="548"/>
      <c r="RYT78" s="548"/>
      <c r="RYU78" s="452"/>
      <c r="RYV78" s="596"/>
      <c r="RYW78" s="548"/>
      <c r="RYX78" s="548"/>
      <c r="RYY78" s="548"/>
      <c r="RYZ78" s="548"/>
      <c r="RZA78" s="548"/>
      <c r="RZB78" s="452"/>
      <c r="RZC78" s="596"/>
      <c r="RZD78" s="548"/>
      <c r="RZE78" s="548"/>
      <c r="RZF78" s="548"/>
      <c r="RZG78" s="548"/>
      <c r="RZH78" s="548"/>
      <c r="RZI78" s="452"/>
      <c r="RZJ78" s="596"/>
      <c r="RZK78" s="548"/>
      <c r="RZL78" s="548"/>
      <c r="RZM78" s="548"/>
      <c r="RZN78" s="548"/>
      <c r="RZO78" s="548"/>
      <c r="RZP78" s="452"/>
      <c r="RZQ78" s="596"/>
      <c r="RZR78" s="548"/>
      <c r="RZS78" s="548"/>
      <c r="RZT78" s="548"/>
      <c r="RZU78" s="548"/>
      <c r="RZV78" s="548"/>
      <c r="RZW78" s="452"/>
      <c r="RZX78" s="596"/>
      <c r="RZY78" s="548"/>
      <c r="RZZ78" s="548"/>
      <c r="SAA78" s="548"/>
      <c r="SAB78" s="548"/>
      <c r="SAC78" s="548"/>
      <c r="SAD78" s="452"/>
      <c r="SAE78" s="596"/>
      <c r="SAF78" s="548"/>
      <c r="SAG78" s="548"/>
      <c r="SAH78" s="548"/>
      <c r="SAI78" s="548"/>
      <c r="SAJ78" s="548"/>
      <c r="SAK78" s="452"/>
      <c r="SAL78" s="596"/>
      <c r="SAM78" s="548"/>
      <c r="SAN78" s="548"/>
      <c r="SAO78" s="548"/>
      <c r="SAP78" s="548"/>
      <c r="SAQ78" s="548"/>
      <c r="SAR78" s="452"/>
      <c r="SAS78" s="596"/>
      <c r="SAT78" s="548"/>
      <c r="SAU78" s="548"/>
      <c r="SAV78" s="548"/>
      <c r="SAW78" s="548"/>
      <c r="SAX78" s="548"/>
      <c r="SAY78" s="452"/>
      <c r="SAZ78" s="596"/>
      <c r="SBA78" s="548"/>
      <c r="SBB78" s="548"/>
      <c r="SBC78" s="548"/>
      <c r="SBD78" s="548"/>
      <c r="SBE78" s="548"/>
      <c r="SBF78" s="452"/>
      <c r="SBG78" s="596"/>
      <c r="SBH78" s="548"/>
      <c r="SBI78" s="548"/>
      <c r="SBJ78" s="548"/>
      <c r="SBK78" s="548"/>
      <c r="SBL78" s="548"/>
      <c r="SBM78" s="452"/>
      <c r="SBN78" s="596"/>
      <c r="SBO78" s="548"/>
      <c r="SBP78" s="548"/>
      <c r="SBQ78" s="548"/>
      <c r="SBR78" s="548"/>
      <c r="SBS78" s="548"/>
      <c r="SBT78" s="452"/>
      <c r="SBU78" s="596"/>
      <c r="SBV78" s="548"/>
      <c r="SBW78" s="548"/>
      <c r="SBX78" s="548"/>
      <c r="SBY78" s="548"/>
      <c r="SBZ78" s="548"/>
      <c r="SCA78" s="452"/>
      <c r="SCB78" s="596"/>
      <c r="SCC78" s="548"/>
      <c r="SCD78" s="548"/>
      <c r="SCE78" s="548"/>
      <c r="SCF78" s="548"/>
      <c r="SCG78" s="548"/>
      <c r="SCH78" s="452"/>
      <c r="SCI78" s="596"/>
      <c r="SCJ78" s="548"/>
      <c r="SCK78" s="548"/>
      <c r="SCL78" s="548"/>
      <c r="SCM78" s="548"/>
      <c r="SCN78" s="548"/>
      <c r="SCO78" s="452"/>
      <c r="SCP78" s="596"/>
      <c r="SCQ78" s="548"/>
      <c r="SCR78" s="548"/>
      <c r="SCS78" s="548"/>
      <c r="SCT78" s="548"/>
      <c r="SCU78" s="548"/>
      <c r="SCV78" s="452"/>
      <c r="SCW78" s="596"/>
      <c r="SCX78" s="548"/>
      <c r="SCY78" s="548"/>
      <c r="SCZ78" s="548"/>
      <c r="SDA78" s="548"/>
      <c r="SDB78" s="548"/>
      <c r="SDC78" s="452"/>
      <c r="SDD78" s="596"/>
      <c r="SDE78" s="548"/>
      <c r="SDF78" s="548"/>
      <c r="SDG78" s="548"/>
      <c r="SDH78" s="548"/>
      <c r="SDI78" s="548"/>
      <c r="SDJ78" s="452"/>
      <c r="SDK78" s="596"/>
      <c r="SDL78" s="548"/>
      <c r="SDM78" s="548"/>
      <c r="SDN78" s="548"/>
      <c r="SDO78" s="548"/>
      <c r="SDP78" s="548"/>
      <c r="SDQ78" s="452"/>
      <c r="SDR78" s="596"/>
      <c r="SDS78" s="548"/>
      <c r="SDT78" s="548"/>
      <c r="SDU78" s="548"/>
      <c r="SDV78" s="548"/>
      <c r="SDW78" s="548"/>
      <c r="SDX78" s="452"/>
      <c r="SDY78" s="596"/>
      <c r="SDZ78" s="548"/>
      <c r="SEA78" s="548"/>
      <c r="SEB78" s="548"/>
      <c r="SEC78" s="548"/>
      <c r="SED78" s="548"/>
      <c r="SEE78" s="452"/>
      <c r="SEF78" s="596"/>
      <c r="SEG78" s="548"/>
      <c r="SEH78" s="548"/>
      <c r="SEI78" s="548"/>
      <c r="SEJ78" s="548"/>
      <c r="SEK78" s="548"/>
      <c r="SEL78" s="452"/>
      <c r="SEM78" s="596"/>
      <c r="SEN78" s="548"/>
      <c r="SEO78" s="548"/>
      <c r="SEP78" s="548"/>
      <c r="SEQ78" s="548"/>
      <c r="SER78" s="548"/>
      <c r="SES78" s="452"/>
      <c r="SET78" s="596"/>
      <c r="SEU78" s="548"/>
      <c r="SEV78" s="548"/>
      <c r="SEW78" s="548"/>
      <c r="SEX78" s="548"/>
      <c r="SEY78" s="548"/>
      <c r="SEZ78" s="452"/>
      <c r="SFA78" s="596"/>
      <c r="SFB78" s="548"/>
      <c r="SFC78" s="548"/>
      <c r="SFD78" s="548"/>
      <c r="SFE78" s="548"/>
      <c r="SFF78" s="548"/>
      <c r="SFG78" s="452"/>
      <c r="SFH78" s="596"/>
      <c r="SFI78" s="548"/>
      <c r="SFJ78" s="548"/>
      <c r="SFK78" s="548"/>
      <c r="SFL78" s="548"/>
      <c r="SFM78" s="548"/>
      <c r="SFN78" s="452"/>
      <c r="SFO78" s="596"/>
      <c r="SFP78" s="548"/>
      <c r="SFQ78" s="548"/>
      <c r="SFR78" s="548"/>
      <c r="SFS78" s="548"/>
      <c r="SFT78" s="548"/>
      <c r="SFU78" s="452"/>
      <c r="SFV78" s="596"/>
      <c r="SFW78" s="548"/>
      <c r="SFX78" s="548"/>
      <c r="SFY78" s="548"/>
      <c r="SFZ78" s="548"/>
      <c r="SGA78" s="548"/>
      <c r="SGB78" s="452"/>
      <c r="SGC78" s="596"/>
      <c r="SGD78" s="548"/>
      <c r="SGE78" s="548"/>
      <c r="SGF78" s="548"/>
      <c r="SGG78" s="548"/>
      <c r="SGH78" s="548"/>
      <c r="SGI78" s="452"/>
      <c r="SGJ78" s="596"/>
      <c r="SGK78" s="548"/>
      <c r="SGL78" s="548"/>
      <c r="SGM78" s="548"/>
      <c r="SGN78" s="548"/>
      <c r="SGO78" s="548"/>
      <c r="SGP78" s="452"/>
      <c r="SGQ78" s="596"/>
      <c r="SGR78" s="548"/>
      <c r="SGS78" s="548"/>
      <c r="SGT78" s="548"/>
      <c r="SGU78" s="548"/>
      <c r="SGV78" s="548"/>
      <c r="SGW78" s="452"/>
      <c r="SGX78" s="596"/>
      <c r="SGY78" s="548"/>
      <c r="SGZ78" s="548"/>
      <c r="SHA78" s="548"/>
      <c r="SHB78" s="548"/>
      <c r="SHC78" s="548"/>
      <c r="SHD78" s="452"/>
      <c r="SHE78" s="596"/>
      <c r="SHF78" s="548"/>
      <c r="SHG78" s="548"/>
      <c r="SHH78" s="548"/>
      <c r="SHI78" s="548"/>
      <c r="SHJ78" s="548"/>
      <c r="SHK78" s="452"/>
      <c r="SHL78" s="596"/>
      <c r="SHM78" s="548"/>
      <c r="SHN78" s="548"/>
      <c r="SHO78" s="548"/>
      <c r="SHP78" s="548"/>
      <c r="SHQ78" s="548"/>
      <c r="SHR78" s="452"/>
      <c r="SHS78" s="596"/>
      <c r="SHT78" s="548"/>
      <c r="SHU78" s="548"/>
      <c r="SHV78" s="548"/>
      <c r="SHW78" s="548"/>
      <c r="SHX78" s="548"/>
      <c r="SHY78" s="452"/>
      <c r="SHZ78" s="596"/>
      <c r="SIA78" s="548"/>
      <c r="SIB78" s="548"/>
      <c r="SIC78" s="548"/>
      <c r="SID78" s="548"/>
      <c r="SIE78" s="548"/>
      <c r="SIF78" s="452"/>
      <c r="SIG78" s="596"/>
      <c r="SIH78" s="548"/>
      <c r="SII78" s="548"/>
      <c r="SIJ78" s="548"/>
      <c r="SIK78" s="548"/>
      <c r="SIL78" s="548"/>
      <c r="SIM78" s="452"/>
      <c r="SIN78" s="596"/>
      <c r="SIO78" s="548"/>
      <c r="SIP78" s="548"/>
      <c r="SIQ78" s="548"/>
      <c r="SIR78" s="548"/>
      <c r="SIS78" s="548"/>
      <c r="SIT78" s="452"/>
      <c r="SIU78" s="596"/>
      <c r="SIV78" s="548"/>
      <c r="SIW78" s="548"/>
      <c r="SIX78" s="548"/>
      <c r="SIY78" s="548"/>
      <c r="SIZ78" s="548"/>
      <c r="SJA78" s="452"/>
      <c r="SJB78" s="596"/>
      <c r="SJC78" s="548"/>
      <c r="SJD78" s="548"/>
      <c r="SJE78" s="548"/>
      <c r="SJF78" s="548"/>
      <c r="SJG78" s="548"/>
      <c r="SJH78" s="452"/>
      <c r="SJI78" s="596"/>
      <c r="SJJ78" s="548"/>
      <c r="SJK78" s="548"/>
      <c r="SJL78" s="548"/>
      <c r="SJM78" s="548"/>
      <c r="SJN78" s="548"/>
      <c r="SJO78" s="452"/>
      <c r="SJP78" s="596"/>
      <c r="SJQ78" s="548"/>
      <c r="SJR78" s="548"/>
      <c r="SJS78" s="548"/>
      <c r="SJT78" s="548"/>
      <c r="SJU78" s="548"/>
      <c r="SJV78" s="452"/>
      <c r="SJW78" s="596"/>
      <c r="SJX78" s="548"/>
      <c r="SJY78" s="548"/>
      <c r="SJZ78" s="548"/>
      <c r="SKA78" s="548"/>
      <c r="SKB78" s="548"/>
      <c r="SKC78" s="452"/>
      <c r="SKD78" s="596"/>
      <c r="SKE78" s="548"/>
      <c r="SKF78" s="548"/>
      <c r="SKG78" s="548"/>
      <c r="SKH78" s="548"/>
      <c r="SKI78" s="548"/>
      <c r="SKJ78" s="452"/>
      <c r="SKK78" s="596"/>
      <c r="SKL78" s="548"/>
      <c r="SKM78" s="548"/>
      <c r="SKN78" s="548"/>
      <c r="SKO78" s="548"/>
      <c r="SKP78" s="548"/>
      <c r="SKQ78" s="452"/>
      <c r="SKR78" s="596"/>
      <c r="SKS78" s="548"/>
      <c r="SKT78" s="548"/>
      <c r="SKU78" s="548"/>
      <c r="SKV78" s="548"/>
      <c r="SKW78" s="548"/>
      <c r="SKX78" s="452"/>
      <c r="SKY78" s="596"/>
      <c r="SKZ78" s="548"/>
      <c r="SLA78" s="548"/>
      <c r="SLB78" s="548"/>
      <c r="SLC78" s="548"/>
      <c r="SLD78" s="548"/>
      <c r="SLE78" s="452"/>
      <c r="SLF78" s="596"/>
      <c r="SLG78" s="548"/>
      <c r="SLH78" s="548"/>
      <c r="SLI78" s="548"/>
      <c r="SLJ78" s="548"/>
      <c r="SLK78" s="548"/>
      <c r="SLL78" s="452"/>
      <c r="SLM78" s="596"/>
      <c r="SLN78" s="548"/>
      <c r="SLO78" s="548"/>
      <c r="SLP78" s="548"/>
      <c r="SLQ78" s="548"/>
      <c r="SLR78" s="548"/>
      <c r="SLS78" s="452"/>
      <c r="SLT78" s="596"/>
      <c r="SLU78" s="548"/>
      <c r="SLV78" s="548"/>
      <c r="SLW78" s="548"/>
      <c r="SLX78" s="548"/>
      <c r="SLY78" s="548"/>
      <c r="SLZ78" s="452"/>
      <c r="SMA78" s="596"/>
      <c r="SMB78" s="548"/>
      <c r="SMC78" s="548"/>
      <c r="SMD78" s="548"/>
      <c r="SME78" s="548"/>
      <c r="SMF78" s="548"/>
      <c r="SMG78" s="452"/>
      <c r="SMH78" s="596"/>
      <c r="SMI78" s="548"/>
      <c r="SMJ78" s="548"/>
      <c r="SMK78" s="548"/>
      <c r="SML78" s="548"/>
      <c r="SMM78" s="548"/>
      <c r="SMN78" s="452"/>
      <c r="SMO78" s="596"/>
      <c r="SMP78" s="548"/>
      <c r="SMQ78" s="548"/>
      <c r="SMR78" s="548"/>
      <c r="SMS78" s="548"/>
      <c r="SMT78" s="548"/>
      <c r="SMU78" s="452"/>
      <c r="SMV78" s="596"/>
      <c r="SMW78" s="548"/>
      <c r="SMX78" s="548"/>
      <c r="SMY78" s="548"/>
      <c r="SMZ78" s="548"/>
      <c r="SNA78" s="548"/>
      <c r="SNB78" s="452"/>
      <c r="SNC78" s="596"/>
      <c r="SND78" s="548"/>
      <c r="SNE78" s="548"/>
      <c r="SNF78" s="548"/>
      <c r="SNG78" s="548"/>
      <c r="SNH78" s="548"/>
      <c r="SNI78" s="452"/>
      <c r="SNJ78" s="596"/>
      <c r="SNK78" s="548"/>
      <c r="SNL78" s="548"/>
      <c r="SNM78" s="548"/>
      <c r="SNN78" s="548"/>
      <c r="SNO78" s="548"/>
      <c r="SNP78" s="452"/>
      <c r="SNQ78" s="596"/>
      <c r="SNR78" s="548"/>
      <c r="SNS78" s="548"/>
      <c r="SNT78" s="548"/>
      <c r="SNU78" s="548"/>
      <c r="SNV78" s="548"/>
      <c r="SNW78" s="452"/>
      <c r="SNX78" s="596"/>
      <c r="SNY78" s="548"/>
      <c r="SNZ78" s="548"/>
      <c r="SOA78" s="548"/>
      <c r="SOB78" s="548"/>
      <c r="SOC78" s="548"/>
      <c r="SOD78" s="452"/>
      <c r="SOE78" s="596"/>
      <c r="SOF78" s="548"/>
      <c r="SOG78" s="548"/>
      <c r="SOH78" s="548"/>
      <c r="SOI78" s="548"/>
      <c r="SOJ78" s="548"/>
      <c r="SOK78" s="452"/>
      <c r="SOL78" s="596"/>
      <c r="SOM78" s="548"/>
      <c r="SON78" s="548"/>
      <c r="SOO78" s="548"/>
      <c r="SOP78" s="548"/>
      <c r="SOQ78" s="548"/>
      <c r="SOR78" s="452"/>
      <c r="SOS78" s="596"/>
      <c r="SOT78" s="548"/>
      <c r="SOU78" s="548"/>
      <c r="SOV78" s="548"/>
      <c r="SOW78" s="548"/>
      <c r="SOX78" s="548"/>
      <c r="SOY78" s="452"/>
      <c r="SOZ78" s="596"/>
      <c r="SPA78" s="548"/>
      <c r="SPB78" s="548"/>
      <c r="SPC78" s="548"/>
      <c r="SPD78" s="548"/>
      <c r="SPE78" s="548"/>
      <c r="SPF78" s="452"/>
      <c r="SPG78" s="596"/>
      <c r="SPH78" s="548"/>
      <c r="SPI78" s="548"/>
      <c r="SPJ78" s="548"/>
      <c r="SPK78" s="548"/>
      <c r="SPL78" s="548"/>
      <c r="SPM78" s="452"/>
      <c r="SPN78" s="596"/>
      <c r="SPO78" s="548"/>
      <c r="SPP78" s="548"/>
      <c r="SPQ78" s="548"/>
      <c r="SPR78" s="548"/>
      <c r="SPS78" s="548"/>
      <c r="SPT78" s="452"/>
      <c r="SPU78" s="596"/>
      <c r="SPV78" s="548"/>
      <c r="SPW78" s="548"/>
      <c r="SPX78" s="548"/>
      <c r="SPY78" s="548"/>
      <c r="SPZ78" s="548"/>
      <c r="SQA78" s="452"/>
      <c r="SQB78" s="596"/>
      <c r="SQC78" s="548"/>
      <c r="SQD78" s="548"/>
      <c r="SQE78" s="548"/>
      <c r="SQF78" s="548"/>
      <c r="SQG78" s="548"/>
      <c r="SQH78" s="452"/>
      <c r="SQI78" s="596"/>
      <c r="SQJ78" s="548"/>
      <c r="SQK78" s="548"/>
      <c r="SQL78" s="548"/>
      <c r="SQM78" s="548"/>
      <c r="SQN78" s="548"/>
      <c r="SQO78" s="452"/>
      <c r="SQP78" s="596"/>
      <c r="SQQ78" s="548"/>
      <c r="SQR78" s="548"/>
      <c r="SQS78" s="548"/>
      <c r="SQT78" s="548"/>
      <c r="SQU78" s="548"/>
      <c r="SQV78" s="452"/>
      <c r="SQW78" s="596"/>
      <c r="SQX78" s="548"/>
      <c r="SQY78" s="548"/>
      <c r="SQZ78" s="548"/>
      <c r="SRA78" s="548"/>
      <c r="SRB78" s="548"/>
      <c r="SRC78" s="452"/>
      <c r="SRD78" s="596"/>
      <c r="SRE78" s="548"/>
      <c r="SRF78" s="548"/>
      <c r="SRG78" s="548"/>
      <c r="SRH78" s="548"/>
      <c r="SRI78" s="548"/>
      <c r="SRJ78" s="452"/>
      <c r="SRK78" s="596"/>
      <c r="SRL78" s="548"/>
      <c r="SRM78" s="548"/>
      <c r="SRN78" s="548"/>
      <c r="SRO78" s="548"/>
      <c r="SRP78" s="548"/>
      <c r="SRQ78" s="452"/>
      <c r="SRR78" s="596"/>
      <c r="SRS78" s="548"/>
      <c r="SRT78" s="548"/>
      <c r="SRU78" s="548"/>
      <c r="SRV78" s="548"/>
      <c r="SRW78" s="548"/>
      <c r="SRX78" s="452"/>
      <c r="SRY78" s="596"/>
      <c r="SRZ78" s="548"/>
      <c r="SSA78" s="548"/>
      <c r="SSB78" s="548"/>
      <c r="SSC78" s="548"/>
      <c r="SSD78" s="548"/>
      <c r="SSE78" s="452"/>
      <c r="SSF78" s="596"/>
      <c r="SSG78" s="548"/>
      <c r="SSH78" s="548"/>
      <c r="SSI78" s="548"/>
      <c r="SSJ78" s="548"/>
      <c r="SSK78" s="548"/>
      <c r="SSL78" s="452"/>
      <c r="SSM78" s="596"/>
      <c r="SSN78" s="548"/>
      <c r="SSO78" s="548"/>
      <c r="SSP78" s="548"/>
      <c r="SSQ78" s="548"/>
      <c r="SSR78" s="548"/>
      <c r="SSS78" s="452"/>
      <c r="SST78" s="596"/>
      <c r="SSU78" s="548"/>
      <c r="SSV78" s="548"/>
      <c r="SSW78" s="548"/>
      <c r="SSX78" s="548"/>
      <c r="SSY78" s="548"/>
      <c r="SSZ78" s="452"/>
      <c r="STA78" s="596"/>
      <c r="STB78" s="548"/>
      <c r="STC78" s="548"/>
      <c r="STD78" s="548"/>
      <c r="STE78" s="548"/>
      <c r="STF78" s="548"/>
      <c r="STG78" s="452"/>
      <c r="STH78" s="596"/>
      <c r="STI78" s="548"/>
      <c r="STJ78" s="548"/>
      <c r="STK78" s="548"/>
      <c r="STL78" s="548"/>
      <c r="STM78" s="548"/>
      <c r="STN78" s="452"/>
      <c r="STO78" s="596"/>
      <c r="STP78" s="548"/>
      <c r="STQ78" s="548"/>
      <c r="STR78" s="548"/>
      <c r="STS78" s="548"/>
      <c r="STT78" s="548"/>
      <c r="STU78" s="452"/>
      <c r="STV78" s="596"/>
      <c r="STW78" s="548"/>
      <c r="STX78" s="548"/>
      <c r="STY78" s="548"/>
      <c r="STZ78" s="548"/>
      <c r="SUA78" s="548"/>
      <c r="SUB78" s="452"/>
      <c r="SUC78" s="596"/>
      <c r="SUD78" s="548"/>
      <c r="SUE78" s="548"/>
      <c r="SUF78" s="548"/>
      <c r="SUG78" s="548"/>
      <c r="SUH78" s="548"/>
      <c r="SUI78" s="452"/>
      <c r="SUJ78" s="596"/>
      <c r="SUK78" s="548"/>
      <c r="SUL78" s="548"/>
      <c r="SUM78" s="548"/>
      <c r="SUN78" s="548"/>
      <c r="SUO78" s="548"/>
      <c r="SUP78" s="452"/>
      <c r="SUQ78" s="596"/>
      <c r="SUR78" s="548"/>
      <c r="SUS78" s="548"/>
      <c r="SUT78" s="548"/>
      <c r="SUU78" s="548"/>
      <c r="SUV78" s="548"/>
      <c r="SUW78" s="452"/>
      <c r="SUX78" s="596"/>
      <c r="SUY78" s="548"/>
      <c r="SUZ78" s="548"/>
      <c r="SVA78" s="548"/>
      <c r="SVB78" s="548"/>
      <c r="SVC78" s="548"/>
      <c r="SVD78" s="452"/>
      <c r="SVE78" s="596"/>
      <c r="SVF78" s="548"/>
      <c r="SVG78" s="548"/>
      <c r="SVH78" s="548"/>
      <c r="SVI78" s="548"/>
      <c r="SVJ78" s="548"/>
      <c r="SVK78" s="452"/>
      <c r="SVL78" s="596"/>
      <c r="SVM78" s="548"/>
      <c r="SVN78" s="548"/>
      <c r="SVO78" s="548"/>
      <c r="SVP78" s="548"/>
      <c r="SVQ78" s="548"/>
      <c r="SVR78" s="452"/>
      <c r="SVS78" s="596"/>
      <c r="SVT78" s="548"/>
      <c r="SVU78" s="548"/>
      <c r="SVV78" s="548"/>
      <c r="SVW78" s="548"/>
      <c r="SVX78" s="548"/>
      <c r="SVY78" s="452"/>
      <c r="SVZ78" s="596"/>
      <c r="SWA78" s="548"/>
      <c r="SWB78" s="548"/>
      <c r="SWC78" s="548"/>
      <c r="SWD78" s="548"/>
      <c r="SWE78" s="548"/>
      <c r="SWF78" s="452"/>
      <c r="SWG78" s="596"/>
      <c r="SWH78" s="548"/>
      <c r="SWI78" s="548"/>
      <c r="SWJ78" s="548"/>
      <c r="SWK78" s="548"/>
      <c r="SWL78" s="548"/>
      <c r="SWM78" s="452"/>
      <c r="SWN78" s="596"/>
      <c r="SWO78" s="548"/>
      <c r="SWP78" s="548"/>
      <c r="SWQ78" s="548"/>
      <c r="SWR78" s="548"/>
      <c r="SWS78" s="548"/>
      <c r="SWT78" s="452"/>
      <c r="SWU78" s="596"/>
      <c r="SWV78" s="548"/>
      <c r="SWW78" s="548"/>
      <c r="SWX78" s="548"/>
      <c r="SWY78" s="548"/>
      <c r="SWZ78" s="548"/>
      <c r="SXA78" s="452"/>
      <c r="SXB78" s="596"/>
      <c r="SXC78" s="548"/>
      <c r="SXD78" s="548"/>
      <c r="SXE78" s="548"/>
      <c r="SXF78" s="548"/>
      <c r="SXG78" s="548"/>
      <c r="SXH78" s="452"/>
      <c r="SXI78" s="596"/>
      <c r="SXJ78" s="548"/>
      <c r="SXK78" s="548"/>
      <c r="SXL78" s="548"/>
      <c r="SXM78" s="548"/>
      <c r="SXN78" s="548"/>
      <c r="SXO78" s="452"/>
      <c r="SXP78" s="596"/>
      <c r="SXQ78" s="548"/>
      <c r="SXR78" s="548"/>
      <c r="SXS78" s="548"/>
      <c r="SXT78" s="548"/>
      <c r="SXU78" s="548"/>
      <c r="SXV78" s="452"/>
      <c r="SXW78" s="596"/>
      <c r="SXX78" s="548"/>
      <c r="SXY78" s="548"/>
      <c r="SXZ78" s="548"/>
      <c r="SYA78" s="548"/>
      <c r="SYB78" s="548"/>
      <c r="SYC78" s="452"/>
      <c r="SYD78" s="596"/>
      <c r="SYE78" s="548"/>
      <c r="SYF78" s="548"/>
      <c r="SYG78" s="548"/>
      <c r="SYH78" s="548"/>
      <c r="SYI78" s="548"/>
      <c r="SYJ78" s="452"/>
      <c r="SYK78" s="596"/>
      <c r="SYL78" s="548"/>
      <c r="SYM78" s="548"/>
      <c r="SYN78" s="548"/>
      <c r="SYO78" s="548"/>
      <c r="SYP78" s="548"/>
      <c r="SYQ78" s="452"/>
      <c r="SYR78" s="596"/>
      <c r="SYS78" s="548"/>
      <c r="SYT78" s="548"/>
      <c r="SYU78" s="548"/>
      <c r="SYV78" s="548"/>
      <c r="SYW78" s="548"/>
      <c r="SYX78" s="452"/>
      <c r="SYY78" s="596"/>
      <c r="SYZ78" s="548"/>
      <c r="SZA78" s="548"/>
      <c r="SZB78" s="548"/>
      <c r="SZC78" s="548"/>
      <c r="SZD78" s="548"/>
      <c r="SZE78" s="452"/>
      <c r="SZF78" s="596"/>
      <c r="SZG78" s="548"/>
      <c r="SZH78" s="548"/>
      <c r="SZI78" s="548"/>
      <c r="SZJ78" s="548"/>
      <c r="SZK78" s="548"/>
      <c r="SZL78" s="452"/>
      <c r="SZM78" s="596"/>
      <c r="SZN78" s="548"/>
      <c r="SZO78" s="548"/>
      <c r="SZP78" s="548"/>
      <c r="SZQ78" s="548"/>
      <c r="SZR78" s="548"/>
      <c r="SZS78" s="452"/>
      <c r="SZT78" s="596"/>
      <c r="SZU78" s="548"/>
      <c r="SZV78" s="548"/>
      <c r="SZW78" s="548"/>
      <c r="SZX78" s="548"/>
      <c r="SZY78" s="548"/>
      <c r="SZZ78" s="452"/>
      <c r="TAA78" s="596"/>
      <c r="TAB78" s="548"/>
      <c r="TAC78" s="548"/>
      <c r="TAD78" s="548"/>
      <c r="TAE78" s="548"/>
      <c r="TAF78" s="548"/>
      <c r="TAG78" s="452"/>
      <c r="TAH78" s="596"/>
      <c r="TAI78" s="548"/>
      <c r="TAJ78" s="548"/>
      <c r="TAK78" s="548"/>
      <c r="TAL78" s="548"/>
      <c r="TAM78" s="548"/>
      <c r="TAN78" s="452"/>
      <c r="TAO78" s="596"/>
      <c r="TAP78" s="548"/>
      <c r="TAQ78" s="548"/>
      <c r="TAR78" s="548"/>
      <c r="TAS78" s="548"/>
      <c r="TAT78" s="548"/>
      <c r="TAU78" s="452"/>
      <c r="TAV78" s="596"/>
      <c r="TAW78" s="548"/>
      <c r="TAX78" s="548"/>
      <c r="TAY78" s="548"/>
      <c r="TAZ78" s="548"/>
      <c r="TBA78" s="548"/>
      <c r="TBB78" s="452"/>
      <c r="TBC78" s="596"/>
      <c r="TBD78" s="548"/>
      <c r="TBE78" s="548"/>
      <c r="TBF78" s="548"/>
      <c r="TBG78" s="548"/>
      <c r="TBH78" s="548"/>
      <c r="TBI78" s="452"/>
      <c r="TBJ78" s="596"/>
      <c r="TBK78" s="548"/>
      <c r="TBL78" s="548"/>
      <c r="TBM78" s="548"/>
      <c r="TBN78" s="548"/>
      <c r="TBO78" s="548"/>
      <c r="TBP78" s="452"/>
      <c r="TBQ78" s="596"/>
      <c r="TBR78" s="548"/>
      <c r="TBS78" s="548"/>
      <c r="TBT78" s="548"/>
      <c r="TBU78" s="548"/>
      <c r="TBV78" s="548"/>
      <c r="TBW78" s="452"/>
      <c r="TBX78" s="596"/>
      <c r="TBY78" s="548"/>
      <c r="TBZ78" s="548"/>
      <c r="TCA78" s="548"/>
      <c r="TCB78" s="548"/>
      <c r="TCC78" s="548"/>
      <c r="TCD78" s="452"/>
      <c r="TCE78" s="596"/>
      <c r="TCF78" s="548"/>
      <c r="TCG78" s="548"/>
      <c r="TCH78" s="548"/>
      <c r="TCI78" s="548"/>
      <c r="TCJ78" s="548"/>
      <c r="TCK78" s="452"/>
      <c r="TCL78" s="596"/>
      <c r="TCM78" s="548"/>
      <c r="TCN78" s="548"/>
      <c r="TCO78" s="548"/>
      <c r="TCP78" s="548"/>
      <c r="TCQ78" s="548"/>
      <c r="TCR78" s="452"/>
      <c r="TCS78" s="596"/>
      <c r="TCT78" s="548"/>
      <c r="TCU78" s="548"/>
      <c r="TCV78" s="548"/>
      <c r="TCW78" s="548"/>
      <c r="TCX78" s="548"/>
      <c r="TCY78" s="452"/>
      <c r="TCZ78" s="596"/>
      <c r="TDA78" s="548"/>
      <c r="TDB78" s="548"/>
      <c r="TDC78" s="548"/>
      <c r="TDD78" s="548"/>
      <c r="TDE78" s="548"/>
      <c r="TDF78" s="452"/>
      <c r="TDG78" s="596"/>
      <c r="TDH78" s="548"/>
      <c r="TDI78" s="548"/>
      <c r="TDJ78" s="548"/>
      <c r="TDK78" s="548"/>
      <c r="TDL78" s="548"/>
      <c r="TDM78" s="452"/>
      <c r="TDN78" s="596"/>
      <c r="TDO78" s="548"/>
      <c r="TDP78" s="548"/>
      <c r="TDQ78" s="548"/>
      <c r="TDR78" s="548"/>
      <c r="TDS78" s="548"/>
      <c r="TDT78" s="452"/>
      <c r="TDU78" s="596"/>
      <c r="TDV78" s="548"/>
      <c r="TDW78" s="548"/>
      <c r="TDX78" s="548"/>
      <c r="TDY78" s="548"/>
      <c r="TDZ78" s="548"/>
      <c r="TEA78" s="452"/>
      <c r="TEB78" s="596"/>
      <c r="TEC78" s="548"/>
      <c r="TED78" s="548"/>
      <c r="TEE78" s="548"/>
      <c r="TEF78" s="548"/>
      <c r="TEG78" s="548"/>
      <c r="TEH78" s="452"/>
      <c r="TEI78" s="596"/>
      <c r="TEJ78" s="548"/>
      <c r="TEK78" s="548"/>
      <c r="TEL78" s="548"/>
      <c r="TEM78" s="548"/>
      <c r="TEN78" s="548"/>
      <c r="TEO78" s="452"/>
      <c r="TEP78" s="596"/>
      <c r="TEQ78" s="548"/>
      <c r="TER78" s="548"/>
      <c r="TES78" s="548"/>
      <c r="TET78" s="548"/>
      <c r="TEU78" s="548"/>
      <c r="TEV78" s="452"/>
      <c r="TEW78" s="596"/>
      <c r="TEX78" s="548"/>
      <c r="TEY78" s="548"/>
      <c r="TEZ78" s="548"/>
      <c r="TFA78" s="548"/>
      <c r="TFB78" s="548"/>
      <c r="TFC78" s="452"/>
      <c r="TFD78" s="596"/>
      <c r="TFE78" s="548"/>
      <c r="TFF78" s="548"/>
      <c r="TFG78" s="548"/>
      <c r="TFH78" s="548"/>
      <c r="TFI78" s="548"/>
      <c r="TFJ78" s="452"/>
      <c r="TFK78" s="596"/>
      <c r="TFL78" s="548"/>
      <c r="TFM78" s="548"/>
      <c r="TFN78" s="548"/>
      <c r="TFO78" s="548"/>
      <c r="TFP78" s="548"/>
      <c r="TFQ78" s="452"/>
      <c r="TFR78" s="596"/>
      <c r="TFS78" s="548"/>
      <c r="TFT78" s="548"/>
      <c r="TFU78" s="548"/>
      <c r="TFV78" s="548"/>
      <c r="TFW78" s="548"/>
      <c r="TFX78" s="452"/>
      <c r="TFY78" s="596"/>
      <c r="TFZ78" s="548"/>
      <c r="TGA78" s="548"/>
      <c r="TGB78" s="548"/>
      <c r="TGC78" s="548"/>
      <c r="TGD78" s="548"/>
      <c r="TGE78" s="452"/>
      <c r="TGF78" s="596"/>
      <c r="TGG78" s="548"/>
      <c r="TGH78" s="548"/>
      <c r="TGI78" s="548"/>
      <c r="TGJ78" s="548"/>
      <c r="TGK78" s="548"/>
      <c r="TGL78" s="452"/>
      <c r="TGM78" s="596"/>
      <c r="TGN78" s="548"/>
      <c r="TGO78" s="548"/>
      <c r="TGP78" s="548"/>
      <c r="TGQ78" s="548"/>
      <c r="TGR78" s="548"/>
      <c r="TGS78" s="452"/>
      <c r="TGT78" s="596"/>
      <c r="TGU78" s="548"/>
      <c r="TGV78" s="548"/>
      <c r="TGW78" s="548"/>
      <c r="TGX78" s="548"/>
      <c r="TGY78" s="548"/>
      <c r="TGZ78" s="452"/>
      <c r="THA78" s="596"/>
      <c r="THB78" s="548"/>
      <c r="THC78" s="548"/>
      <c r="THD78" s="548"/>
      <c r="THE78" s="548"/>
      <c r="THF78" s="548"/>
      <c r="THG78" s="452"/>
      <c r="THH78" s="596"/>
      <c r="THI78" s="548"/>
      <c r="THJ78" s="548"/>
      <c r="THK78" s="548"/>
      <c r="THL78" s="548"/>
      <c r="THM78" s="548"/>
      <c r="THN78" s="452"/>
      <c r="THO78" s="596"/>
      <c r="THP78" s="548"/>
      <c r="THQ78" s="548"/>
      <c r="THR78" s="548"/>
      <c r="THS78" s="548"/>
      <c r="THT78" s="548"/>
      <c r="THU78" s="452"/>
      <c r="THV78" s="596"/>
      <c r="THW78" s="548"/>
      <c r="THX78" s="548"/>
      <c r="THY78" s="548"/>
      <c r="THZ78" s="548"/>
      <c r="TIA78" s="548"/>
      <c r="TIB78" s="452"/>
      <c r="TIC78" s="596"/>
      <c r="TID78" s="548"/>
      <c r="TIE78" s="548"/>
      <c r="TIF78" s="548"/>
      <c r="TIG78" s="548"/>
      <c r="TIH78" s="548"/>
      <c r="TII78" s="452"/>
      <c r="TIJ78" s="596"/>
      <c r="TIK78" s="548"/>
      <c r="TIL78" s="548"/>
      <c r="TIM78" s="548"/>
      <c r="TIN78" s="548"/>
      <c r="TIO78" s="548"/>
      <c r="TIP78" s="452"/>
      <c r="TIQ78" s="596"/>
      <c r="TIR78" s="548"/>
      <c r="TIS78" s="548"/>
      <c r="TIT78" s="548"/>
      <c r="TIU78" s="548"/>
      <c r="TIV78" s="548"/>
      <c r="TIW78" s="452"/>
      <c r="TIX78" s="596"/>
      <c r="TIY78" s="548"/>
      <c r="TIZ78" s="548"/>
      <c r="TJA78" s="548"/>
      <c r="TJB78" s="548"/>
      <c r="TJC78" s="548"/>
      <c r="TJD78" s="452"/>
      <c r="TJE78" s="596"/>
      <c r="TJF78" s="548"/>
      <c r="TJG78" s="548"/>
      <c r="TJH78" s="548"/>
      <c r="TJI78" s="548"/>
      <c r="TJJ78" s="548"/>
      <c r="TJK78" s="452"/>
      <c r="TJL78" s="596"/>
      <c r="TJM78" s="548"/>
      <c r="TJN78" s="548"/>
      <c r="TJO78" s="548"/>
      <c r="TJP78" s="548"/>
      <c r="TJQ78" s="548"/>
      <c r="TJR78" s="452"/>
      <c r="TJS78" s="596"/>
      <c r="TJT78" s="548"/>
      <c r="TJU78" s="548"/>
      <c r="TJV78" s="548"/>
      <c r="TJW78" s="548"/>
      <c r="TJX78" s="548"/>
      <c r="TJY78" s="452"/>
      <c r="TJZ78" s="596"/>
      <c r="TKA78" s="548"/>
      <c r="TKB78" s="548"/>
      <c r="TKC78" s="548"/>
      <c r="TKD78" s="548"/>
      <c r="TKE78" s="548"/>
      <c r="TKF78" s="452"/>
      <c r="TKG78" s="596"/>
      <c r="TKH78" s="548"/>
      <c r="TKI78" s="548"/>
      <c r="TKJ78" s="548"/>
      <c r="TKK78" s="548"/>
      <c r="TKL78" s="548"/>
      <c r="TKM78" s="452"/>
      <c r="TKN78" s="596"/>
      <c r="TKO78" s="548"/>
      <c r="TKP78" s="548"/>
      <c r="TKQ78" s="548"/>
      <c r="TKR78" s="548"/>
      <c r="TKS78" s="548"/>
      <c r="TKT78" s="452"/>
      <c r="TKU78" s="596"/>
      <c r="TKV78" s="548"/>
      <c r="TKW78" s="548"/>
      <c r="TKX78" s="548"/>
      <c r="TKY78" s="548"/>
      <c r="TKZ78" s="548"/>
      <c r="TLA78" s="452"/>
      <c r="TLB78" s="596"/>
      <c r="TLC78" s="548"/>
      <c r="TLD78" s="548"/>
      <c r="TLE78" s="548"/>
      <c r="TLF78" s="548"/>
      <c r="TLG78" s="548"/>
      <c r="TLH78" s="452"/>
      <c r="TLI78" s="596"/>
      <c r="TLJ78" s="548"/>
      <c r="TLK78" s="548"/>
      <c r="TLL78" s="548"/>
      <c r="TLM78" s="548"/>
      <c r="TLN78" s="548"/>
      <c r="TLO78" s="452"/>
      <c r="TLP78" s="596"/>
      <c r="TLQ78" s="548"/>
      <c r="TLR78" s="548"/>
      <c r="TLS78" s="548"/>
      <c r="TLT78" s="548"/>
      <c r="TLU78" s="548"/>
      <c r="TLV78" s="452"/>
      <c r="TLW78" s="596"/>
      <c r="TLX78" s="548"/>
      <c r="TLY78" s="548"/>
      <c r="TLZ78" s="548"/>
      <c r="TMA78" s="548"/>
      <c r="TMB78" s="548"/>
      <c r="TMC78" s="452"/>
      <c r="TMD78" s="596"/>
      <c r="TME78" s="548"/>
      <c r="TMF78" s="548"/>
      <c r="TMG78" s="548"/>
      <c r="TMH78" s="548"/>
      <c r="TMI78" s="548"/>
      <c r="TMJ78" s="452"/>
      <c r="TMK78" s="596"/>
      <c r="TML78" s="548"/>
      <c r="TMM78" s="548"/>
      <c r="TMN78" s="548"/>
      <c r="TMO78" s="548"/>
      <c r="TMP78" s="548"/>
      <c r="TMQ78" s="452"/>
      <c r="TMR78" s="596"/>
      <c r="TMS78" s="548"/>
      <c r="TMT78" s="548"/>
      <c r="TMU78" s="548"/>
      <c r="TMV78" s="548"/>
      <c r="TMW78" s="548"/>
      <c r="TMX78" s="452"/>
      <c r="TMY78" s="596"/>
      <c r="TMZ78" s="548"/>
      <c r="TNA78" s="548"/>
      <c r="TNB78" s="548"/>
      <c r="TNC78" s="548"/>
      <c r="TND78" s="548"/>
      <c r="TNE78" s="452"/>
      <c r="TNF78" s="596"/>
      <c r="TNG78" s="548"/>
      <c r="TNH78" s="548"/>
      <c r="TNI78" s="548"/>
      <c r="TNJ78" s="548"/>
      <c r="TNK78" s="548"/>
      <c r="TNL78" s="452"/>
      <c r="TNM78" s="596"/>
      <c r="TNN78" s="548"/>
      <c r="TNO78" s="548"/>
      <c r="TNP78" s="548"/>
      <c r="TNQ78" s="548"/>
      <c r="TNR78" s="548"/>
      <c r="TNS78" s="452"/>
      <c r="TNT78" s="596"/>
      <c r="TNU78" s="548"/>
      <c r="TNV78" s="548"/>
      <c r="TNW78" s="548"/>
      <c r="TNX78" s="548"/>
      <c r="TNY78" s="548"/>
      <c r="TNZ78" s="452"/>
      <c r="TOA78" s="596"/>
      <c r="TOB78" s="548"/>
      <c r="TOC78" s="548"/>
      <c r="TOD78" s="548"/>
      <c r="TOE78" s="548"/>
      <c r="TOF78" s="548"/>
      <c r="TOG78" s="452"/>
      <c r="TOH78" s="596"/>
      <c r="TOI78" s="548"/>
      <c r="TOJ78" s="548"/>
      <c r="TOK78" s="548"/>
      <c r="TOL78" s="548"/>
      <c r="TOM78" s="548"/>
      <c r="TON78" s="452"/>
      <c r="TOO78" s="596"/>
      <c r="TOP78" s="548"/>
      <c r="TOQ78" s="548"/>
      <c r="TOR78" s="548"/>
      <c r="TOS78" s="548"/>
      <c r="TOT78" s="548"/>
      <c r="TOU78" s="452"/>
      <c r="TOV78" s="596"/>
      <c r="TOW78" s="548"/>
      <c r="TOX78" s="548"/>
      <c r="TOY78" s="548"/>
      <c r="TOZ78" s="548"/>
      <c r="TPA78" s="548"/>
      <c r="TPB78" s="452"/>
      <c r="TPC78" s="596"/>
      <c r="TPD78" s="548"/>
      <c r="TPE78" s="548"/>
      <c r="TPF78" s="548"/>
      <c r="TPG78" s="548"/>
      <c r="TPH78" s="548"/>
      <c r="TPI78" s="452"/>
      <c r="TPJ78" s="596"/>
      <c r="TPK78" s="548"/>
      <c r="TPL78" s="548"/>
      <c r="TPM78" s="548"/>
      <c r="TPN78" s="548"/>
      <c r="TPO78" s="548"/>
      <c r="TPP78" s="452"/>
      <c r="TPQ78" s="596"/>
      <c r="TPR78" s="548"/>
      <c r="TPS78" s="548"/>
      <c r="TPT78" s="548"/>
      <c r="TPU78" s="548"/>
      <c r="TPV78" s="548"/>
      <c r="TPW78" s="452"/>
      <c r="TPX78" s="596"/>
      <c r="TPY78" s="548"/>
      <c r="TPZ78" s="548"/>
      <c r="TQA78" s="548"/>
      <c r="TQB78" s="548"/>
      <c r="TQC78" s="548"/>
      <c r="TQD78" s="452"/>
      <c r="TQE78" s="596"/>
      <c r="TQF78" s="548"/>
      <c r="TQG78" s="548"/>
      <c r="TQH78" s="548"/>
      <c r="TQI78" s="548"/>
      <c r="TQJ78" s="548"/>
      <c r="TQK78" s="452"/>
      <c r="TQL78" s="596"/>
      <c r="TQM78" s="548"/>
      <c r="TQN78" s="548"/>
      <c r="TQO78" s="548"/>
      <c r="TQP78" s="548"/>
      <c r="TQQ78" s="548"/>
      <c r="TQR78" s="452"/>
      <c r="TQS78" s="596"/>
      <c r="TQT78" s="548"/>
      <c r="TQU78" s="548"/>
      <c r="TQV78" s="548"/>
      <c r="TQW78" s="548"/>
      <c r="TQX78" s="548"/>
      <c r="TQY78" s="452"/>
      <c r="TQZ78" s="596"/>
      <c r="TRA78" s="548"/>
      <c r="TRB78" s="548"/>
      <c r="TRC78" s="548"/>
      <c r="TRD78" s="548"/>
      <c r="TRE78" s="548"/>
      <c r="TRF78" s="452"/>
      <c r="TRG78" s="596"/>
      <c r="TRH78" s="548"/>
      <c r="TRI78" s="548"/>
      <c r="TRJ78" s="548"/>
      <c r="TRK78" s="548"/>
      <c r="TRL78" s="548"/>
      <c r="TRM78" s="452"/>
      <c r="TRN78" s="596"/>
      <c r="TRO78" s="548"/>
      <c r="TRP78" s="548"/>
      <c r="TRQ78" s="548"/>
      <c r="TRR78" s="548"/>
      <c r="TRS78" s="548"/>
      <c r="TRT78" s="452"/>
      <c r="TRU78" s="596"/>
      <c r="TRV78" s="548"/>
      <c r="TRW78" s="548"/>
      <c r="TRX78" s="548"/>
      <c r="TRY78" s="548"/>
      <c r="TRZ78" s="548"/>
      <c r="TSA78" s="452"/>
      <c r="TSB78" s="596"/>
      <c r="TSC78" s="548"/>
      <c r="TSD78" s="548"/>
      <c r="TSE78" s="548"/>
      <c r="TSF78" s="548"/>
      <c r="TSG78" s="548"/>
      <c r="TSH78" s="452"/>
      <c r="TSI78" s="596"/>
      <c r="TSJ78" s="548"/>
      <c r="TSK78" s="548"/>
      <c r="TSL78" s="548"/>
      <c r="TSM78" s="548"/>
      <c r="TSN78" s="548"/>
      <c r="TSO78" s="452"/>
      <c r="TSP78" s="596"/>
      <c r="TSQ78" s="548"/>
      <c r="TSR78" s="548"/>
      <c r="TSS78" s="548"/>
      <c r="TST78" s="548"/>
      <c r="TSU78" s="548"/>
      <c r="TSV78" s="452"/>
      <c r="TSW78" s="596"/>
      <c r="TSX78" s="548"/>
      <c r="TSY78" s="548"/>
      <c r="TSZ78" s="548"/>
      <c r="TTA78" s="548"/>
      <c r="TTB78" s="548"/>
      <c r="TTC78" s="452"/>
      <c r="TTD78" s="596"/>
      <c r="TTE78" s="548"/>
      <c r="TTF78" s="548"/>
      <c r="TTG78" s="548"/>
      <c r="TTH78" s="548"/>
      <c r="TTI78" s="548"/>
      <c r="TTJ78" s="452"/>
      <c r="TTK78" s="596"/>
      <c r="TTL78" s="548"/>
      <c r="TTM78" s="548"/>
      <c r="TTN78" s="548"/>
      <c r="TTO78" s="548"/>
      <c r="TTP78" s="548"/>
      <c r="TTQ78" s="452"/>
      <c r="TTR78" s="596"/>
      <c r="TTS78" s="548"/>
      <c r="TTT78" s="548"/>
      <c r="TTU78" s="548"/>
      <c r="TTV78" s="548"/>
      <c r="TTW78" s="548"/>
      <c r="TTX78" s="452"/>
      <c r="TTY78" s="596"/>
      <c r="TTZ78" s="548"/>
      <c r="TUA78" s="548"/>
      <c r="TUB78" s="548"/>
      <c r="TUC78" s="548"/>
      <c r="TUD78" s="548"/>
      <c r="TUE78" s="452"/>
      <c r="TUF78" s="596"/>
      <c r="TUG78" s="548"/>
      <c r="TUH78" s="548"/>
      <c r="TUI78" s="548"/>
      <c r="TUJ78" s="548"/>
      <c r="TUK78" s="548"/>
      <c r="TUL78" s="452"/>
      <c r="TUM78" s="596"/>
      <c r="TUN78" s="548"/>
      <c r="TUO78" s="548"/>
      <c r="TUP78" s="548"/>
      <c r="TUQ78" s="548"/>
      <c r="TUR78" s="548"/>
      <c r="TUS78" s="452"/>
      <c r="TUT78" s="596"/>
      <c r="TUU78" s="548"/>
      <c r="TUV78" s="548"/>
      <c r="TUW78" s="548"/>
      <c r="TUX78" s="548"/>
      <c r="TUY78" s="548"/>
      <c r="TUZ78" s="452"/>
      <c r="TVA78" s="596"/>
      <c r="TVB78" s="548"/>
      <c r="TVC78" s="548"/>
      <c r="TVD78" s="548"/>
      <c r="TVE78" s="548"/>
      <c r="TVF78" s="548"/>
      <c r="TVG78" s="452"/>
      <c r="TVH78" s="596"/>
      <c r="TVI78" s="548"/>
      <c r="TVJ78" s="548"/>
      <c r="TVK78" s="548"/>
      <c r="TVL78" s="548"/>
      <c r="TVM78" s="548"/>
      <c r="TVN78" s="452"/>
      <c r="TVO78" s="596"/>
      <c r="TVP78" s="548"/>
      <c r="TVQ78" s="548"/>
      <c r="TVR78" s="548"/>
      <c r="TVS78" s="548"/>
      <c r="TVT78" s="548"/>
      <c r="TVU78" s="452"/>
      <c r="TVV78" s="596"/>
      <c r="TVW78" s="548"/>
      <c r="TVX78" s="548"/>
      <c r="TVY78" s="548"/>
      <c r="TVZ78" s="548"/>
      <c r="TWA78" s="548"/>
      <c r="TWB78" s="452"/>
      <c r="TWC78" s="596"/>
      <c r="TWD78" s="548"/>
      <c r="TWE78" s="548"/>
      <c r="TWF78" s="548"/>
      <c r="TWG78" s="548"/>
      <c r="TWH78" s="548"/>
      <c r="TWI78" s="452"/>
      <c r="TWJ78" s="596"/>
      <c r="TWK78" s="548"/>
      <c r="TWL78" s="548"/>
      <c r="TWM78" s="548"/>
      <c r="TWN78" s="548"/>
      <c r="TWO78" s="548"/>
      <c r="TWP78" s="452"/>
      <c r="TWQ78" s="596"/>
      <c r="TWR78" s="548"/>
      <c r="TWS78" s="548"/>
      <c r="TWT78" s="548"/>
      <c r="TWU78" s="548"/>
      <c r="TWV78" s="548"/>
      <c r="TWW78" s="452"/>
      <c r="TWX78" s="596"/>
      <c r="TWY78" s="548"/>
      <c r="TWZ78" s="548"/>
      <c r="TXA78" s="548"/>
      <c r="TXB78" s="548"/>
      <c r="TXC78" s="548"/>
      <c r="TXD78" s="452"/>
      <c r="TXE78" s="596"/>
      <c r="TXF78" s="548"/>
      <c r="TXG78" s="548"/>
      <c r="TXH78" s="548"/>
      <c r="TXI78" s="548"/>
      <c r="TXJ78" s="548"/>
      <c r="TXK78" s="452"/>
      <c r="TXL78" s="596"/>
      <c r="TXM78" s="548"/>
      <c r="TXN78" s="548"/>
      <c r="TXO78" s="548"/>
      <c r="TXP78" s="548"/>
      <c r="TXQ78" s="548"/>
      <c r="TXR78" s="452"/>
      <c r="TXS78" s="596"/>
      <c r="TXT78" s="548"/>
      <c r="TXU78" s="548"/>
      <c r="TXV78" s="548"/>
      <c r="TXW78" s="548"/>
      <c r="TXX78" s="548"/>
      <c r="TXY78" s="452"/>
      <c r="TXZ78" s="596"/>
      <c r="TYA78" s="548"/>
      <c r="TYB78" s="548"/>
      <c r="TYC78" s="548"/>
      <c r="TYD78" s="548"/>
      <c r="TYE78" s="548"/>
      <c r="TYF78" s="452"/>
      <c r="TYG78" s="596"/>
      <c r="TYH78" s="548"/>
      <c r="TYI78" s="548"/>
      <c r="TYJ78" s="548"/>
      <c r="TYK78" s="548"/>
      <c r="TYL78" s="548"/>
      <c r="TYM78" s="452"/>
      <c r="TYN78" s="596"/>
      <c r="TYO78" s="548"/>
      <c r="TYP78" s="548"/>
      <c r="TYQ78" s="548"/>
      <c r="TYR78" s="548"/>
      <c r="TYS78" s="548"/>
      <c r="TYT78" s="452"/>
      <c r="TYU78" s="596"/>
      <c r="TYV78" s="548"/>
      <c r="TYW78" s="548"/>
      <c r="TYX78" s="548"/>
      <c r="TYY78" s="548"/>
      <c r="TYZ78" s="548"/>
      <c r="TZA78" s="452"/>
      <c r="TZB78" s="596"/>
      <c r="TZC78" s="548"/>
      <c r="TZD78" s="548"/>
      <c r="TZE78" s="548"/>
      <c r="TZF78" s="548"/>
      <c r="TZG78" s="548"/>
      <c r="TZH78" s="452"/>
      <c r="TZI78" s="596"/>
      <c r="TZJ78" s="548"/>
      <c r="TZK78" s="548"/>
      <c r="TZL78" s="548"/>
      <c r="TZM78" s="548"/>
      <c r="TZN78" s="548"/>
      <c r="TZO78" s="452"/>
      <c r="TZP78" s="596"/>
      <c r="TZQ78" s="548"/>
      <c r="TZR78" s="548"/>
      <c r="TZS78" s="548"/>
      <c r="TZT78" s="548"/>
      <c r="TZU78" s="548"/>
      <c r="TZV78" s="452"/>
      <c r="TZW78" s="596"/>
      <c r="TZX78" s="548"/>
      <c r="TZY78" s="548"/>
      <c r="TZZ78" s="548"/>
      <c r="UAA78" s="548"/>
      <c r="UAB78" s="548"/>
      <c r="UAC78" s="452"/>
      <c r="UAD78" s="596"/>
      <c r="UAE78" s="548"/>
      <c r="UAF78" s="548"/>
      <c r="UAG78" s="548"/>
      <c r="UAH78" s="548"/>
      <c r="UAI78" s="548"/>
      <c r="UAJ78" s="452"/>
      <c r="UAK78" s="596"/>
      <c r="UAL78" s="548"/>
      <c r="UAM78" s="548"/>
      <c r="UAN78" s="548"/>
      <c r="UAO78" s="548"/>
      <c r="UAP78" s="548"/>
      <c r="UAQ78" s="452"/>
      <c r="UAR78" s="596"/>
      <c r="UAS78" s="548"/>
      <c r="UAT78" s="548"/>
      <c r="UAU78" s="548"/>
      <c r="UAV78" s="548"/>
      <c r="UAW78" s="548"/>
      <c r="UAX78" s="452"/>
      <c r="UAY78" s="596"/>
      <c r="UAZ78" s="548"/>
      <c r="UBA78" s="548"/>
      <c r="UBB78" s="548"/>
      <c r="UBC78" s="548"/>
      <c r="UBD78" s="548"/>
      <c r="UBE78" s="452"/>
      <c r="UBF78" s="596"/>
      <c r="UBG78" s="548"/>
      <c r="UBH78" s="548"/>
      <c r="UBI78" s="548"/>
      <c r="UBJ78" s="548"/>
      <c r="UBK78" s="548"/>
      <c r="UBL78" s="452"/>
      <c r="UBM78" s="596"/>
      <c r="UBN78" s="548"/>
      <c r="UBO78" s="548"/>
      <c r="UBP78" s="548"/>
      <c r="UBQ78" s="548"/>
      <c r="UBR78" s="548"/>
      <c r="UBS78" s="452"/>
      <c r="UBT78" s="596"/>
      <c r="UBU78" s="548"/>
      <c r="UBV78" s="548"/>
      <c r="UBW78" s="548"/>
      <c r="UBX78" s="548"/>
      <c r="UBY78" s="548"/>
      <c r="UBZ78" s="452"/>
      <c r="UCA78" s="596"/>
      <c r="UCB78" s="548"/>
      <c r="UCC78" s="548"/>
      <c r="UCD78" s="548"/>
      <c r="UCE78" s="548"/>
      <c r="UCF78" s="548"/>
      <c r="UCG78" s="452"/>
      <c r="UCH78" s="596"/>
      <c r="UCI78" s="548"/>
      <c r="UCJ78" s="548"/>
      <c r="UCK78" s="548"/>
      <c r="UCL78" s="548"/>
      <c r="UCM78" s="548"/>
      <c r="UCN78" s="452"/>
      <c r="UCO78" s="596"/>
      <c r="UCP78" s="548"/>
      <c r="UCQ78" s="548"/>
      <c r="UCR78" s="548"/>
      <c r="UCS78" s="548"/>
      <c r="UCT78" s="548"/>
      <c r="UCU78" s="452"/>
      <c r="UCV78" s="596"/>
      <c r="UCW78" s="548"/>
      <c r="UCX78" s="548"/>
      <c r="UCY78" s="548"/>
      <c r="UCZ78" s="548"/>
      <c r="UDA78" s="548"/>
      <c r="UDB78" s="452"/>
      <c r="UDC78" s="596"/>
      <c r="UDD78" s="548"/>
      <c r="UDE78" s="548"/>
      <c r="UDF78" s="548"/>
      <c r="UDG78" s="548"/>
      <c r="UDH78" s="548"/>
      <c r="UDI78" s="452"/>
      <c r="UDJ78" s="596"/>
      <c r="UDK78" s="548"/>
      <c r="UDL78" s="548"/>
      <c r="UDM78" s="548"/>
      <c r="UDN78" s="548"/>
      <c r="UDO78" s="548"/>
      <c r="UDP78" s="452"/>
      <c r="UDQ78" s="596"/>
      <c r="UDR78" s="548"/>
      <c r="UDS78" s="548"/>
      <c r="UDT78" s="548"/>
      <c r="UDU78" s="548"/>
      <c r="UDV78" s="548"/>
      <c r="UDW78" s="452"/>
      <c r="UDX78" s="596"/>
      <c r="UDY78" s="548"/>
      <c r="UDZ78" s="548"/>
      <c r="UEA78" s="548"/>
      <c r="UEB78" s="548"/>
      <c r="UEC78" s="548"/>
      <c r="UED78" s="452"/>
      <c r="UEE78" s="596"/>
      <c r="UEF78" s="548"/>
      <c r="UEG78" s="548"/>
      <c r="UEH78" s="548"/>
      <c r="UEI78" s="548"/>
      <c r="UEJ78" s="548"/>
      <c r="UEK78" s="452"/>
      <c r="UEL78" s="596"/>
      <c r="UEM78" s="548"/>
      <c r="UEN78" s="548"/>
      <c r="UEO78" s="548"/>
      <c r="UEP78" s="548"/>
      <c r="UEQ78" s="548"/>
      <c r="UER78" s="452"/>
      <c r="UES78" s="596"/>
      <c r="UET78" s="548"/>
      <c r="UEU78" s="548"/>
      <c r="UEV78" s="548"/>
      <c r="UEW78" s="548"/>
      <c r="UEX78" s="548"/>
      <c r="UEY78" s="452"/>
      <c r="UEZ78" s="596"/>
      <c r="UFA78" s="548"/>
      <c r="UFB78" s="548"/>
      <c r="UFC78" s="548"/>
      <c r="UFD78" s="548"/>
      <c r="UFE78" s="548"/>
      <c r="UFF78" s="452"/>
      <c r="UFG78" s="596"/>
      <c r="UFH78" s="548"/>
      <c r="UFI78" s="548"/>
      <c r="UFJ78" s="548"/>
      <c r="UFK78" s="548"/>
      <c r="UFL78" s="548"/>
      <c r="UFM78" s="452"/>
      <c r="UFN78" s="596"/>
      <c r="UFO78" s="548"/>
      <c r="UFP78" s="548"/>
      <c r="UFQ78" s="548"/>
      <c r="UFR78" s="548"/>
      <c r="UFS78" s="548"/>
      <c r="UFT78" s="452"/>
      <c r="UFU78" s="596"/>
      <c r="UFV78" s="548"/>
      <c r="UFW78" s="548"/>
      <c r="UFX78" s="548"/>
      <c r="UFY78" s="548"/>
      <c r="UFZ78" s="548"/>
      <c r="UGA78" s="452"/>
      <c r="UGB78" s="596"/>
      <c r="UGC78" s="548"/>
      <c r="UGD78" s="548"/>
      <c r="UGE78" s="548"/>
      <c r="UGF78" s="548"/>
      <c r="UGG78" s="548"/>
      <c r="UGH78" s="452"/>
      <c r="UGI78" s="596"/>
      <c r="UGJ78" s="548"/>
      <c r="UGK78" s="548"/>
      <c r="UGL78" s="548"/>
      <c r="UGM78" s="548"/>
      <c r="UGN78" s="548"/>
      <c r="UGO78" s="452"/>
      <c r="UGP78" s="596"/>
      <c r="UGQ78" s="548"/>
      <c r="UGR78" s="548"/>
      <c r="UGS78" s="548"/>
      <c r="UGT78" s="548"/>
      <c r="UGU78" s="548"/>
      <c r="UGV78" s="452"/>
      <c r="UGW78" s="596"/>
      <c r="UGX78" s="548"/>
      <c r="UGY78" s="548"/>
      <c r="UGZ78" s="548"/>
      <c r="UHA78" s="548"/>
      <c r="UHB78" s="548"/>
      <c r="UHC78" s="452"/>
      <c r="UHD78" s="596"/>
      <c r="UHE78" s="548"/>
      <c r="UHF78" s="548"/>
      <c r="UHG78" s="548"/>
      <c r="UHH78" s="548"/>
      <c r="UHI78" s="548"/>
      <c r="UHJ78" s="452"/>
      <c r="UHK78" s="596"/>
      <c r="UHL78" s="548"/>
      <c r="UHM78" s="548"/>
      <c r="UHN78" s="548"/>
      <c r="UHO78" s="548"/>
      <c r="UHP78" s="548"/>
      <c r="UHQ78" s="452"/>
      <c r="UHR78" s="596"/>
      <c r="UHS78" s="548"/>
      <c r="UHT78" s="548"/>
      <c r="UHU78" s="548"/>
      <c r="UHV78" s="548"/>
      <c r="UHW78" s="548"/>
      <c r="UHX78" s="452"/>
      <c r="UHY78" s="596"/>
      <c r="UHZ78" s="548"/>
      <c r="UIA78" s="548"/>
      <c r="UIB78" s="548"/>
      <c r="UIC78" s="548"/>
      <c r="UID78" s="548"/>
      <c r="UIE78" s="452"/>
      <c r="UIF78" s="596"/>
      <c r="UIG78" s="548"/>
      <c r="UIH78" s="548"/>
      <c r="UII78" s="548"/>
      <c r="UIJ78" s="548"/>
      <c r="UIK78" s="548"/>
      <c r="UIL78" s="452"/>
      <c r="UIM78" s="596"/>
      <c r="UIN78" s="548"/>
      <c r="UIO78" s="548"/>
      <c r="UIP78" s="548"/>
      <c r="UIQ78" s="548"/>
      <c r="UIR78" s="548"/>
      <c r="UIS78" s="452"/>
      <c r="UIT78" s="596"/>
      <c r="UIU78" s="548"/>
      <c r="UIV78" s="548"/>
      <c r="UIW78" s="548"/>
      <c r="UIX78" s="548"/>
      <c r="UIY78" s="548"/>
      <c r="UIZ78" s="452"/>
      <c r="UJA78" s="596"/>
      <c r="UJB78" s="548"/>
      <c r="UJC78" s="548"/>
      <c r="UJD78" s="548"/>
      <c r="UJE78" s="548"/>
      <c r="UJF78" s="548"/>
      <c r="UJG78" s="452"/>
      <c r="UJH78" s="596"/>
      <c r="UJI78" s="548"/>
      <c r="UJJ78" s="548"/>
      <c r="UJK78" s="548"/>
      <c r="UJL78" s="548"/>
      <c r="UJM78" s="548"/>
      <c r="UJN78" s="452"/>
      <c r="UJO78" s="596"/>
      <c r="UJP78" s="548"/>
      <c r="UJQ78" s="548"/>
      <c r="UJR78" s="548"/>
      <c r="UJS78" s="548"/>
      <c r="UJT78" s="548"/>
      <c r="UJU78" s="452"/>
      <c r="UJV78" s="596"/>
      <c r="UJW78" s="548"/>
      <c r="UJX78" s="548"/>
      <c r="UJY78" s="548"/>
      <c r="UJZ78" s="548"/>
      <c r="UKA78" s="548"/>
      <c r="UKB78" s="452"/>
      <c r="UKC78" s="596"/>
      <c r="UKD78" s="548"/>
      <c r="UKE78" s="548"/>
      <c r="UKF78" s="548"/>
      <c r="UKG78" s="548"/>
      <c r="UKH78" s="548"/>
      <c r="UKI78" s="452"/>
      <c r="UKJ78" s="596"/>
      <c r="UKK78" s="548"/>
      <c r="UKL78" s="548"/>
      <c r="UKM78" s="548"/>
      <c r="UKN78" s="548"/>
      <c r="UKO78" s="548"/>
      <c r="UKP78" s="452"/>
      <c r="UKQ78" s="596"/>
      <c r="UKR78" s="548"/>
      <c r="UKS78" s="548"/>
      <c r="UKT78" s="548"/>
      <c r="UKU78" s="548"/>
      <c r="UKV78" s="548"/>
      <c r="UKW78" s="452"/>
      <c r="UKX78" s="596"/>
      <c r="UKY78" s="548"/>
      <c r="UKZ78" s="548"/>
      <c r="ULA78" s="548"/>
      <c r="ULB78" s="548"/>
      <c r="ULC78" s="548"/>
      <c r="ULD78" s="452"/>
      <c r="ULE78" s="596"/>
      <c r="ULF78" s="548"/>
      <c r="ULG78" s="548"/>
      <c r="ULH78" s="548"/>
      <c r="ULI78" s="548"/>
      <c r="ULJ78" s="548"/>
      <c r="ULK78" s="452"/>
      <c r="ULL78" s="596"/>
      <c r="ULM78" s="548"/>
      <c r="ULN78" s="548"/>
      <c r="ULO78" s="548"/>
      <c r="ULP78" s="548"/>
      <c r="ULQ78" s="548"/>
      <c r="ULR78" s="452"/>
      <c r="ULS78" s="596"/>
      <c r="ULT78" s="548"/>
      <c r="ULU78" s="548"/>
      <c r="ULV78" s="548"/>
      <c r="ULW78" s="548"/>
      <c r="ULX78" s="548"/>
      <c r="ULY78" s="452"/>
      <c r="ULZ78" s="596"/>
      <c r="UMA78" s="548"/>
      <c r="UMB78" s="548"/>
      <c r="UMC78" s="548"/>
      <c r="UMD78" s="548"/>
      <c r="UME78" s="548"/>
      <c r="UMF78" s="452"/>
      <c r="UMG78" s="596"/>
      <c r="UMH78" s="548"/>
      <c r="UMI78" s="548"/>
      <c r="UMJ78" s="548"/>
      <c r="UMK78" s="548"/>
      <c r="UML78" s="548"/>
      <c r="UMM78" s="452"/>
      <c r="UMN78" s="596"/>
      <c r="UMO78" s="548"/>
      <c r="UMP78" s="548"/>
      <c r="UMQ78" s="548"/>
      <c r="UMR78" s="548"/>
      <c r="UMS78" s="548"/>
      <c r="UMT78" s="452"/>
      <c r="UMU78" s="596"/>
      <c r="UMV78" s="548"/>
      <c r="UMW78" s="548"/>
      <c r="UMX78" s="548"/>
      <c r="UMY78" s="548"/>
      <c r="UMZ78" s="548"/>
      <c r="UNA78" s="452"/>
      <c r="UNB78" s="596"/>
      <c r="UNC78" s="548"/>
      <c r="UND78" s="548"/>
      <c r="UNE78" s="548"/>
      <c r="UNF78" s="548"/>
      <c r="UNG78" s="548"/>
      <c r="UNH78" s="452"/>
      <c r="UNI78" s="596"/>
      <c r="UNJ78" s="548"/>
      <c r="UNK78" s="548"/>
      <c r="UNL78" s="548"/>
      <c r="UNM78" s="548"/>
      <c r="UNN78" s="548"/>
      <c r="UNO78" s="452"/>
      <c r="UNP78" s="596"/>
      <c r="UNQ78" s="548"/>
      <c r="UNR78" s="548"/>
      <c r="UNS78" s="548"/>
      <c r="UNT78" s="548"/>
      <c r="UNU78" s="548"/>
      <c r="UNV78" s="452"/>
      <c r="UNW78" s="596"/>
      <c r="UNX78" s="548"/>
      <c r="UNY78" s="548"/>
      <c r="UNZ78" s="548"/>
      <c r="UOA78" s="548"/>
      <c r="UOB78" s="548"/>
      <c r="UOC78" s="452"/>
      <c r="UOD78" s="596"/>
      <c r="UOE78" s="548"/>
      <c r="UOF78" s="548"/>
      <c r="UOG78" s="548"/>
      <c r="UOH78" s="548"/>
      <c r="UOI78" s="548"/>
      <c r="UOJ78" s="452"/>
      <c r="UOK78" s="596"/>
      <c r="UOL78" s="548"/>
      <c r="UOM78" s="548"/>
      <c r="UON78" s="548"/>
      <c r="UOO78" s="548"/>
      <c r="UOP78" s="548"/>
      <c r="UOQ78" s="452"/>
      <c r="UOR78" s="596"/>
      <c r="UOS78" s="548"/>
      <c r="UOT78" s="548"/>
      <c r="UOU78" s="548"/>
      <c r="UOV78" s="548"/>
      <c r="UOW78" s="548"/>
      <c r="UOX78" s="452"/>
      <c r="UOY78" s="596"/>
      <c r="UOZ78" s="548"/>
      <c r="UPA78" s="548"/>
      <c r="UPB78" s="548"/>
      <c r="UPC78" s="548"/>
      <c r="UPD78" s="548"/>
      <c r="UPE78" s="452"/>
      <c r="UPF78" s="596"/>
      <c r="UPG78" s="548"/>
      <c r="UPH78" s="548"/>
      <c r="UPI78" s="548"/>
      <c r="UPJ78" s="548"/>
      <c r="UPK78" s="548"/>
      <c r="UPL78" s="452"/>
      <c r="UPM78" s="596"/>
      <c r="UPN78" s="548"/>
      <c r="UPO78" s="548"/>
      <c r="UPP78" s="548"/>
      <c r="UPQ78" s="548"/>
      <c r="UPR78" s="548"/>
      <c r="UPS78" s="452"/>
      <c r="UPT78" s="596"/>
      <c r="UPU78" s="548"/>
      <c r="UPV78" s="548"/>
      <c r="UPW78" s="548"/>
      <c r="UPX78" s="548"/>
      <c r="UPY78" s="548"/>
      <c r="UPZ78" s="452"/>
      <c r="UQA78" s="596"/>
      <c r="UQB78" s="548"/>
      <c r="UQC78" s="548"/>
      <c r="UQD78" s="548"/>
      <c r="UQE78" s="548"/>
      <c r="UQF78" s="548"/>
      <c r="UQG78" s="452"/>
      <c r="UQH78" s="596"/>
      <c r="UQI78" s="548"/>
      <c r="UQJ78" s="548"/>
      <c r="UQK78" s="548"/>
      <c r="UQL78" s="548"/>
      <c r="UQM78" s="548"/>
      <c r="UQN78" s="452"/>
      <c r="UQO78" s="596"/>
      <c r="UQP78" s="548"/>
      <c r="UQQ78" s="548"/>
      <c r="UQR78" s="548"/>
      <c r="UQS78" s="548"/>
      <c r="UQT78" s="548"/>
      <c r="UQU78" s="452"/>
      <c r="UQV78" s="596"/>
      <c r="UQW78" s="548"/>
      <c r="UQX78" s="548"/>
      <c r="UQY78" s="548"/>
      <c r="UQZ78" s="548"/>
      <c r="URA78" s="548"/>
      <c r="URB78" s="452"/>
      <c r="URC78" s="596"/>
      <c r="URD78" s="548"/>
      <c r="URE78" s="548"/>
      <c r="URF78" s="548"/>
      <c r="URG78" s="548"/>
      <c r="URH78" s="548"/>
      <c r="URI78" s="452"/>
      <c r="URJ78" s="596"/>
      <c r="URK78" s="548"/>
      <c r="URL78" s="548"/>
      <c r="URM78" s="548"/>
      <c r="URN78" s="548"/>
      <c r="URO78" s="548"/>
      <c r="URP78" s="452"/>
      <c r="URQ78" s="596"/>
      <c r="URR78" s="548"/>
      <c r="URS78" s="548"/>
      <c r="URT78" s="548"/>
      <c r="URU78" s="548"/>
      <c r="URV78" s="548"/>
      <c r="URW78" s="452"/>
      <c r="URX78" s="596"/>
      <c r="URY78" s="548"/>
      <c r="URZ78" s="548"/>
      <c r="USA78" s="548"/>
      <c r="USB78" s="548"/>
      <c r="USC78" s="548"/>
      <c r="USD78" s="452"/>
      <c r="USE78" s="596"/>
      <c r="USF78" s="548"/>
      <c r="USG78" s="548"/>
      <c r="USH78" s="548"/>
      <c r="USI78" s="548"/>
      <c r="USJ78" s="548"/>
      <c r="USK78" s="452"/>
      <c r="USL78" s="596"/>
      <c r="USM78" s="548"/>
      <c r="USN78" s="548"/>
      <c r="USO78" s="548"/>
      <c r="USP78" s="548"/>
      <c r="USQ78" s="548"/>
      <c r="USR78" s="452"/>
      <c r="USS78" s="596"/>
      <c r="UST78" s="548"/>
      <c r="USU78" s="548"/>
      <c r="USV78" s="548"/>
      <c r="USW78" s="548"/>
      <c r="USX78" s="548"/>
      <c r="USY78" s="452"/>
      <c r="USZ78" s="596"/>
      <c r="UTA78" s="548"/>
      <c r="UTB78" s="548"/>
      <c r="UTC78" s="548"/>
      <c r="UTD78" s="548"/>
      <c r="UTE78" s="548"/>
      <c r="UTF78" s="452"/>
      <c r="UTG78" s="596"/>
      <c r="UTH78" s="548"/>
      <c r="UTI78" s="548"/>
      <c r="UTJ78" s="548"/>
      <c r="UTK78" s="548"/>
      <c r="UTL78" s="548"/>
      <c r="UTM78" s="452"/>
      <c r="UTN78" s="596"/>
      <c r="UTO78" s="548"/>
      <c r="UTP78" s="548"/>
      <c r="UTQ78" s="548"/>
      <c r="UTR78" s="548"/>
      <c r="UTS78" s="548"/>
      <c r="UTT78" s="452"/>
      <c r="UTU78" s="596"/>
      <c r="UTV78" s="548"/>
      <c r="UTW78" s="548"/>
      <c r="UTX78" s="548"/>
      <c r="UTY78" s="548"/>
      <c r="UTZ78" s="548"/>
      <c r="UUA78" s="452"/>
      <c r="UUB78" s="596"/>
      <c r="UUC78" s="548"/>
      <c r="UUD78" s="548"/>
      <c r="UUE78" s="548"/>
      <c r="UUF78" s="548"/>
      <c r="UUG78" s="548"/>
      <c r="UUH78" s="452"/>
      <c r="UUI78" s="596"/>
      <c r="UUJ78" s="548"/>
      <c r="UUK78" s="548"/>
      <c r="UUL78" s="548"/>
      <c r="UUM78" s="548"/>
      <c r="UUN78" s="548"/>
      <c r="UUO78" s="452"/>
      <c r="UUP78" s="596"/>
      <c r="UUQ78" s="548"/>
      <c r="UUR78" s="548"/>
      <c r="UUS78" s="548"/>
      <c r="UUT78" s="548"/>
      <c r="UUU78" s="548"/>
      <c r="UUV78" s="452"/>
      <c r="UUW78" s="596"/>
      <c r="UUX78" s="548"/>
      <c r="UUY78" s="548"/>
      <c r="UUZ78" s="548"/>
      <c r="UVA78" s="548"/>
      <c r="UVB78" s="548"/>
      <c r="UVC78" s="452"/>
      <c r="UVD78" s="596"/>
      <c r="UVE78" s="548"/>
      <c r="UVF78" s="548"/>
      <c r="UVG78" s="548"/>
      <c r="UVH78" s="548"/>
      <c r="UVI78" s="548"/>
      <c r="UVJ78" s="452"/>
      <c r="UVK78" s="596"/>
      <c r="UVL78" s="548"/>
      <c r="UVM78" s="548"/>
      <c r="UVN78" s="548"/>
      <c r="UVO78" s="548"/>
      <c r="UVP78" s="548"/>
      <c r="UVQ78" s="452"/>
      <c r="UVR78" s="596"/>
      <c r="UVS78" s="548"/>
      <c r="UVT78" s="548"/>
      <c r="UVU78" s="548"/>
      <c r="UVV78" s="548"/>
      <c r="UVW78" s="548"/>
      <c r="UVX78" s="452"/>
      <c r="UVY78" s="596"/>
      <c r="UVZ78" s="548"/>
      <c r="UWA78" s="548"/>
      <c r="UWB78" s="548"/>
      <c r="UWC78" s="548"/>
      <c r="UWD78" s="548"/>
      <c r="UWE78" s="452"/>
      <c r="UWF78" s="596"/>
      <c r="UWG78" s="548"/>
      <c r="UWH78" s="548"/>
      <c r="UWI78" s="548"/>
      <c r="UWJ78" s="548"/>
      <c r="UWK78" s="548"/>
      <c r="UWL78" s="452"/>
      <c r="UWM78" s="596"/>
      <c r="UWN78" s="548"/>
      <c r="UWO78" s="548"/>
      <c r="UWP78" s="548"/>
      <c r="UWQ78" s="548"/>
      <c r="UWR78" s="548"/>
      <c r="UWS78" s="452"/>
      <c r="UWT78" s="596"/>
      <c r="UWU78" s="548"/>
      <c r="UWV78" s="548"/>
      <c r="UWW78" s="548"/>
      <c r="UWX78" s="548"/>
      <c r="UWY78" s="548"/>
      <c r="UWZ78" s="452"/>
      <c r="UXA78" s="596"/>
      <c r="UXB78" s="548"/>
      <c r="UXC78" s="548"/>
      <c r="UXD78" s="548"/>
      <c r="UXE78" s="548"/>
      <c r="UXF78" s="548"/>
      <c r="UXG78" s="452"/>
      <c r="UXH78" s="596"/>
      <c r="UXI78" s="548"/>
      <c r="UXJ78" s="548"/>
      <c r="UXK78" s="548"/>
      <c r="UXL78" s="548"/>
      <c r="UXM78" s="548"/>
      <c r="UXN78" s="452"/>
      <c r="UXO78" s="596"/>
      <c r="UXP78" s="548"/>
      <c r="UXQ78" s="548"/>
      <c r="UXR78" s="548"/>
      <c r="UXS78" s="548"/>
      <c r="UXT78" s="548"/>
      <c r="UXU78" s="452"/>
      <c r="UXV78" s="596"/>
      <c r="UXW78" s="548"/>
      <c r="UXX78" s="548"/>
      <c r="UXY78" s="548"/>
      <c r="UXZ78" s="548"/>
      <c r="UYA78" s="548"/>
      <c r="UYB78" s="452"/>
      <c r="UYC78" s="596"/>
      <c r="UYD78" s="548"/>
      <c r="UYE78" s="548"/>
      <c r="UYF78" s="548"/>
      <c r="UYG78" s="548"/>
      <c r="UYH78" s="548"/>
      <c r="UYI78" s="452"/>
      <c r="UYJ78" s="596"/>
      <c r="UYK78" s="548"/>
      <c r="UYL78" s="548"/>
      <c r="UYM78" s="548"/>
      <c r="UYN78" s="548"/>
      <c r="UYO78" s="548"/>
      <c r="UYP78" s="452"/>
      <c r="UYQ78" s="596"/>
      <c r="UYR78" s="548"/>
      <c r="UYS78" s="548"/>
      <c r="UYT78" s="548"/>
      <c r="UYU78" s="548"/>
      <c r="UYV78" s="548"/>
      <c r="UYW78" s="452"/>
      <c r="UYX78" s="596"/>
      <c r="UYY78" s="548"/>
      <c r="UYZ78" s="548"/>
      <c r="UZA78" s="548"/>
      <c r="UZB78" s="548"/>
      <c r="UZC78" s="548"/>
      <c r="UZD78" s="452"/>
      <c r="UZE78" s="596"/>
      <c r="UZF78" s="548"/>
      <c r="UZG78" s="548"/>
      <c r="UZH78" s="548"/>
      <c r="UZI78" s="548"/>
      <c r="UZJ78" s="548"/>
      <c r="UZK78" s="452"/>
      <c r="UZL78" s="596"/>
      <c r="UZM78" s="548"/>
      <c r="UZN78" s="548"/>
      <c r="UZO78" s="548"/>
      <c r="UZP78" s="548"/>
      <c r="UZQ78" s="548"/>
      <c r="UZR78" s="452"/>
      <c r="UZS78" s="596"/>
      <c r="UZT78" s="548"/>
      <c r="UZU78" s="548"/>
      <c r="UZV78" s="548"/>
      <c r="UZW78" s="548"/>
      <c r="UZX78" s="548"/>
      <c r="UZY78" s="452"/>
      <c r="UZZ78" s="596"/>
      <c r="VAA78" s="548"/>
      <c r="VAB78" s="548"/>
      <c r="VAC78" s="548"/>
      <c r="VAD78" s="548"/>
      <c r="VAE78" s="548"/>
      <c r="VAF78" s="452"/>
      <c r="VAG78" s="596"/>
      <c r="VAH78" s="548"/>
      <c r="VAI78" s="548"/>
      <c r="VAJ78" s="548"/>
      <c r="VAK78" s="548"/>
      <c r="VAL78" s="548"/>
      <c r="VAM78" s="452"/>
      <c r="VAN78" s="596"/>
      <c r="VAO78" s="548"/>
      <c r="VAP78" s="548"/>
      <c r="VAQ78" s="548"/>
      <c r="VAR78" s="548"/>
      <c r="VAS78" s="548"/>
      <c r="VAT78" s="452"/>
      <c r="VAU78" s="596"/>
      <c r="VAV78" s="548"/>
      <c r="VAW78" s="548"/>
      <c r="VAX78" s="548"/>
      <c r="VAY78" s="548"/>
      <c r="VAZ78" s="548"/>
      <c r="VBA78" s="452"/>
      <c r="VBB78" s="596"/>
      <c r="VBC78" s="548"/>
      <c r="VBD78" s="548"/>
      <c r="VBE78" s="548"/>
      <c r="VBF78" s="548"/>
      <c r="VBG78" s="548"/>
      <c r="VBH78" s="452"/>
      <c r="VBI78" s="596"/>
      <c r="VBJ78" s="548"/>
      <c r="VBK78" s="548"/>
      <c r="VBL78" s="548"/>
      <c r="VBM78" s="548"/>
      <c r="VBN78" s="548"/>
      <c r="VBO78" s="452"/>
      <c r="VBP78" s="596"/>
      <c r="VBQ78" s="548"/>
      <c r="VBR78" s="548"/>
      <c r="VBS78" s="548"/>
      <c r="VBT78" s="548"/>
      <c r="VBU78" s="548"/>
      <c r="VBV78" s="452"/>
      <c r="VBW78" s="596"/>
      <c r="VBX78" s="548"/>
      <c r="VBY78" s="548"/>
      <c r="VBZ78" s="548"/>
      <c r="VCA78" s="548"/>
      <c r="VCB78" s="548"/>
      <c r="VCC78" s="452"/>
      <c r="VCD78" s="596"/>
      <c r="VCE78" s="548"/>
      <c r="VCF78" s="548"/>
      <c r="VCG78" s="548"/>
      <c r="VCH78" s="548"/>
      <c r="VCI78" s="548"/>
      <c r="VCJ78" s="452"/>
      <c r="VCK78" s="596"/>
      <c r="VCL78" s="548"/>
      <c r="VCM78" s="548"/>
      <c r="VCN78" s="548"/>
      <c r="VCO78" s="548"/>
      <c r="VCP78" s="548"/>
      <c r="VCQ78" s="452"/>
      <c r="VCR78" s="596"/>
      <c r="VCS78" s="548"/>
      <c r="VCT78" s="548"/>
      <c r="VCU78" s="548"/>
      <c r="VCV78" s="548"/>
      <c r="VCW78" s="548"/>
      <c r="VCX78" s="452"/>
      <c r="VCY78" s="596"/>
      <c r="VCZ78" s="548"/>
      <c r="VDA78" s="548"/>
      <c r="VDB78" s="548"/>
      <c r="VDC78" s="548"/>
      <c r="VDD78" s="548"/>
      <c r="VDE78" s="452"/>
      <c r="VDF78" s="596"/>
      <c r="VDG78" s="548"/>
      <c r="VDH78" s="548"/>
      <c r="VDI78" s="548"/>
      <c r="VDJ78" s="548"/>
      <c r="VDK78" s="548"/>
      <c r="VDL78" s="452"/>
      <c r="VDM78" s="596"/>
      <c r="VDN78" s="548"/>
      <c r="VDO78" s="548"/>
      <c r="VDP78" s="548"/>
      <c r="VDQ78" s="548"/>
      <c r="VDR78" s="548"/>
      <c r="VDS78" s="452"/>
      <c r="VDT78" s="596"/>
      <c r="VDU78" s="548"/>
      <c r="VDV78" s="548"/>
      <c r="VDW78" s="548"/>
      <c r="VDX78" s="548"/>
      <c r="VDY78" s="548"/>
      <c r="VDZ78" s="452"/>
      <c r="VEA78" s="596"/>
      <c r="VEB78" s="548"/>
      <c r="VEC78" s="548"/>
      <c r="VED78" s="548"/>
      <c r="VEE78" s="548"/>
      <c r="VEF78" s="548"/>
      <c r="VEG78" s="452"/>
      <c r="VEH78" s="596"/>
      <c r="VEI78" s="548"/>
      <c r="VEJ78" s="548"/>
      <c r="VEK78" s="548"/>
      <c r="VEL78" s="548"/>
      <c r="VEM78" s="548"/>
      <c r="VEN78" s="452"/>
      <c r="VEO78" s="596"/>
      <c r="VEP78" s="548"/>
      <c r="VEQ78" s="548"/>
      <c r="VER78" s="548"/>
      <c r="VES78" s="548"/>
      <c r="VET78" s="548"/>
      <c r="VEU78" s="452"/>
      <c r="VEV78" s="596"/>
      <c r="VEW78" s="548"/>
      <c r="VEX78" s="548"/>
      <c r="VEY78" s="548"/>
      <c r="VEZ78" s="548"/>
      <c r="VFA78" s="548"/>
      <c r="VFB78" s="452"/>
      <c r="VFC78" s="596"/>
      <c r="VFD78" s="548"/>
      <c r="VFE78" s="548"/>
      <c r="VFF78" s="548"/>
      <c r="VFG78" s="548"/>
      <c r="VFH78" s="548"/>
      <c r="VFI78" s="452"/>
      <c r="VFJ78" s="596"/>
      <c r="VFK78" s="548"/>
      <c r="VFL78" s="548"/>
      <c r="VFM78" s="548"/>
      <c r="VFN78" s="548"/>
      <c r="VFO78" s="548"/>
      <c r="VFP78" s="452"/>
      <c r="VFQ78" s="596"/>
      <c r="VFR78" s="548"/>
      <c r="VFS78" s="548"/>
      <c r="VFT78" s="548"/>
      <c r="VFU78" s="548"/>
      <c r="VFV78" s="548"/>
      <c r="VFW78" s="452"/>
      <c r="VFX78" s="596"/>
      <c r="VFY78" s="548"/>
      <c r="VFZ78" s="548"/>
      <c r="VGA78" s="548"/>
      <c r="VGB78" s="548"/>
      <c r="VGC78" s="548"/>
      <c r="VGD78" s="452"/>
      <c r="VGE78" s="596"/>
      <c r="VGF78" s="548"/>
      <c r="VGG78" s="548"/>
      <c r="VGH78" s="548"/>
      <c r="VGI78" s="548"/>
      <c r="VGJ78" s="548"/>
      <c r="VGK78" s="452"/>
      <c r="VGL78" s="596"/>
      <c r="VGM78" s="548"/>
      <c r="VGN78" s="548"/>
      <c r="VGO78" s="548"/>
      <c r="VGP78" s="548"/>
      <c r="VGQ78" s="548"/>
      <c r="VGR78" s="452"/>
      <c r="VGS78" s="596"/>
      <c r="VGT78" s="548"/>
      <c r="VGU78" s="548"/>
      <c r="VGV78" s="548"/>
      <c r="VGW78" s="548"/>
      <c r="VGX78" s="548"/>
      <c r="VGY78" s="452"/>
      <c r="VGZ78" s="596"/>
      <c r="VHA78" s="548"/>
      <c r="VHB78" s="548"/>
      <c r="VHC78" s="548"/>
      <c r="VHD78" s="548"/>
      <c r="VHE78" s="548"/>
      <c r="VHF78" s="452"/>
      <c r="VHG78" s="596"/>
      <c r="VHH78" s="548"/>
      <c r="VHI78" s="548"/>
      <c r="VHJ78" s="548"/>
      <c r="VHK78" s="548"/>
      <c r="VHL78" s="548"/>
      <c r="VHM78" s="452"/>
      <c r="VHN78" s="596"/>
      <c r="VHO78" s="548"/>
      <c r="VHP78" s="548"/>
      <c r="VHQ78" s="548"/>
      <c r="VHR78" s="548"/>
      <c r="VHS78" s="548"/>
      <c r="VHT78" s="452"/>
      <c r="VHU78" s="596"/>
      <c r="VHV78" s="548"/>
      <c r="VHW78" s="548"/>
      <c r="VHX78" s="548"/>
      <c r="VHY78" s="548"/>
      <c r="VHZ78" s="548"/>
      <c r="VIA78" s="452"/>
      <c r="VIB78" s="596"/>
      <c r="VIC78" s="548"/>
      <c r="VID78" s="548"/>
      <c r="VIE78" s="548"/>
      <c r="VIF78" s="548"/>
      <c r="VIG78" s="548"/>
      <c r="VIH78" s="452"/>
      <c r="VII78" s="596"/>
      <c r="VIJ78" s="548"/>
      <c r="VIK78" s="548"/>
      <c r="VIL78" s="548"/>
      <c r="VIM78" s="548"/>
      <c r="VIN78" s="548"/>
      <c r="VIO78" s="452"/>
      <c r="VIP78" s="596"/>
      <c r="VIQ78" s="548"/>
      <c r="VIR78" s="548"/>
      <c r="VIS78" s="548"/>
      <c r="VIT78" s="548"/>
      <c r="VIU78" s="548"/>
      <c r="VIV78" s="452"/>
      <c r="VIW78" s="596"/>
      <c r="VIX78" s="548"/>
      <c r="VIY78" s="548"/>
      <c r="VIZ78" s="548"/>
      <c r="VJA78" s="548"/>
      <c r="VJB78" s="548"/>
      <c r="VJC78" s="452"/>
      <c r="VJD78" s="596"/>
      <c r="VJE78" s="548"/>
      <c r="VJF78" s="548"/>
      <c r="VJG78" s="548"/>
      <c r="VJH78" s="548"/>
      <c r="VJI78" s="548"/>
      <c r="VJJ78" s="452"/>
      <c r="VJK78" s="596"/>
      <c r="VJL78" s="548"/>
      <c r="VJM78" s="548"/>
      <c r="VJN78" s="548"/>
      <c r="VJO78" s="548"/>
      <c r="VJP78" s="548"/>
      <c r="VJQ78" s="452"/>
      <c r="VJR78" s="596"/>
      <c r="VJS78" s="548"/>
      <c r="VJT78" s="548"/>
      <c r="VJU78" s="548"/>
      <c r="VJV78" s="548"/>
      <c r="VJW78" s="548"/>
      <c r="VJX78" s="452"/>
      <c r="VJY78" s="596"/>
      <c r="VJZ78" s="548"/>
      <c r="VKA78" s="548"/>
      <c r="VKB78" s="548"/>
      <c r="VKC78" s="548"/>
      <c r="VKD78" s="548"/>
      <c r="VKE78" s="452"/>
      <c r="VKF78" s="596"/>
      <c r="VKG78" s="548"/>
      <c r="VKH78" s="548"/>
      <c r="VKI78" s="548"/>
      <c r="VKJ78" s="548"/>
      <c r="VKK78" s="548"/>
      <c r="VKL78" s="452"/>
      <c r="VKM78" s="596"/>
      <c r="VKN78" s="548"/>
      <c r="VKO78" s="548"/>
      <c r="VKP78" s="548"/>
      <c r="VKQ78" s="548"/>
      <c r="VKR78" s="548"/>
      <c r="VKS78" s="452"/>
      <c r="VKT78" s="596"/>
      <c r="VKU78" s="548"/>
      <c r="VKV78" s="548"/>
      <c r="VKW78" s="548"/>
      <c r="VKX78" s="548"/>
      <c r="VKY78" s="548"/>
      <c r="VKZ78" s="452"/>
      <c r="VLA78" s="596"/>
      <c r="VLB78" s="548"/>
      <c r="VLC78" s="548"/>
      <c r="VLD78" s="548"/>
      <c r="VLE78" s="548"/>
      <c r="VLF78" s="548"/>
      <c r="VLG78" s="452"/>
      <c r="VLH78" s="596"/>
      <c r="VLI78" s="548"/>
      <c r="VLJ78" s="548"/>
      <c r="VLK78" s="548"/>
      <c r="VLL78" s="548"/>
      <c r="VLM78" s="548"/>
      <c r="VLN78" s="452"/>
      <c r="VLO78" s="596"/>
      <c r="VLP78" s="548"/>
      <c r="VLQ78" s="548"/>
      <c r="VLR78" s="548"/>
      <c r="VLS78" s="548"/>
      <c r="VLT78" s="548"/>
      <c r="VLU78" s="452"/>
      <c r="VLV78" s="596"/>
      <c r="VLW78" s="548"/>
      <c r="VLX78" s="548"/>
      <c r="VLY78" s="548"/>
      <c r="VLZ78" s="548"/>
      <c r="VMA78" s="548"/>
      <c r="VMB78" s="452"/>
      <c r="VMC78" s="596"/>
      <c r="VMD78" s="548"/>
      <c r="VME78" s="548"/>
      <c r="VMF78" s="548"/>
      <c r="VMG78" s="548"/>
      <c r="VMH78" s="548"/>
      <c r="VMI78" s="452"/>
      <c r="VMJ78" s="596"/>
      <c r="VMK78" s="548"/>
      <c r="VML78" s="548"/>
      <c r="VMM78" s="548"/>
      <c r="VMN78" s="548"/>
      <c r="VMO78" s="548"/>
      <c r="VMP78" s="452"/>
      <c r="VMQ78" s="596"/>
      <c r="VMR78" s="548"/>
      <c r="VMS78" s="548"/>
      <c r="VMT78" s="548"/>
      <c r="VMU78" s="548"/>
      <c r="VMV78" s="548"/>
      <c r="VMW78" s="452"/>
      <c r="VMX78" s="596"/>
      <c r="VMY78" s="548"/>
      <c r="VMZ78" s="548"/>
      <c r="VNA78" s="548"/>
      <c r="VNB78" s="548"/>
      <c r="VNC78" s="548"/>
      <c r="VND78" s="452"/>
      <c r="VNE78" s="596"/>
      <c r="VNF78" s="548"/>
      <c r="VNG78" s="548"/>
      <c r="VNH78" s="548"/>
      <c r="VNI78" s="548"/>
      <c r="VNJ78" s="548"/>
      <c r="VNK78" s="452"/>
      <c r="VNL78" s="596"/>
      <c r="VNM78" s="548"/>
      <c r="VNN78" s="548"/>
      <c r="VNO78" s="548"/>
      <c r="VNP78" s="548"/>
      <c r="VNQ78" s="548"/>
      <c r="VNR78" s="452"/>
      <c r="VNS78" s="596"/>
      <c r="VNT78" s="548"/>
      <c r="VNU78" s="548"/>
      <c r="VNV78" s="548"/>
      <c r="VNW78" s="548"/>
      <c r="VNX78" s="548"/>
      <c r="VNY78" s="452"/>
      <c r="VNZ78" s="596"/>
      <c r="VOA78" s="548"/>
      <c r="VOB78" s="548"/>
      <c r="VOC78" s="548"/>
      <c r="VOD78" s="548"/>
      <c r="VOE78" s="548"/>
      <c r="VOF78" s="452"/>
      <c r="VOG78" s="596"/>
      <c r="VOH78" s="548"/>
      <c r="VOI78" s="548"/>
      <c r="VOJ78" s="548"/>
      <c r="VOK78" s="548"/>
      <c r="VOL78" s="548"/>
      <c r="VOM78" s="452"/>
      <c r="VON78" s="596"/>
      <c r="VOO78" s="548"/>
      <c r="VOP78" s="548"/>
      <c r="VOQ78" s="548"/>
      <c r="VOR78" s="548"/>
      <c r="VOS78" s="548"/>
      <c r="VOT78" s="452"/>
      <c r="VOU78" s="596"/>
      <c r="VOV78" s="548"/>
      <c r="VOW78" s="548"/>
      <c r="VOX78" s="548"/>
      <c r="VOY78" s="548"/>
      <c r="VOZ78" s="548"/>
      <c r="VPA78" s="452"/>
      <c r="VPB78" s="596"/>
      <c r="VPC78" s="548"/>
      <c r="VPD78" s="548"/>
      <c r="VPE78" s="548"/>
      <c r="VPF78" s="548"/>
      <c r="VPG78" s="548"/>
      <c r="VPH78" s="452"/>
      <c r="VPI78" s="596"/>
      <c r="VPJ78" s="548"/>
      <c r="VPK78" s="548"/>
      <c r="VPL78" s="548"/>
      <c r="VPM78" s="548"/>
      <c r="VPN78" s="548"/>
      <c r="VPO78" s="452"/>
      <c r="VPP78" s="596"/>
      <c r="VPQ78" s="548"/>
      <c r="VPR78" s="548"/>
      <c r="VPS78" s="548"/>
      <c r="VPT78" s="548"/>
      <c r="VPU78" s="548"/>
      <c r="VPV78" s="452"/>
      <c r="VPW78" s="596"/>
      <c r="VPX78" s="548"/>
      <c r="VPY78" s="548"/>
      <c r="VPZ78" s="548"/>
      <c r="VQA78" s="548"/>
      <c r="VQB78" s="548"/>
      <c r="VQC78" s="452"/>
      <c r="VQD78" s="596"/>
      <c r="VQE78" s="548"/>
      <c r="VQF78" s="548"/>
      <c r="VQG78" s="548"/>
      <c r="VQH78" s="548"/>
      <c r="VQI78" s="548"/>
      <c r="VQJ78" s="452"/>
      <c r="VQK78" s="596"/>
      <c r="VQL78" s="548"/>
      <c r="VQM78" s="548"/>
      <c r="VQN78" s="548"/>
      <c r="VQO78" s="548"/>
      <c r="VQP78" s="548"/>
      <c r="VQQ78" s="452"/>
      <c r="VQR78" s="596"/>
      <c r="VQS78" s="548"/>
      <c r="VQT78" s="548"/>
      <c r="VQU78" s="548"/>
      <c r="VQV78" s="548"/>
      <c r="VQW78" s="548"/>
      <c r="VQX78" s="452"/>
      <c r="VQY78" s="596"/>
      <c r="VQZ78" s="548"/>
      <c r="VRA78" s="548"/>
      <c r="VRB78" s="548"/>
      <c r="VRC78" s="548"/>
      <c r="VRD78" s="548"/>
      <c r="VRE78" s="452"/>
      <c r="VRF78" s="596"/>
      <c r="VRG78" s="548"/>
      <c r="VRH78" s="548"/>
      <c r="VRI78" s="548"/>
      <c r="VRJ78" s="548"/>
      <c r="VRK78" s="548"/>
      <c r="VRL78" s="452"/>
      <c r="VRM78" s="596"/>
      <c r="VRN78" s="548"/>
      <c r="VRO78" s="548"/>
      <c r="VRP78" s="548"/>
      <c r="VRQ78" s="548"/>
      <c r="VRR78" s="548"/>
      <c r="VRS78" s="452"/>
      <c r="VRT78" s="596"/>
      <c r="VRU78" s="548"/>
      <c r="VRV78" s="548"/>
      <c r="VRW78" s="548"/>
      <c r="VRX78" s="548"/>
      <c r="VRY78" s="548"/>
      <c r="VRZ78" s="452"/>
      <c r="VSA78" s="596"/>
      <c r="VSB78" s="548"/>
      <c r="VSC78" s="548"/>
      <c r="VSD78" s="548"/>
      <c r="VSE78" s="548"/>
      <c r="VSF78" s="548"/>
      <c r="VSG78" s="452"/>
      <c r="VSH78" s="596"/>
      <c r="VSI78" s="548"/>
      <c r="VSJ78" s="548"/>
      <c r="VSK78" s="548"/>
      <c r="VSL78" s="548"/>
      <c r="VSM78" s="548"/>
      <c r="VSN78" s="452"/>
      <c r="VSO78" s="596"/>
      <c r="VSP78" s="548"/>
      <c r="VSQ78" s="548"/>
      <c r="VSR78" s="548"/>
      <c r="VSS78" s="548"/>
      <c r="VST78" s="548"/>
      <c r="VSU78" s="452"/>
      <c r="VSV78" s="596"/>
      <c r="VSW78" s="548"/>
      <c r="VSX78" s="548"/>
      <c r="VSY78" s="548"/>
      <c r="VSZ78" s="548"/>
      <c r="VTA78" s="548"/>
      <c r="VTB78" s="452"/>
      <c r="VTC78" s="596"/>
      <c r="VTD78" s="548"/>
      <c r="VTE78" s="548"/>
      <c r="VTF78" s="548"/>
      <c r="VTG78" s="548"/>
      <c r="VTH78" s="548"/>
      <c r="VTI78" s="452"/>
      <c r="VTJ78" s="596"/>
      <c r="VTK78" s="548"/>
      <c r="VTL78" s="548"/>
      <c r="VTM78" s="548"/>
      <c r="VTN78" s="548"/>
      <c r="VTO78" s="548"/>
      <c r="VTP78" s="452"/>
      <c r="VTQ78" s="596"/>
      <c r="VTR78" s="548"/>
      <c r="VTS78" s="548"/>
      <c r="VTT78" s="548"/>
      <c r="VTU78" s="548"/>
      <c r="VTV78" s="548"/>
      <c r="VTW78" s="452"/>
      <c r="VTX78" s="596"/>
      <c r="VTY78" s="548"/>
      <c r="VTZ78" s="548"/>
      <c r="VUA78" s="548"/>
      <c r="VUB78" s="548"/>
      <c r="VUC78" s="548"/>
      <c r="VUD78" s="452"/>
      <c r="VUE78" s="596"/>
      <c r="VUF78" s="548"/>
      <c r="VUG78" s="548"/>
      <c r="VUH78" s="548"/>
      <c r="VUI78" s="548"/>
      <c r="VUJ78" s="548"/>
      <c r="VUK78" s="452"/>
      <c r="VUL78" s="596"/>
      <c r="VUM78" s="548"/>
      <c r="VUN78" s="548"/>
      <c r="VUO78" s="548"/>
      <c r="VUP78" s="548"/>
      <c r="VUQ78" s="548"/>
      <c r="VUR78" s="452"/>
      <c r="VUS78" s="596"/>
      <c r="VUT78" s="548"/>
      <c r="VUU78" s="548"/>
      <c r="VUV78" s="548"/>
      <c r="VUW78" s="548"/>
      <c r="VUX78" s="548"/>
      <c r="VUY78" s="452"/>
      <c r="VUZ78" s="596"/>
      <c r="VVA78" s="548"/>
      <c r="VVB78" s="548"/>
      <c r="VVC78" s="548"/>
      <c r="VVD78" s="548"/>
      <c r="VVE78" s="548"/>
      <c r="VVF78" s="452"/>
      <c r="VVG78" s="596"/>
      <c r="VVH78" s="548"/>
      <c r="VVI78" s="548"/>
      <c r="VVJ78" s="548"/>
      <c r="VVK78" s="548"/>
      <c r="VVL78" s="548"/>
      <c r="VVM78" s="452"/>
      <c r="VVN78" s="596"/>
      <c r="VVO78" s="548"/>
      <c r="VVP78" s="548"/>
      <c r="VVQ78" s="548"/>
      <c r="VVR78" s="548"/>
      <c r="VVS78" s="548"/>
      <c r="VVT78" s="452"/>
      <c r="VVU78" s="596"/>
      <c r="VVV78" s="548"/>
      <c r="VVW78" s="548"/>
      <c r="VVX78" s="548"/>
      <c r="VVY78" s="548"/>
      <c r="VVZ78" s="548"/>
      <c r="VWA78" s="452"/>
      <c r="VWB78" s="596"/>
      <c r="VWC78" s="548"/>
      <c r="VWD78" s="548"/>
      <c r="VWE78" s="548"/>
      <c r="VWF78" s="548"/>
      <c r="VWG78" s="548"/>
      <c r="VWH78" s="452"/>
      <c r="VWI78" s="596"/>
      <c r="VWJ78" s="548"/>
      <c r="VWK78" s="548"/>
      <c r="VWL78" s="548"/>
      <c r="VWM78" s="548"/>
      <c r="VWN78" s="548"/>
      <c r="VWO78" s="452"/>
      <c r="VWP78" s="596"/>
      <c r="VWQ78" s="548"/>
      <c r="VWR78" s="548"/>
      <c r="VWS78" s="548"/>
      <c r="VWT78" s="548"/>
      <c r="VWU78" s="548"/>
      <c r="VWV78" s="452"/>
      <c r="VWW78" s="596"/>
      <c r="VWX78" s="548"/>
      <c r="VWY78" s="548"/>
      <c r="VWZ78" s="548"/>
      <c r="VXA78" s="548"/>
      <c r="VXB78" s="548"/>
      <c r="VXC78" s="452"/>
      <c r="VXD78" s="596"/>
      <c r="VXE78" s="548"/>
      <c r="VXF78" s="548"/>
      <c r="VXG78" s="548"/>
      <c r="VXH78" s="548"/>
      <c r="VXI78" s="548"/>
      <c r="VXJ78" s="452"/>
      <c r="VXK78" s="596"/>
      <c r="VXL78" s="548"/>
      <c r="VXM78" s="548"/>
      <c r="VXN78" s="548"/>
      <c r="VXO78" s="548"/>
      <c r="VXP78" s="548"/>
      <c r="VXQ78" s="452"/>
      <c r="VXR78" s="596"/>
      <c r="VXS78" s="548"/>
      <c r="VXT78" s="548"/>
      <c r="VXU78" s="548"/>
      <c r="VXV78" s="548"/>
      <c r="VXW78" s="548"/>
      <c r="VXX78" s="452"/>
      <c r="VXY78" s="596"/>
      <c r="VXZ78" s="548"/>
      <c r="VYA78" s="548"/>
      <c r="VYB78" s="548"/>
      <c r="VYC78" s="548"/>
      <c r="VYD78" s="548"/>
      <c r="VYE78" s="452"/>
      <c r="VYF78" s="596"/>
      <c r="VYG78" s="548"/>
      <c r="VYH78" s="548"/>
      <c r="VYI78" s="548"/>
      <c r="VYJ78" s="548"/>
      <c r="VYK78" s="548"/>
      <c r="VYL78" s="452"/>
      <c r="VYM78" s="596"/>
      <c r="VYN78" s="548"/>
      <c r="VYO78" s="548"/>
      <c r="VYP78" s="548"/>
      <c r="VYQ78" s="548"/>
      <c r="VYR78" s="548"/>
      <c r="VYS78" s="452"/>
      <c r="VYT78" s="596"/>
      <c r="VYU78" s="548"/>
      <c r="VYV78" s="548"/>
      <c r="VYW78" s="548"/>
      <c r="VYX78" s="548"/>
      <c r="VYY78" s="548"/>
      <c r="VYZ78" s="452"/>
      <c r="VZA78" s="596"/>
      <c r="VZB78" s="548"/>
      <c r="VZC78" s="548"/>
      <c r="VZD78" s="548"/>
      <c r="VZE78" s="548"/>
      <c r="VZF78" s="548"/>
      <c r="VZG78" s="452"/>
      <c r="VZH78" s="596"/>
      <c r="VZI78" s="548"/>
      <c r="VZJ78" s="548"/>
      <c r="VZK78" s="548"/>
      <c r="VZL78" s="548"/>
      <c r="VZM78" s="548"/>
      <c r="VZN78" s="452"/>
      <c r="VZO78" s="596"/>
      <c r="VZP78" s="548"/>
      <c r="VZQ78" s="548"/>
      <c r="VZR78" s="548"/>
      <c r="VZS78" s="548"/>
      <c r="VZT78" s="548"/>
      <c r="VZU78" s="452"/>
      <c r="VZV78" s="596"/>
      <c r="VZW78" s="548"/>
      <c r="VZX78" s="548"/>
      <c r="VZY78" s="548"/>
      <c r="VZZ78" s="548"/>
      <c r="WAA78" s="548"/>
      <c r="WAB78" s="452"/>
      <c r="WAC78" s="596"/>
      <c r="WAD78" s="548"/>
      <c r="WAE78" s="548"/>
      <c r="WAF78" s="548"/>
      <c r="WAG78" s="548"/>
      <c r="WAH78" s="548"/>
      <c r="WAI78" s="452"/>
      <c r="WAJ78" s="596"/>
      <c r="WAK78" s="548"/>
      <c r="WAL78" s="548"/>
      <c r="WAM78" s="548"/>
      <c r="WAN78" s="548"/>
      <c r="WAO78" s="548"/>
      <c r="WAP78" s="452"/>
      <c r="WAQ78" s="596"/>
      <c r="WAR78" s="548"/>
      <c r="WAS78" s="548"/>
      <c r="WAT78" s="548"/>
      <c r="WAU78" s="548"/>
      <c r="WAV78" s="548"/>
      <c r="WAW78" s="452"/>
      <c r="WAX78" s="596"/>
      <c r="WAY78" s="548"/>
      <c r="WAZ78" s="548"/>
      <c r="WBA78" s="548"/>
      <c r="WBB78" s="548"/>
      <c r="WBC78" s="548"/>
      <c r="WBD78" s="452"/>
      <c r="WBE78" s="596"/>
      <c r="WBF78" s="548"/>
      <c r="WBG78" s="548"/>
      <c r="WBH78" s="548"/>
      <c r="WBI78" s="548"/>
      <c r="WBJ78" s="548"/>
      <c r="WBK78" s="452"/>
      <c r="WBL78" s="596"/>
      <c r="WBM78" s="548"/>
      <c r="WBN78" s="548"/>
      <c r="WBO78" s="548"/>
      <c r="WBP78" s="548"/>
      <c r="WBQ78" s="548"/>
      <c r="WBR78" s="452"/>
      <c r="WBS78" s="596"/>
      <c r="WBT78" s="548"/>
      <c r="WBU78" s="548"/>
      <c r="WBV78" s="548"/>
      <c r="WBW78" s="548"/>
      <c r="WBX78" s="548"/>
      <c r="WBY78" s="452"/>
      <c r="WBZ78" s="596"/>
      <c r="WCA78" s="548"/>
      <c r="WCB78" s="548"/>
      <c r="WCC78" s="548"/>
      <c r="WCD78" s="548"/>
      <c r="WCE78" s="548"/>
      <c r="WCF78" s="452"/>
      <c r="WCG78" s="596"/>
      <c r="WCH78" s="548"/>
      <c r="WCI78" s="548"/>
      <c r="WCJ78" s="548"/>
      <c r="WCK78" s="548"/>
      <c r="WCL78" s="548"/>
      <c r="WCM78" s="452"/>
      <c r="WCN78" s="596"/>
      <c r="WCO78" s="548"/>
      <c r="WCP78" s="548"/>
      <c r="WCQ78" s="548"/>
      <c r="WCR78" s="548"/>
      <c r="WCS78" s="548"/>
      <c r="WCT78" s="452"/>
      <c r="WCU78" s="596"/>
      <c r="WCV78" s="548"/>
      <c r="WCW78" s="548"/>
      <c r="WCX78" s="548"/>
      <c r="WCY78" s="548"/>
      <c r="WCZ78" s="548"/>
      <c r="WDA78" s="452"/>
      <c r="WDB78" s="596"/>
      <c r="WDC78" s="548"/>
      <c r="WDD78" s="548"/>
      <c r="WDE78" s="548"/>
      <c r="WDF78" s="548"/>
      <c r="WDG78" s="548"/>
      <c r="WDH78" s="452"/>
      <c r="WDI78" s="596"/>
      <c r="WDJ78" s="548"/>
      <c r="WDK78" s="548"/>
      <c r="WDL78" s="548"/>
      <c r="WDM78" s="548"/>
      <c r="WDN78" s="548"/>
      <c r="WDO78" s="452"/>
      <c r="WDP78" s="596"/>
      <c r="WDQ78" s="548"/>
      <c r="WDR78" s="548"/>
      <c r="WDS78" s="548"/>
      <c r="WDT78" s="548"/>
      <c r="WDU78" s="548"/>
      <c r="WDV78" s="452"/>
      <c r="WDW78" s="596"/>
      <c r="WDX78" s="548"/>
      <c r="WDY78" s="548"/>
      <c r="WDZ78" s="548"/>
      <c r="WEA78" s="548"/>
      <c r="WEB78" s="548"/>
      <c r="WEC78" s="452"/>
      <c r="WED78" s="596"/>
      <c r="WEE78" s="548"/>
      <c r="WEF78" s="548"/>
      <c r="WEG78" s="548"/>
      <c r="WEH78" s="548"/>
      <c r="WEI78" s="548"/>
      <c r="WEJ78" s="452"/>
      <c r="WEK78" s="596"/>
      <c r="WEL78" s="548"/>
      <c r="WEM78" s="548"/>
      <c r="WEN78" s="548"/>
      <c r="WEO78" s="548"/>
      <c r="WEP78" s="548"/>
      <c r="WEQ78" s="452"/>
      <c r="WER78" s="596"/>
      <c r="WES78" s="548"/>
      <c r="WET78" s="548"/>
      <c r="WEU78" s="548"/>
      <c r="WEV78" s="548"/>
      <c r="WEW78" s="548"/>
      <c r="WEX78" s="452"/>
      <c r="WEY78" s="596"/>
      <c r="WEZ78" s="548"/>
      <c r="WFA78" s="548"/>
      <c r="WFB78" s="548"/>
      <c r="WFC78" s="548"/>
      <c r="WFD78" s="548"/>
      <c r="WFE78" s="452"/>
      <c r="WFF78" s="596"/>
      <c r="WFG78" s="548"/>
      <c r="WFH78" s="548"/>
      <c r="WFI78" s="548"/>
      <c r="WFJ78" s="548"/>
      <c r="WFK78" s="548"/>
      <c r="WFL78" s="452"/>
      <c r="WFM78" s="596"/>
      <c r="WFN78" s="548"/>
      <c r="WFO78" s="548"/>
      <c r="WFP78" s="548"/>
      <c r="WFQ78" s="548"/>
      <c r="WFR78" s="548"/>
      <c r="WFS78" s="452"/>
      <c r="WFT78" s="596"/>
      <c r="WFU78" s="548"/>
      <c r="WFV78" s="548"/>
      <c r="WFW78" s="548"/>
      <c r="WFX78" s="548"/>
      <c r="WFY78" s="548"/>
      <c r="WFZ78" s="452"/>
      <c r="WGA78" s="596"/>
      <c r="WGB78" s="548"/>
      <c r="WGC78" s="548"/>
      <c r="WGD78" s="548"/>
      <c r="WGE78" s="548"/>
      <c r="WGF78" s="548"/>
      <c r="WGG78" s="452"/>
      <c r="WGH78" s="596"/>
      <c r="WGI78" s="548"/>
      <c r="WGJ78" s="548"/>
      <c r="WGK78" s="548"/>
      <c r="WGL78" s="548"/>
      <c r="WGM78" s="548"/>
      <c r="WGN78" s="452"/>
      <c r="WGO78" s="596"/>
      <c r="WGP78" s="548"/>
      <c r="WGQ78" s="548"/>
      <c r="WGR78" s="548"/>
      <c r="WGS78" s="548"/>
      <c r="WGT78" s="548"/>
      <c r="WGU78" s="452"/>
      <c r="WGV78" s="596"/>
      <c r="WGW78" s="548"/>
      <c r="WGX78" s="548"/>
      <c r="WGY78" s="548"/>
      <c r="WGZ78" s="548"/>
      <c r="WHA78" s="548"/>
      <c r="WHB78" s="452"/>
      <c r="WHC78" s="596"/>
      <c r="WHD78" s="548"/>
      <c r="WHE78" s="548"/>
      <c r="WHF78" s="548"/>
      <c r="WHG78" s="548"/>
      <c r="WHH78" s="548"/>
      <c r="WHI78" s="452"/>
      <c r="WHJ78" s="596"/>
      <c r="WHK78" s="548"/>
      <c r="WHL78" s="548"/>
      <c r="WHM78" s="548"/>
      <c r="WHN78" s="548"/>
      <c r="WHO78" s="548"/>
      <c r="WHP78" s="452"/>
      <c r="WHQ78" s="596"/>
      <c r="WHR78" s="548"/>
      <c r="WHS78" s="548"/>
      <c r="WHT78" s="548"/>
      <c r="WHU78" s="548"/>
      <c r="WHV78" s="548"/>
      <c r="WHW78" s="452"/>
      <c r="WHX78" s="596"/>
      <c r="WHY78" s="548"/>
      <c r="WHZ78" s="548"/>
      <c r="WIA78" s="548"/>
      <c r="WIB78" s="548"/>
      <c r="WIC78" s="548"/>
      <c r="WID78" s="452"/>
      <c r="WIE78" s="596"/>
      <c r="WIF78" s="548"/>
      <c r="WIG78" s="548"/>
      <c r="WIH78" s="548"/>
      <c r="WII78" s="548"/>
      <c r="WIJ78" s="548"/>
      <c r="WIK78" s="452"/>
      <c r="WIL78" s="596"/>
      <c r="WIM78" s="548"/>
      <c r="WIN78" s="548"/>
      <c r="WIO78" s="548"/>
      <c r="WIP78" s="548"/>
      <c r="WIQ78" s="548"/>
      <c r="WIR78" s="452"/>
      <c r="WIS78" s="596"/>
      <c r="WIT78" s="548"/>
      <c r="WIU78" s="548"/>
      <c r="WIV78" s="548"/>
      <c r="WIW78" s="548"/>
      <c r="WIX78" s="548"/>
      <c r="WIY78" s="452"/>
      <c r="WIZ78" s="596"/>
      <c r="WJA78" s="548"/>
      <c r="WJB78" s="548"/>
      <c r="WJC78" s="548"/>
      <c r="WJD78" s="548"/>
      <c r="WJE78" s="548"/>
      <c r="WJF78" s="452"/>
      <c r="WJG78" s="596"/>
      <c r="WJH78" s="548"/>
      <c r="WJI78" s="548"/>
      <c r="WJJ78" s="548"/>
      <c r="WJK78" s="548"/>
      <c r="WJL78" s="548"/>
      <c r="WJM78" s="452"/>
      <c r="WJN78" s="596"/>
      <c r="WJO78" s="548"/>
      <c r="WJP78" s="548"/>
      <c r="WJQ78" s="548"/>
      <c r="WJR78" s="548"/>
      <c r="WJS78" s="548"/>
      <c r="WJT78" s="452"/>
      <c r="WJU78" s="596"/>
      <c r="WJV78" s="548"/>
      <c r="WJW78" s="548"/>
      <c r="WJX78" s="548"/>
      <c r="WJY78" s="548"/>
      <c r="WJZ78" s="548"/>
      <c r="WKA78" s="452"/>
      <c r="WKB78" s="596"/>
      <c r="WKC78" s="548"/>
      <c r="WKD78" s="548"/>
      <c r="WKE78" s="548"/>
      <c r="WKF78" s="548"/>
      <c r="WKG78" s="548"/>
      <c r="WKH78" s="452"/>
      <c r="WKI78" s="596"/>
      <c r="WKJ78" s="548"/>
      <c r="WKK78" s="548"/>
      <c r="WKL78" s="548"/>
      <c r="WKM78" s="548"/>
      <c r="WKN78" s="548"/>
      <c r="WKO78" s="452"/>
      <c r="WKP78" s="596"/>
      <c r="WKQ78" s="548"/>
      <c r="WKR78" s="548"/>
      <c r="WKS78" s="548"/>
      <c r="WKT78" s="548"/>
      <c r="WKU78" s="548"/>
      <c r="WKV78" s="452"/>
      <c r="WKW78" s="596"/>
      <c r="WKX78" s="548"/>
      <c r="WKY78" s="548"/>
      <c r="WKZ78" s="548"/>
      <c r="WLA78" s="548"/>
      <c r="WLB78" s="548"/>
      <c r="WLC78" s="452"/>
      <c r="WLD78" s="596"/>
      <c r="WLE78" s="548"/>
      <c r="WLF78" s="548"/>
      <c r="WLG78" s="548"/>
      <c r="WLH78" s="548"/>
      <c r="WLI78" s="548"/>
      <c r="WLJ78" s="452"/>
      <c r="WLK78" s="596"/>
      <c r="WLL78" s="548"/>
      <c r="WLM78" s="548"/>
      <c r="WLN78" s="548"/>
      <c r="WLO78" s="548"/>
      <c r="WLP78" s="548"/>
      <c r="WLQ78" s="452"/>
      <c r="WLR78" s="596"/>
      <c r="WLS78" s="548"/>
      <c r="WLT78" s="548"/>
      <c r="WLU78" s="548"/>
      <c r="WLV78" s="548"/>
      <c r="WLW78" s="548"/>
      <c r="WLX78" s="452"/>
      <c r="WLY78" s="596"/>
      <c r="WLZ78" s="548"/>
      <c r="WMA78" s="548"/>
      <c r="WMB78" s="548"/>
      <c r="WMC78" s="548"/>
      <c r="WMD78" s="548"/>
      <c r="WME78" s="452"/>
      <c r="WMF78" s="596"/>
      <c r="WMG78" s="548"/>
      <c r="WMH78" s="548"/>
      <c r="WMI78" s="548"/>
      <c r="WMJ78" s="548"/>
      <c r="WMK78" s="548"/>
      <c r="WML78" s="452"/>
      <c r="WMM78" s="596"/>
      <c r="WMN78" s="548"/>
      <c r="WMO78" s="548"/>
      <c r="WMP78" s="548"/>
      <c r="WMQ78" s="548"/>
      <c r="WMR78" s="548"/>
      <c r="WMS78" s="452"/>
      <c r="WMT78" s="596"/>
      <c r="WMU78" s="548"/>
      <c r="WMV78" s="548"/>
      <c r="WMW78" s="548"/>
      <c r="WMX78" s="548"/>
      <c r="WMY78" s="548"/>
      <c r="WMZ78" s="452"/>
      <c r="WNA78" s="596"/>
      <c r="WNB78" s="548"/>
      <c r="WNC78" s="548"/>
      <c r="WND78" s="548"/>
      <c r="WNE78" s="548"/>
      <c r="WNF78" s="548"/>
      <c r="WNG78" s="452"/>
      <c r="WNH78" s="596"/>
      <c r="WNI78" s="548"/>
      <c r="WNJ78" s="548"/>
      <c r="WNK78" s="548"/>
      <c r="WNL78" s="548"/>
      <c r="WNM78" s="548"/>
      <c r="WNN78" s="452"/>
      <c r="WNO78" s="596"/>
      <c r="WNP78" s="548"/>
      <c r="WNQ78" s="548"/>
      <c r="WNR78" s="548"/>
      <c r="WNS78" s="548"/>
      <c r="WNT78" s="548"/>
      <c r="WNU78" s="452"/>
      <c r="WNV78" s="596"/>
      <c r="WNW78" s="548"/>
      <c r="WNX78" s="548"/>
      <c r="WNY78" s="548"/>
      <c r="WNZ78" s="548"/>
      <c r="WOA78" s="548"/>
      <c r="WOB78" s="452"/>
      <c r="WOC78" s="596"/>
      <c r="WOD78" s="548"/>
      <c r="WOE78" s="548"/>
      <c r="WOF78" s="548"/>
      <c r="WOG78" s="548"/>
      <c r="WOH78" s="548"/>
      <c r="WOI78" s="452"/>
      <c r="WOJ78" s="596"/>
      <c r="WOK78" s="548"/>
      <c r="WOL78" s="548"/>
      <c r="WOM78" s="548"/>
      <c r="WON78" s="548"/>
      <c r="WOO78" s="548"/>
      <c r="WOP78" s="452"/>
      <c r="WOQ78" s="596"/>
      <c r="WOR78" s="548"/>
      <c r="WOS78" s="548"/>
      <c r="WOT78" s="548"/>
      <c r="WOU78" s="548"/>
      <c r="WOV78" s="548"/>
      <c r="WOW78" s="452"/>
      <c r="WOX78" s="596"/>
      <c r="WOY78" s="548"/>
      <c r="WOZ78" s="548"/>
      <c r="WPA78" s="548"/>
      <c r="WPB78" s="548"/>
      <c r="WPC78" s="548"/>
      <c r="WPD78" s="452"/>
      <c r="WPE78" s="596"/>
      <c r="WPF78" s="548"/>
      <c r="WPG78" s="548"/>
      <c r="WPH78" s="548"/>
      <c r="WPI78" s="548"/>
      <c r="WPJ78" s="548"/>
      <c r="WPK78" s="452"/>
      <c r="WPL78" s="596"/>
      <c r="WPM78" s="548"/>
      <c r="WPN78" s="548"/>
      <c r="WPO78" s="548"/>
      <c r="WPP78" s="548"/>
      <c r="WPQ78" s="548"/>
      <c r="WPR78" s="452"/>
      <c r="WPS78" s="596"/>
      <c r="WPT78" s="548"/>
      <c r="WPU78" s="548"/>
      <c r="WPV78" s="548"/>
      <c r="WPW78" s="548"/>
      <c r="WPX78" s="548"/>
      <c r="WPY78" s="452"/>
      <c r="WPZ78" s="596"/>
      <c r="WQA78" s="548"/>
      <c r="WQB78" s="548"/>
      <c r="WQC78" s="548"/>
      <c r="WQD78" s="548"/>
      <c r="WQE78" s="548"/>
      <c r="WQF78" s="452"/>
      <c r="WQG78" s="596"/>
      <c r="WQH78" s="548"/>
      <c r="WQI78" s="548"/>
      <c r="WQJ78" s="548"/>
      <c r="WQK78" s="548"/>
      <c r="WQL78" s="548"/>
      <c r="WQM78" s="452"/>
      <c r="WQN78" s="596"/>
      <c r="WQO78" s="548"/>
      <c r="WQP78" s="548"/>
      <c r="WQQ78" s="548"/>
      <c r="WQR78" s="548"/>
      <c r="WQS78" s="548"/>
      <c r="WQT78" s="452"/>
      <c r="WQU78" s="596"/>
      <c r="WQV78" s="548"/>
      <c r="WQW78" s="548"/>
      <c r="WQX78" s="548"/>
      <c r="WQY78" s="548"/>
      <c r="WQZ78" s="548"/>
      <c r="WRA78" s="452"/>
      <c r="WRB78" s="596"/>
      <c r="WRC78" s="548"/>
      <c r="WRD78" s="548"/>
      <c r="WRE78" s="548"/>
      <c r="WRF78" s="548"/>
      <c r="WRG78" s="548"/>
      <c r="WRH78" s="452"/>
      <c r="WRI78" s="596"/>
      <c r="WRJ78" s="548"/>
      <c r="WRK78" s="548"/>
      <c r="WRL78" s="548"/>
      <c r="WRM78" s="548"/>
      <c r="WRN78" s="548"/>
      <c r="WRO78" s="452"/>
      <c r="WRP78" s="596"/>
      <c r="WRQ78" s="548"/>
      <c r="WRR78" s="548"/>
      <c r="WRS78" s="548"/>
      <c r="WRT78" s="548"/>
      <c r="WRU78" s="548"/>
      <c r="WRV78" s="452"/>
      <c r="WRW78" s="596"/>
      <c r="WRX78" s="548"/>
      <c r="WRY78" s="548"/>
      <c r="WRZ78" s="548"/>
      <c r="WSA78" s="548"/>
      <c r="WSB78" s="548"/>
      <c r="WSC78" s="452"/>
      <c r="WSD78" s="596"/>
      <c r="WSE78" s="548"/>
      <c r="WSF78" s="548"/>
      <c r="WSG78" s="548"/>
      <c r="WSH78" s="548"/>
      <c r="WSI78" s="548"/>
      <c r="WSJ78" s="452"/>
      <c r="WSK78" s="596"/>
      <c r="WSL78" s="548"/>
      <c r="WSM78" s="548"/>
      <c r="WSN78" s="548"/>
      <c r="WSO78" s="548"/>
      <c r="WSP78" s="548"/>
      <c r="WSQ78" s="452"/>
      <c r="WSR78" s="596"/>
      <c r="WSS78" s="548"/>
      <c r="WST78" s="548"/>
      <c r="WSU78" s="548"/>
      <c r="WSV78" s="548"/>
      <c r="WSW78" s="548"/>
      <c r="WSX78" s="452"/>
      <c r="WSY78" s="596"/>
      <c r="WSZ78" s="548"/>
      <c r="WTA78" s="548"/>
      <c r="WTB78" s="548"/>
      <c r="WTC78" s="548"/>
      <c r="WTD78" s="548"/>
      <c r="WTE78" s="452"/>
      <c r="WTF78" s="596"/>
      <c r="WTG78" s="548"/>
      <c r="WTH78" s="548"/>
      <c r="WTI78" s="548"/>
      <c r="WTJ78" s="548"/>
      <c r="WTK78" s="548"/>
      <c r="WTL78" s="452"/>
      <c r="WTM78" s="596"/>
      <c r="WTN78" s="548"/>
      <c r="WTO78" s="548"/>
      <c r="WTP78" s="548"/>
      <c r="WTQ78" s="548"/>
      <c r="WTR78" s="548"/>
      <c r="WTS78" s="452"/>
      <c r="WTT78" s="596"/>
      <c r="WTU78" s="548"/>
      <c r="WTV78" s="548"/>
      <c r="WTW78" s="548"/>
      <c r="WTX78" s="548"/>
      <c r="WTY78" s="548"/>
      <c r="WTZ78" s="452"/>
      <c r="WUA78" s="596"/>
      <c r="WUB78" s="548"/>
      <c r="WUC78" s="548"/>
      <c r="WUD78" s="548"/>
      <c r="WUE78" s="548"/>
      <c r="WUF78" s="548"/>
      <c r="WUG78" s="452"/>
      <c r="WUH78" s="596"/>
      <c r="WUI78" s="548"/>
      <c r="WUJ78" s="548"/>
      <c r="WUK78" s="548"/>
      <c r="WUL78" s="548"/>
      <c r="WUM78" s="548"/>
      <c r="WUN78" s="452"/>
      <c r="WUO78" s="596"/>
      <c r="WUP78" s="548"/>
      <c r="WUQ78" s="548"/>
      <c r="WUR78" s="548"/>
      <c r="WUS78" s="548"/>
      <c r="WUT78" s="548"/>
      <c r="WUU78" s="452"/>
      <c r="WUV78" s="596"/>
      <c r="WUW78" s="548"/>
      <c r="WUX78" s="548"/>
      <c r="WUY78" s="548"/>
      <c r="WUZ78" s="548"/>
      <c r="WVA78" s="548"/>
      <c r="WVB78" s="452"/>
      <c r="WVC78" s="596"/>
      <c r="WVD78" s="548"/>
      <c r="WVE78" s="548"/>
      <c r="WVF78" s="548"/>
      <c r="WVG78" s="548"/>
      <c r="WVH78" s="548"/>
      <c r="WVI78" s="452"/>
      <c r="WVJ78" s="596"/>
      <c r="WVK78" s="548"/>
      <c r="WVL78" s="548"/>
      <c r="WVM78" s="548"/>
      <c r="WVN78" s="548"/>
      <c r="WVO78" s="548"/>
      <c r="WVP78" s="452"/>
      <c r="WVQ78" s="596"/>
      <c r="WVR78" s="548"/>
      <c r="WVS78" s="548"/>
      <c r="WVT78" s="548"/>
      <c r="WVU78" s="548"/>
      <c r="WVV78" s="548"/>
      <c r="WVW78" s="452"/>
      <c r="WVX78" s="596"/>
      <c r="WVY78" s="548"/>
      <c r="WVZ78" s="548"/>
      <c r="WWA78" s="548"/>
      <c r="WWB78" s="548"/>
      <c r="WWC78" s="548"/>
      <c r="WWD78" s="452"/>
      <c r="WWE78" s="596"/>
      <c r="WWF78" s="548"/>
      <c r="WWG78" s="548"/>
      <c r="WWH78" s="548"/>
      <c r="WWI78" s="548"/>
      <c r="WWJ78" s="548"/>
      <c r="WWK78" s="452"/>
      <c r="WWL78" s="596"/>
      <c r="WWM78" s="548"/>
      <c r="WWN78" s="548"/>
      <c r="WWO78" s="548"/>
      <c r="WWP78" s="548"/>
      <c r="WWQ78" s="548"/>
      <c r="WWR78" s="452"/>
      <c r="WWS78" s="596"/>
      <c r="WWT78" s="548"/>
      <c r="WWU78" s="548"/>
      <c r="WWV78" s="548"/>
      <c r="WWW78" s="548"/>
      <c r="WWX78" s="548"/>
      <c r="WWY78" s="452"/>
      <c r="WWZ78" s="596"/>
      <c r="WXA78" s="548"/>
      <c r="WXB78" s="548"/>
      <c r="WXC78" s="548"/>
      <c r="WXD78" s="548"/>
      <c r="WXE78" s="548"/>
      <c r="WXF78" s="452"/>
      <c r="WXG78" s="596"/>
      <c r="WXH78" s="548"/>
      <c r="WXI78" s="548"/>
      <c r="WXJ78" s="548"/>
      <c r="WXK78" s="548"/>
      <c r="WXL78" s="548"/>
      <c r="WXM78" s="452"/>
      <c r="WXN78" s="596"/>
      <c r="WXO78" s="548"/>
      <c r="WXP78" s="548"/>
      <c r="WXQ78" s="548"/>
      <c r="WXR78" s="548"/>
      <c r="WXS78" s="548"/>
      <c r="WXT78" s="452"/>
      <c r="WXU78" s="596"/>
      <c r="WXV78" s="548"/>
      <c r="WXW78" s="548"/>
      <c r="WXX78" s="548"/>
      <c r="WXY78" s="548"/>
      <c r="WXZ78" s="548"/>
      <c r="WYA78" s="452"/>
      <c r="WYB78" s="596"/>
      <c r="WYC78" s="548"/>
      <c r="WYD78" s="548"/>
      <c r="WYE78" s="548"/>
      <c r="WYF78" s="548"/>
      <c r="WYG78" s="548"/>
      <c r="WYH78" s="452"/>
      <c r="WYI78" s="596"/>
      <c r="WYJ78" s="548"/>
      <c r="WYK78" s="548"/>
      <c r="WYL78" s="548"/>
      <c r="WYM78" s="548"/>
      <c r="WYN78" s="548"/>
      <c r="WYO78" s="452"/>
      <c r="WYP78" s="596"/>
      <c r="WYQ78" s="548"/>
      <c r="WYR78" s="548"/>
      <c r="WYS78" s="548"/>
      <c r="WYT78" s="548"/>
      <c r="WYU78" s="548"/>
      <c r="WYV78" s="452"/>
      <c r="WYW78" s="596"/>
      <c r="WYX78" s="548"/>
      <c r="WYY78" s="548"/>
      <c r="WYZ78" s="548"/>
      <c r="WZA78" s="548"/>
      <c r="WZB78" s="548"/>
      <c r="WZC78" s="452"/>
      <c r="WZD78" s="596"/>
      <c r="WZE78" s="548"/>
      <c r="WZF78" s="548"/>
      <c r="WZG78" s="548"/>
      <c r="WZH78" s="548"/>
      <c r="WZI78" s="548"/>
      <c r="WZJ78" s="452"/>
      <c r="WZK78" s="596"/>
      <c r="WZL78" s="548"/>
      <c r="WZM78" s="548"/>
      <c r="WZN78" s="548"/>
      <c r="WZO78" s="548"/>
      <c r="WZP78" s="548"/>
      <c r="WZQ78" s="452"/>
      <c r="WZR78" s="596"/>
      <c r="WZS78" s="548"/>
      <c r="WZT78" s="548"/>
      <c r="WZU78" s="548"/>
      <c r="WZV78" s="548"/>
      <c r="WZW78" s="548"/>
      <c r="WZX78" s="452"/>
      <c r="WZY78" s="596"/>
      <c r="WZZ78" s="548"/>
      <c r="XAA78" s="548"/>
      <c r="XAB78" s="548"/>
      <c r="XAC78" s="548"/>
      <c r="XAD78" s="548"/>
      <c r="XAE78" s="452"/>
      <c r="XAF78" s="596"/>
      <c r="XAG78" s="548"/>
      <c r="XAH78" s="548"/>
      <c r="XAI78" s="548"/>
      <c r="XAJ78" s="548"/>
      <c r="XAK78" s="548"/>
      <c r="XAL78" s="452"/>
      <c r="XAM78" s="596"/>
      <c r="XAN78" s="548"/>
      <c r="XAO78" s="548"/>
      <c r="XAP78" s="548"/>
      <c r="XAQ78" s="548"/>
      <c r="XAR78" s="548"/>
      <c r="XAS78" s="452"/>
      <c r="XAT78" s="596"/>
      <c r="XAU78" s="548"/>
      <c r="XAV78" s="548"/>
      <c r="XAW78" s="548"/>
      <c r="XAX78" s="548"/>
      <c r="XAY78" s="548"/>
      <c r="XAZ78" s="452"/>
      <c r="XBA78" s="596"/>
      <c r="XBB78" s="548"/>
      <c r="XBC78" s="548"/>
      <c r="XBD78" s="548"/>
      <c r="XBE78" s="548"/>
      <c r="XBF78" s="548"/>
      <c r="XBG78" s="452"/>
      <c r="XBH78" s="596"/>
      <c r="XBI78" s="548"/>
      <c r="XBJ78" s="548"/>
      <c r="XBK78" s="548"/>
      <c r="XBL78" s="548"/>
      <c r="XBM78" s="548"/>
      <c r="XBN78" s="452"/>
      <c r="XBO78" s="596"/>
      <c r="XBP78" s="548"/>
      <c r="XBQ78" s="548"/>
      <c r="XBR78" s="548"/>
      <c r="XBS78" s="548"/>
      <c r="XBT78" s="548"/>
      <c r="XBU78" s="452"/>
      <c r="XBV78" s="596"/>
      <c r="XBW78" s="548"/>
      <c r="XBX78" s="548"/>
      <c r="XBY78" s="548"/>
      <c r="XBZ78" s="548"/>
      <c r="XCA78" s="548"/>
      <c r="XCB78" s="452"/>
      <c r="XCC78" s="596"/>
      <c r="XCD78" s="548"/>
      <c r="XCE78" s="548"/>
      <c r="XCF78" s="548"/>
      <c r="XCG78" s="548"/>
      <c r="XCH78" s="548"/>
      <c r="XCI78" s="452"/>
      <c r="XCJ78" s="596"/>
      <c r="XCK78" s="548"/>
      <c r="XCL78" s="548"/>
      <c r="XCM78" s="548"/>
      <c r="XCN78" s="548"/>
      <c r="XCO78" s="548"/>
      <c r="XCP78" s="452"/>
      <c r="XCQ78" s="596"/>
      <c r="XCR78" s="548"/>
      <c r="XCS78" s="548"/>
      <c r="XCT78" s="548"/>
      <c r="XCU78" s="548"/>
      <c r="XCV78" s="548"/>
      <c r="XCW78" s="452"/>
      <c r="XCX78" s="596"/>
      <c r="XCY78" s="548"/>
      <c r="XCZ78" s="548"/>
      <c r="XDA78" s="548"/>
      <c r="XDB78" s="548"/>
      <c r="XDC78" s="548"/>
      <c r="XDD78" s="452"/>
      <c r="XDE78" s="596"/>
      <c r="XDF78" s="548"/>
      <c r="XDG78" s="548"/>
      <c r="XDH78" s="548"/>
      <c r="XDI78" s="548"/>
      <c r="XDJ78" s="548"/>
      <c r="XDK78" s="452"/>
      <c r="XDL78" s="596"/>
      <c r="XDM78" s="548"/>
      <c r="XDN78" s="548"/>
      <c r="XDO78" s="548"/>
      <c r="XDP78" s="548"/>
      <c r="XDQ78" s="548"/>
      <c r="XDR78" s="452"/>
      <c r="XDS78" s="596"/>
      <c r="XDT78" s="548"/>
      <c r="XDU78" s="548"/>
      <c r="XDV78" s="548"/>
      <c r="XDW78" s="548"/>
      <c r="XDX78" s="548"/>
      <c r="XDY78" s="452"/>
      <c r="XDZ78" s="596"/>
      <c r="XEA78" s="548"/>
      <c r="XEB78" s="548"/>
      <c r="XEC78" s="548"/>
      <c r="XED78" s="548"/>
      <c r="XEE78" s="548"/>
      <c r="XEF78" s="452"/>
      <c r="XEG78" s="596"/>
      <c r="XEH78" s="548"/>
      <c r="XEI78" s="548"/>
      <c r="XEJ78" s="548"/>
      <c r="XEK78" s="548"/>
      <c r="XEL78" s="548"/>
      <c r="XEM78" s="452"/>
      <c r="XEN78" s="596"/>
      <c r="XEO78" s="548"/>
      <c r="XEP78" s="548"/>
      <c r="XEQ78" s="548"/>
      <c r="XER78" s="548"/>
      <c r="XES78" s="548"/>
      <c r="XET78" s="452"/>
      <c r="XEU78" s="596"/>
      <c r="XEV78" s="548"/>
      <c r="XEW78" s="548"/>
      <c r="XEX78" s="548"/>
      <c r="XEY78" s="548"/>
      <c r="XEZ78" s="548"/>
      <c r="XFA78" s="452"/>
      <c r="XFB78" s="596"/>
      <c r="XFC78" s="548"/>
      <c r="XFD78" s="548"/>
    </row>
    <row r="79" spans="1:16384" s="442" customFormat="1" ht="36" customHeight="1">
      <c r="A79" s="452" t="s">
        <v>202</v>
      </c>
      <c r="B79" s="594" t="s">
        <v>203</v>
      </c>
      <c r="C79" s="595"/>
      <c r="D79" s="595"/>
      <c r="E79" s="595"/>
      <c r="F79" s="595"/>
      <c r="G79" s="595"/>
    </row>
    <row r="80" spans="1:16384">
      <c r="B80" s="447"/>
      <c r="C80" s="447"/>
      <c r="D80" s="448"/>
      <c r="E80" s="449"/>
      <c r="F80" s="449"/>
      <c r="G80" s="449"/>
    </row>
    <row r="81" spans="1:7" s="442" customFormat="1">
      <c r="A81" s="451" t="s">
        <v>204</v>
      </c>
      <c r="B81" s="447"/>
      <c r="C81" s="447"/>
      <c r="D81" s="448"/>
      <c r="E81" s="449"/>
      <c r="F81" s="449"/>
      <c r="G81" s="449"/>
    </row>
    <row r="82" spans="1:7" s="442" customFormat="1" ht="30.75" customHeight="1">
      <c r="A82" s="452" t="s">
        <v>205</v>
      </c>
      <c r="B82" s="594" t="s">
        <v>206</v>
      </c>
      <c r="C82" s="595"/>
      <c r="D82" s="595"/>
      <c r="E82" s="595"/>
      <c r="F82" s="595"/>
      <c r="G82" s="595"/>
    </row>
    <row r="83" spans="1:7" s="442" customFormat="1" ht="33" customHeight="1">
      <c r="A83" s="452" t="s">
        <v>207</v>
      </c>
      <c r="B83" s="594" t="s">
        <v>208</v>
      </c>
      <c r="C83" s="595"/>
      <c r="D83" s="595"/>
      <c r="E83" s="595"/>
      <c r="F83" s="595"/>
      <c r="G83" s="595"/>
    </row>
    <row r="84" spans="1:7" s="442" customFormat="1">
      <c r="A84" s="452" t="s">
        <v>209</v>
      </c>
      <c r="B84" s="594" t="s">
        <v>210</v>
      </c>
      <c r="C84" s="595"/>
      <c r="D84" s="595"/>
      <c r="E84" s="595"/>
      <c r="F84" s="595"/>
      <c r="G84" s="595"/>
    </row>
    <row r="85" spans="1:7" s="442" customFormat="1" ht="32.1" customHeight="1">
      <c r="A85" s="452" t="s">
        <v>211</v>
      </c>
      <c r="B85" s="594" t="s">
        <v>212</v>
      </c>
      <c r="C85" s="595"/>
      <c r="D85" s="595"/>
      <c r="E85" s="595"/>
      <c r="F85" s="595"/>
      <c r="G85" s="595"/>
    </row>
    <row r="86" spans="1:7" s="442" customFormat="1" ht="42" customHeight="1">
      <c r="A86" s="452" t="s">
        <v>213</v>
      </c>
      <c r="B86" s="594" t="s">
        <v>214</v>
      </c>
      <c r="C86" s="595"/>
      <c r="D86" s="595"/>
      <c r="E86" s="595"/>
      <c r="F86" s="595"/>
      <c r="G86" s="595"/>
    </row>
    <row r="87" spans="1:7">
      <c r="B87" s="447"/>
      <c r="C87" s="447"/>
      <c r="D87" s="448"/>
      <c r="E87" s="449"/>
      <c r="F87" s="449"/>
      <c r="G87" s="449"/>
    </row>
    <row r="88" spans="1:7">
      <c r="B88" s="447"/>
      <c r="C88" s="447"/>
      <c r="D88" s="448"/>
      <c r="E88" s="449"/>
      <c r="F88" s="449"/>
      <c r="G88" s="449"/>
    </row>
    <row r="89" spans="1:7" s="442" customFormat="1">
      <c r="A89" s="451" t="s">
        <v>215</v>
      </c>
      <c r="B89" s="447"/>
      <c r="C89" s="447"/>
      <c r="D89" s="448"/>
      <c r="E89" s="449"/>
      <c r="F89" s="449"/>
      <c r="G89" s="449"/>
    </row>
    <row r="90" spans="1:7" s="442" customFormat="1" ht="76.5" customHeight="1">
      <c r="A90" s="452" t="s">
        <v>216</v>
      </c>
      <c r="B90" s="594" t="s">
        <v>217</v>
      </c>
      <c r="C90" s="595"/>
      <c r="D90" s="595"/>
      <c r="E90" s="595"/>
      <c r="F90" s="595"/>
      <c r="G90" s="595"/>
    </row>
    <row r="91" spans="1:7" s="442" customFormat="1" ht="109.5" customHeight="1">
      <c r="A91" s="452" t="s">
        <v>218</v>
      </c>
      <c r="B91" s="594" t="s">
        <v>219</v>
      </c>
      <c r="C91" s="595"/>
      <c r="D91" s="595"/>
      <c r="E91" s="595"/>
      <c r="F91" s="595"/>
      <c r="G91" s="595"/>
    </row>
    <row r="92" spans="1:7" s="442" customFormat="1" ht="59.1" customHeight="1">
      <c r="A92" s="452" t="s">
        <v>220</v>
      </c>
      <c r="B92" s="594" t="s">
        <v>221</v>
      </c>
      <c r="C92" s="595"/>
      <c r="D92" s="595"/>
      <c r="E92" s="595"/>
      <c r="F92" s="595"/>
      <c r="G92" s="595"/>
    </row>
    <row r="93" spans="1:7" s="442" customFormat="1" ht="51.75" customHeight="1">
      <c r="A93" s="452" t="s">
        <v>222</v>
      </c>
      <c r="B93" s="594" t="s">
        <v>223</v>
      </c>
      <c r="C93" s="595"/>
      <c r="D93" s="595"/>
      <c r="E93" s="595"/>
      <c r="F93" s="595"/>
      <c r="G93" s="595"/>
    </row>
    <row r="94" spans="1:7" s="442" customFormat="1" ht="68.25" customHeight="1">
      <c r="A94" s="452" t="s">
        <v>224</v>
      </c>
      <c r="B94" s="594" t="s">
        <v>225</v>
      </c>
      <c r="C94" s="595"/>
      <c r="D94" s="595"/>
      <c r="E94" s="595"/>
      <c r="F94" s="595"/>
      <c r="G94" s="595"/>
    </row>
    <row r="95" spans="1:7" s="442" customFormat="1" ht="93" customHeight="1">
      <c r="A95" s="452" t="s">
        <v>226</v>
      </c>
      <c r="B95" s="594" t="s">
        <v>227</v>
      </c>
      <c r="C95" s="595"/>
      <c r="D95" s="595"/>
      <c r="E95" s="595"/>
      <c r="F95" s="595"/>
      <c r="G95" s="595"/>
    </row>
    <row r="96" spans="1:7" s="442" customFormat="1" ht="45" customHeight="1">
      <c r="A96" s="452" t="s">
        <v>228</v>
      </c>
      <c r="B96" s="594" t="s">
        <v>229</v>
      </c>
      <c r="C96" s="595"/>
      <c r="D96" s="595"/>
      <c r="E96" s="595"/>
      <c r="F96" s="595"/>
      <c r="G96" s="595"/>
    </row>
    <row r="97" spans="1:7" s="442" customFormat="1" ht="60" customHeight="1">
      <c r="A97" s="452" t="s">
        <v>230</v>
      </c>
      <c r="B97" s="594" t="s">
        <v>231</v>
      </c>
      <c r="C97" s="595"/>
      <c r="D97" s="595"/>
      <c r="E97" s="595"/>
      <c r="F97" s="595"/>
      <c r="G97" s="595"/>
    </row>
    <row r="98" spans="1:7" s="442" customFormat="1" ht="106.5" customHeight="1">
      <c r="A98" s="452" t="s">
        <v>232</v>
      </c>
      <c r="B98" s="594" t="s">
        <v>233</v>
      </c>
      <c r="C98" s="595"/>
      <c r="D98" s="595"/>
      <c r="E98" s="595"/>
      <c r="F98" s="595"/>
      <c r="G98" s="595"/>
    </row>
    <row r="99" spans="1:7" s="442" customFormat="1" ht="119.25" customHeight="1">
      <c r="A99" s="452" t="s">
        <v>234</v>
      </c>
      <c r="B99" s="594" t="s">
        <v>235</v>
      </c>
      <c r="C99" s="595"/>
      <c r="D99" s="595"/>
      <c r="E99" s="595"/>
      <c r="F99" s="595"/>
      <c r="G99" s="595"/>
    </row>
    <row r="100" spans="1:7" s="442" customFormat="1" ht="29.25" customHeight="1">
      <c r="A100" s="452" t="s">
        <v>236</v>
      </c>
      <c r="B100" s="594" t="s">
        <v>237</v>
      </c>
      <c r="C100" s="595"/>
      <c r="D100" s="595"/>
      <c r="E100" s="595"/>
      <c r="F100" s="595"/>
      <c r="G100" s="595"/>
    </row>
    <row r="101" spans="1:7" s="442" customFormat="1" ht="154.5" customHeight="1">
      <c r="A101" s="452" t="s">
        <v>238</v>
      </c>
      <c r="B101" s="594" t="s">
        <v>239</v>
      </c>
      <c r="C101" s="595"/>
      <c r="D101" s="595"/>
      <c r="E101" s="595"/>
      <c r="F101" s="595"/>
      <c r="G101" s="595"/>
    </row>
    <row r="102" spans="1:7" s="442" customFormat="1" ht="29.45" customHeight="1">
      <c r="A102" s="452" t="s">
        <v>240</v>
      </c>
      <c r="B102" s="594" t="s">
        <v>241</v>
      </c>
      <c r="C102" s="595"/>
      <c r="D102" s="595"/>
      <c r="E102" s="595"/>
      <c r="F102" s="595"/>
      <c r="G102" s="595"/>
    </row>
    <row r="103" spans="1:7" s="442" customFormat="1" ht="48.6" customHeight="1">
      <c r="A103" s="452" t="s">
        <v>242</v>
      </c>
      <c r="B103" s="594" t="s">
        <v>243</v>
      </c>
      <c r="C103" s="595"/>
      <c r="D103" s="595"/>
      <c r="E103" s="595"/>
      <c r="F103" s="595"/>
      <c r="G103" s="595"/>
    </row>
    <row r="104" spans="1:7" s="442" customFormat="1" ht="168" customHeight="1">
      <c r="A104" s="452" t="s">
        <v>244</v>
      </c>
      <c r="B104" s="594" t="s">
        <v>245</v>
      </c>
      <c r="C104" s="595"/>
      <c r="D104" s="595"/>
      <c r="E104" s="595"/>
      <c r="F104" s="595"/>
      <c r="G104" s="595"/>
    </row>
    <row r="105" spans="1:7" s="442" customFormat="1" ht="78.75" customHeight="1">
      <c r="A105" s="452" t="s">
        <v>246</v>
      </c>
      <c r="B105" s="594" t="s">
        <v>247</v>
      </c>
      <c r="C105" s="595"/>
      <c r="D105" s="595"/>
      <c r="E105" s="595"/>
      <c r="F105" s="595"/>
      <c r="G105" s="595"/>
    </row>
    <row r="106" spans="1:7" s="442" customFormat="1" ht="103.5" customHeight="1">
      <c r="A106" s="452" t="s">
        <v>248</v>
      </c>
      <c r="B106" s="594" t="s">
        <v>249</v>
      </c>
      <c r="C106" s="595"/>
      <c r="D106" s="595"/>
      <c r="E106" s="595"/>
      <c r="F106" s="595"/>
      <c r="G106" s="595"/>
    </row>
    <row r="107" spans="1:7" s="442" customFormat="1" ht="60" customHeight="1">
      <c r="A107" s="452" t="s">
        <v>250</v>
      </c>
      <c r="B107" s="594" t="s">
        <v>251</v>
      </c>
      <c r="C107" s="595"/>
      <c r="D107" s="595"/>
      <c r="E107" s="595"/>
      <c r="F107" s="595"/>
      <c r="G107" s="595"/>
    </row>
    <row r="108" spans="1:7" s="442" customFormat="1" ht="66.75" customHeight="1">
      <c r="A108" s="452" t="s">
        <v>252</v>
      </c>
      <c r="B108" s="594" t="s">
        <v>253</v>
      </c>
      <c r="C108" s="595"/>
      <c r="D108" s="595"/>
      <c r="E108" s="595"/>
      <c r="F108" s="595"/>
      <c r="G108" s="595"/>
    </row>
    <row r="109" spans="1:7" s="442" customFormat="1" ht="103.5" customHeight="1">
      <c r="A109" s="452" t="s">
        <v>254</v>
      </c>
      <c r="B109" s="594" t="s">
        <v>255</v>
      </c>
      <c r="C109" s="595"/>
      <c r="D109" s="595"/>
      <c r="E109" s="595"/>
      <c r="F109" s="595"/>
      <c r="G109" s="595"/>
    </row>
    <row r="110" spans="1:7" s="442" customFormat="1">
      <c r="A110" s="452" t="s">
        <v>256</v>
      </c>
      <c r="B110" s="594" t="s">
        <v>257</v>
      </c>
      <c r="C110" s="595"/>
      <c r="D110" s="595"/>
      <c r="E110" s="595"/>
      <c r="F110" s="595"/>
      <c r="G110" s="595"/>
    </row>
    <row r="111" spans="1:7">
      <c r="A111" s="455" t="s">
        <v>258</v>
      </c>
    </row>
  </sheetData>
  <mergeCells count="4768">
    <mergeCell ref="B10:G10"/>
    <mergeCell ref="B11:G11"/>
    <mergeCell ref="B12:G12"/>
    <mergeCell ref="B13:G13"/>
    <mergeCell ref="B14:G14"/>
    <mergeCell ref="B15:G15"/>
    <mergeCell ref="B2:G2"/>
    <mergeCell ref="B5:G5"/>
    <mergeCell ref="B6:G6"/>
    <mergeCell ref="B7:G7"/>
    <mergeCell ref="B8:G8"/>
    <mergeCell ref="B9:G9"/>
    <mergeCell ref="B28:G28"/>
    <mergeCell ref="B29:G29"/>
    <mergeCell ref="B32:G32"/>
    <mergeCell ref="B33:G33"/>
    <mergeCell ref="B34:G34"/>
    <mergeCell ref="B37:G37"/>
    <mergeCell ref="B22:G22"/>
    <mergeCell ref="B23:G23"/>
    <mergeCell ref="B24:G24"/>
    <mergeCell ref="B25:G25"/>
    <mergeCell ref="B26:G26"/>
    <mergeCell ref="B27:G27"/>
    <mergeCell ref="B16:G16"/>
    <mergeCell ref="B17:G17"/>
    <mergeCell ref="B18:G18"/>
    <mergeCell ref="B19:G19"/>
    <mergeCell ref="B20:G20"/>
    <mergeCell ref="B21:G21"/>
    <mergeCell ref="B50:G50"/>
    <mergeCell ref="B51:G51"/>
    <mergeCell ref="B54:G54"/>
    <mergeCell ref="B55:G55"/>
    <mergeCell ref="B56:G56"/>
    <mergeCell ref="B59:G59"/>
    <mergeCell ref="B44:G44"/>
    <mergeCell ref="B45:G45"/>
    <mergeCell ref="B46:G46"/>
    <mergeCell ref="B47:G47"/>
    <mergeCell ref="B48:G48"/>
    <mergeCell ref="B49:G49"/>
    <mergeCell ref="B38:G38"/>
    <mergeCell ref="B39:G39"/>
    <mergeCell ref="B40:G40"/>
    <mergeCell ref="B41:G41"/>
    <mergeCell ref="B42:G42"/>
    <mergeCell ref="B43:G43"/>
    <mergeCell ref="I77:N77"/>
    <mergeCell ref="P77:U77"/>
    <mergeCell ref="W77:AB77"/>
    <mergeCell ref="AD77:AI77"/>
    <mergeCell ref="AK77:AP77"/>
    <mergeCell ref="AR77:AW77"/>
    <mergeCell ref="B70:G70"/>
    <mergeCell ref="B71:G71"/>
    <mergeCell ref="B74:G74"/>
    <mergeCell ref="B75:G75"/>
    <mergeCell ref="B76:G76"/>
    <mergeCell ref="B77:G77"/>
    <mergeCell ref="B62:G62"/>
    <mergeCell ref="B63:G63"/>
    <mergeCell ref="B64:G64"/>
    <mergeCell ref="B65:G65"/>
    <mergeCell ref="B66:G66"/>
    <mergeCell ref="B69:G69"/>
    <mergeCell ref="EE77:EJ77"/>
    <mergeCell ref="EL77:EQ77"/>
    <mergeCell ref="ES77:EX77"/>
    <mergeCell ref="EZ77:FE77"/>
    <mergeCell ref="FG77:FL77"/>
    <mergeCell ref="FN77:FS77"/>
    <mergeCell ref="CO77:CT77"/>
    <mergeCell ref="CV77:DA77"/>
    <mergeCell ref="DC77:DH77"/>
    <mergeCell ref="DJ77:DO77"/>
    <mergeCell ref="DQ77:DV77"/>
    <mergeCell ref="DX77:EC77"/>
    <mergeCell ref="AY77:BD77"/>
    <mergeCell ref="BF77:BK77"/>
    <mergeCell ref="BM77:BR77"/>
    <mergeCell ref="BT77:BY77"/>
    <mergeCell ref="CA77:CF77"/>
    <mergeCell ref="CH77:CM77"/>
    <mergeCell ref="JA77:JF77"/>
    <mergeCell ref="JH77:JM77"/>
    <mergeCell ref="JO77:JT77"/>
    <mergeCell ref="JV77:KA77"/>
    <mergeCell ref="KC77:KH77"/>
    <mergeCell ref="KJ77:KO77"/>
    <mergeCell ref="HK77:HP77"/>
    <mergeCell ref="HR77:HW77"/>
    <mergeCell ref="HY77:ID77"/>
    <mergeCell ref="IF77:IK77"/>
    <mergeCell ref="IM77:IR77"/>
    <mergeCell ref="IT77:IY77"/>
    <mergeCell ref="FU77:FZ77"/>
    <mergeCell ref="GB77:GG77"/>
    <mergeCell ref="GI77:GN77"/>
    <mergeCell ref="GP77:GU77"/>
    <mergeCell ref="GW77:HB77"/>
    <mergeCell ref="HD77:HI77"/>
    <mergeCell ref="NW77:OB77"/>
    <mergeCell ref="OD77:OI77"/>
    <mergeCell ref="OK77:OP77"/>
    <mergeCell ref="OR77:OW77"/>
    <mergeCell ref="OY77:PD77"/>
    <mergeCell ref="PF77:PK77"/>
    <mergeCell ref="MG77:ML77"/>
    <mergeCell ref="MN77:MS77"/>
    <mergeCell ref="MU77:MZ77"/>
    <mergeCell ref="NB77:NG77"/>
    <mergeCell ref="NI77:NN77"/>
    <mergeCell ref="NP77:NU77"/>
    <mergeCell ref="KQ77:KV77"/>
    <mergeCell ref="KX77:LC77"/>
    <mergeCell ref="LE77:LJ77"/>
    <mergeCell ref="LL77:LQ77"/>
    <mergeCell ref="LS77:LX77"/>
    <mergeCell ref="LZ77:ME77"/>
    <mergeCell ref="SS77:SX77"/>
    <mergeCell ref="SZ77:TE77"/>
    <mergeCell ref="TG77:TL77"/>
    <mergeCell ref="TN77:TS77"/>
    <mergeCell ref="TU77:TZ77"/>
    <mergeCell ref="UB77:UG77"/>
    <mergeCell ref="RC77:RH77"/>
    <mergeCell ref="RJ77:RO77"/>
    <mergeCell ref="RQ77:RV77"/>
    <mergeCell ref="RX77:SC77"/>
    <mergeCell ref="SE77:SJ77"/>
    <mergeCell ref="SL77:SQ77"/>
    <mergeCell ref="PM77:PR77"/>
    <mergeCell ref="PT77:PY77"/>
    <mergeCell ref="QA77:QF77"/>
    <mergeCell ref="QH77:QM77"/>
    <mergeCell ref="QO77:QT77"/>
    <mergeCell ref="QV77:RA77"/>
    <mergeCell ref="XO77:XT77"/>
    <mergeCell ref="XV77:YA77"/>
    <mergeCell ref="YC77:YH77"/>
    <mergeCell ref="YJ77:YO77"/>
    <mergeCell ref="YQ77:YV77"/>
    <mergeCell ref="YX77:ZC77"/>
    <mergeCell ref="VY77:WD77"/>
    <mergeCell ref="WF77:WK77"/>
    <mergeCell ref="WM77:WR77"/>
    <mergeCell ref="WT77:WY77"/>
    <mergeCell ref="XA77:XF77"/>
    <mergeCell ref="XH77:XM77"/>
    <mergeCell ref="UI77:UN77"/>
    <mergeCell ref="UP77:UU77"/>
    <mergeCell ref="UW77:VB77"/>
    <mergeCell ref="VD77:VI77"/>
    <mergeCell ref="VK77:VP77"/>
    <mergeCell ref="VR77:VW77"/>
    <mergeCell ref="ACK77:ACP77"/>
    <mergeCell ref="ACR77:ACW77"/>
    <mergeCell ref="ACY77:ADD77"/>
    <mergeCell ref="ADF77:ADK77"/>
    <mergeCell ref="ADM77:ADR77"/>
    <mergeCell ref="ADT77:ADY77"/>
    <mergeCell ref="AAU77:AAZ77"/>
    <mergeCell ref="ABB77:ABG77"/>
    <mergeCell ref="ABI77:ABN77"/>
    <mergeCell ref="ABP77:ABU77"/>
    <mergeCell ref="ABW77:ACB77"/>
    <mergeCell ref="ACD77:ACI77"/>
    <mergeCell ref="ZE77:ZJ77"/>
    <mergeCell ref="ZL77:ZQ77"/>
    <mergeCell ref="ZS77:ZX77"/>
    <mergeCell ref="ZZ77:AAE77"/>
    <mergeCell ref="AAG77:AAL77"/>
    <mergeCell ref="AAN77:AAS77"/>
    <mergeCell ref="AHG77:AHL77"/>
    <mergeCell ref="AHN77:AHS77"/>
    <mergeCell ref="AHU77:AHZ77"/>
    <mergeCell ref="AIB77:AIG77"/>
    <mergeCell ref="AII77:AIN77"/>
    <mergeCell ref="AIP77:AIU77"/>
    <mergeCell ref="AFQ77:AFV77"/>
    <mergeCell ref="AFX77:AGC77"/>
    <mergeCell ref="AGE77:AGJ77"/>
    <mergeCell ref="AGL77:AGQ77"/>
    <mergeCell ref="AGS77:AGX77"/>
    <mergeCell ref="AGZ77:AHE77"/>
    <mergeCell ref="AEA77:AEF77"/>
    <mergeCell ref="AEH77:AEM77"/>
    <mergeCell ref="AEO77:AET77"/>
    <mergeCell ref="AEV77:AFA77"/>
    <mergeCell ref="AFC77:AFH77"/>
    <mergeCell ref="AFJ77:AFO77"/>
    <mergeCell ref="AMC77:AMH77"/>
    <mergeCell ref="AMJ77:AMO77"/>
    <mergeCell ref="AMQ77:AMV77"/>
    <mergeCell ref="AMX77:ANC77"/>
    <mergeCell ref="ANE77:ANJ77"/>
    <mergeCell ref="ANL77:ANQ77"/>
    <mergeCell ref="AKM77:AKR77"/>
    <mergeCell ref="AKT77:AKY77"/>
    <mergeCell ref="ALA77:ALF77"/>
    <mergeCell ref="ALH77:ALM77"/>
    <mergeCell ref="ALO77:ALT77"/>
    <mergeCell ref="ALV77:AMA77"/>
    <mergeCell ref="AIW77:AJB77"/>
    <mergeCell ref="AJD77:AJI77"/>
    <mergeCell ref="AJK77:AJP77"/>
    <mergeCell ref="AJR77:AJW77"/>
    <mergeCell ref="AJY77:AKD77"/>
    <mergeCell ref="AKF77:AKK77"/>
    <mergeCell ref="AQY77:ARD77"/>
    <mergeCell ref="ARF77:ARK77"/>
    <mergeCell ref="ARM77:ARR77"/>
    <mergeCell ref="ART77:ARY77"/>
    <mergeCell ref="ASA77:ASF77"/>
    <mergeCell ref="ASH77:ASM77"/>
    <mergeCell ref="API77:APN77"/>
    <mergeCell ref="APP77:APU77"/>
    <mergeCell ref="APW77:AQB77"/>
    <mergeCell ref="AQD77:AQI77"/>
    <mergeCell ref="AQK77:AQP77"/>
    <mergeCell ref="AQR77:AQW77"/>
    <mergeCell ref="ANS77:ANX77"/>
    <mergeCell ref="ANZ77:AOE77"/>
    <mergeCell ref="AOG77:AOL77"/>
    <mergeCell ref="AON77:AOS77"/>
    <mergeCell ref="AOU77:AOZ77"/>
    <mergeCell ref="APB77:APG77"/>
    <mergeCell ref="AVU77:AVZ77"/>
    <mergeCell ref="AWB77:AWG77"/>
    <mergeCell ref="AWI77:AWN77"/>
    <mergeCell ref="AWP77:AWU77"/>
    <mergeCell ref="AWW77:AXB77"/>
    <mergeCell ref="AXD77:AXI77"/>
    <mergeCell ref="AUE77:AUJ77"/>
    <mergeCell ref="AUL77:AUQ77"/>
    <mergeCell ref="AUS77:AUX77"/>
    <mergeCell ref="AUZ77:AVE77"/>
    <mergeCell ref="AVG77:AVL77"/>
    <mergeCell ref="AVN77:AVS77"/>
    <mergeCell ref="ASO77:AST77"/>
    <mergeCell ref="ASV77:ATA77"/>
    <mergeCell ref="ATC77:ATH77"/>
    <mergeCell ref="ATJ77:ATO77"/>
    <mergeCell ref="ATQ77:ATV77"/>
    <mergeCell ref="ATX77:AUC77"/>
    <mergeCell ref="BAQ77:BAV77"/>
    <mergeCell ref="BAX77:BBC77"/>
    <mergeCell ref="BBE77:BBJ77"/>
    <mergeCell ref="BBL77:BBQ77"/>
    <mergeCell ref="BBS77:BBX77"/>
    <mergeCell ref="BBZ77:BCE77"/>
    <mergeCell ref="AZA77:AZF77"/>
    <mergeCell ref="AZH77:AZM77"/>
    <mergeCell ref="AZO77:AZT77"/>
    <mergeCell ref="AZV77:BAA77"/>
    <mergeCell ref="BAC77:BAH77"/>
    <mergeCell ref="BAJ77:BAO77"/>
    <mergeCell ref="AXK77:AXP77"/>
    <mergeCell ref="AXR77:AXW77"/>
    <mergeCell ref="AXY77:AYD77"/>
    <mergeCell ref="AYF77:AYK77"/>
    <mergeCell ref="AYM77:AYR77"/>
    <mergeCell ref="AYT77:AYY77"/>
    <mergeCell ref="BFM77:BFR77"/>
    <mergeCell ref="BFT77:BFY77"/>
    <mergeCell ref="BGA77:BGF77"/>
    <mergeCell ref="BGH77:BGM77"/>
    <mergeCell ref="BGO77:BGT77"/>
    <mergeCell ref="BGV77:BHA77"/>
    <mergeCell ref="BDW77:BEB77"/>
    <mergeCell ref="BED77:BEI77"/>
    <mergeCell ref="BEK77:BEP77"/>
    <mergeCell ref="BER77:BEW77"/>
    <mergeCell ref="BEY77:BFD77"/>
    <mergeCell ref="BFF77:BFK77"/>
    <mergeCell ref="BCG77:BCL77"/>
    <mergeCell ref="BCN77:BCS77"/>
    <mergeCell ref="BCU77:BCZ77"/>
    <mergeCell ref="BDB77:BDG77"/>
    <mergeCell ref="BDI77:BDN77"/>
    <mergeCell ref="BDP77:BDU77"/>
    <mergeCell ref="BKI77:BKN77"/>
    <mergeCell ref="BKP77:BKU77"/>
    <mergeCell ref="BKW77:BLB77"/>
    <mergeCell ref="BLD77:BLI77"/>
    <mergeCell ref="BLK77:BLP77"/>
    <mergeCell ref="BLR77:BLW77"/>
    <mergeCell ref="BIS77:BIX77"/>
    <mergeCell ref="BIZ77:BJE77"/>
    <mergeCell ref="BJG77:BJL77"/>
    <mergeCell ref="BJN77:BJS77"/>
    <mergeCell ref="BJU77:BJZ77"/>
    <mergeCell ref="BKB77:BKG77"/>
    <mergeCell ref="BHC77:BHH77"/>
    <mergeCell ref="BHJ77:BHO77"/>
    <mergeCell ref="BHQ77:BHV77"/>
    <mergeCell ref="BHX77:BIC77"/>
    <mergeCell ref="BIE77:BIJ77"/>
    <mergeCell ref="BIL77:BIQ77"/>
    <mergeCell ref="BPE77:BPJ77"/>
    <mergeCell ref="BPL77:BPQ77"/>
    <mergeCell ref="BPS77:BPX77"/>
    <mergeCell ref="BPZ77:BQE77"/>
    <mergeCell ref="BQG77:BQL77"/>
    <mergeCell ref="BQN77:BQS77"/>
    <mergeCell ref="BNO77:BNT77"/>
    <mergeCell ref="BNV77:BOA77"/>
    <mergeCell ref="BOC77:BOH77"/>
    <mergeCell ref="BOJ77:BOO77"/>
    <mergeCell ref="BOQ77:BOV77"/>
    <mergeCell ref="BOX77:BPC77"/>
    <mergeCell ref="BLY77:BMD77"/>
    <mergeCell ref="BMF77:BMK77"/>
    <mergeCell ref="BMM77:BMR77"/>
    <mergeCell ref="BMT77:BMY77"/>
    <mergeCell ref="BNA77:BNF77"/>
    <mergeCell ref="BNH77:BNM77"/>
    <mergeCell ref="BUA77:BUF77"/>
    <mergeCell ref="BUH77:BUM77"/>
    <mergeCell ref="BUO77:BUT77"/>
    <mergeCell ref="BUV77:BVA77"/>
    <mergeCell ref="BVC77:BVH77"/>
    <mergeCell ref="BVJ77:BVO77"/>
    <mergeCell ref="BSK77:BSP77"/>
    <mergeCell ref="BSR77:BSW77"/>
    <mergeCell ref="BSY77:BTD77"/>
    <mergeCell ref="BTF77:BTK77"/>
    <mergeCell ref="BTM77:BTR77"/>
    <mergeCell ref="BTT77:BTY77"/>
    <mergeCell ref="BQU77:BQZ77"/>
    <mergeCell ref="BRB77:BRG77"/>
    <mergeCell ref="BRI77:BRN77"/>
    <mergeCell ref="BRP77:BRU77"/>
    <mergeCell ref="BRW77:BSB77"/>
    <mergeCell ref="BSD77:BSI77"/>
    <mergeCell ref="BYW77:BZB77"/>
    <mergeCell ref="BZD77:BZI77"/>
    <mergeCell ref="BZK77:BZP77"/>
    <mergeCell ref="BZR77:BZW77"/>
    <mergeCell ref="BZY77:CAD77"/>
    <mergeCell ref="CAF77:CAK77"/>
    <mergeCell ref="BXG77:BXL77"/>
    <mergeCell ref="BXN77:BXS77"/>
    <mergeCell ref="BXU77:BXZ77"/>
    <mergeCell ref="BYB77:BYG77"/>
    <mergeCell ref="BYI77:BYN77"/>
    <mergeCell ref="BYP77:BYU77"/>
    <mergeCell ref="BVQ77:BVV77"/>
    <mergeCell ref="BVX77:BWC77"/>
    <mergeCell ref="BWE77:BWJ77"/>
    <mergeCell ref="BWL77:BWQ77"/>
    <mergeCell ref="BWS77:BWX77"/>
    <mergeCell ref="BWZ77:BXE77"/>
    <mergeCell ref="CDS77:CDX77"/>
    <mergeCell ref="CDZ77:CEE77"/>
    <mergeCell ref="CEG77:CEL77"/>
    <mergeCell ref="CEN77:CES77"/>
    <mergeCell ref="CEU77:CEZ77"/>
    <mergeCell ref="CFB77:CFG77"/>
    <mergeCell ref="CCC77:CCH77"/>
    <mergeCell ref="CCJ77:CCO77"/>
    <mergeCell ref="CCQ77:CCV77"/>
    <mergeCell ref="CCX77:CDC77"/>
    <mergeCell ref="CDE77:CDJ77"/>
    <mergeCell ref="CDL77:CDQ77"/>
    <mergeCell ref="CAM77:CAR77"/>
    <mergeCell ref="CAT77:CAY77"/>
    <mergeCell ref="CBA77:CBF77"/>
    <mergeCell ref="CBH77:CBM77"/>
    <mergeCell ref="CBO77:CBT77"/>
    <mergeCell ref="CBV77:CCA77"/>
    <mergeCell ref="CIO77:CIT77"/>
    <mergeCell ref="CIV77:CJA77"/>
    <mergeCell ref="CJC77:CJH77"/>
    <mergeCell ref="CJJ77:CJO77"/>
    <mergeCell ref="CJQ77:CJV77"/>
    <mergeCell ref="CJX77:CKC77"/>
    <mergeCell ref="CGY77:CHD77"/>
    <mergeCell ref="CHF77:CHK77"/>
    <mergeCell ref="CHM77:CHR77"/>
    <mergeCell ref="CHT77:CHY77"/>
    <mergeCell ref="CIA77:CIF77"/>
    <mergeCell ref="CIH77:CIM77"/>
    <mergeCell ref="CFI77:CFN77"/>
    <mergeCell ref="CFP77:CFU77"/>
    <mergeCell ref="CFW77:CGB77"/>
    <mergeCell ref="CGD77:CGI77"/>
    <mergeCell ref="CGK77:CGP77"/>
    <mergeCell ref="CGR77:CGW77"/>
    <mergeCell ref="CNK77:CNP77"/>
    <mergeCell ref="CNR77:CNW77"/>
    <mergeCell ref="CNY77:COD77"/>
    <mergeCell ref="COF77:COK77"/>
    <mergeCell ref="COM77:COR77"/>
    <mergeCell ref="COT77:COY77"/>
    <mergeCell ref="CLU77:CLZ77"/>
    <mergeCell ref="CMB77:CMG77"/>
    <mergeCell ref="CMI77:CMN77"/>
    <mergeCell ref="CMP77:CMU77"/>
    <mergeCell ref="CMW77:CNB77"/>
    <mergeCell ref="CND77:CNI77"/>
    <mergeCell ref="CKE77:CKJ77"/>
    <mergeCell ref="CKL77:CKQ77"/>
    <mergeCell ref="CKS77:CKX77"/>
    <mergeCell ref="CKZ77:CLE77"/>
    <mergeCell ref="CLG77:CLL77"/>
    <mergeCell ref="CLN77:CLS77"/>
    <mergeCell ref="CSG77:CSL77"/>
    <mergeCell ref="CSN77:CSS77"/>
    <mergeCell ref="CSU77:CSZ77"/>
    <mergeCell ref="CTB77:CTG77"/>
    <mergeCell ref="CTI77:CTN77"/>
    <mergeCell ref="CTP77:CTU77"/>
    <mergeCell ref="CQQ77:CQV77"/>
    <mergeCell ref="CQX77:CRC77"/>
    <mergeCell ref="CRE77:CRJ77"/>
    <mergeCell ref="CRL77:CRQ77"/>
    <mergeCell ref="CRS77:CRX77"/>
    <mergeCell ref="CRZ77:CSE77"/>
    <mergeCell ref="CPA77:CPF77"/>
    <mergeCell ref="CPH77:CPM77"/>
    <mergeCell ref="CPO77:CPT77"/>
    <mergeCell ref="CPV77:CQA77"/>
    <mergeCell ref="CQC77:CQH77"/>
    <mergeCell ref="CQJ77:CQO77"/>
    <mergeCell ref="CXC77:CXH77"/>
    <mergeCell ref="CXJ77:CXO77"/>
    <mergeCell ref="CXQ77:CXV77"/>
    <mergeCell ref="CXX77:CYC77"/>
    <mergeCell ref="CYE77:CYJ77"/>
    <mergeCell ref="CYL77:CYQ77"/>
    <mergeCell ref="CVM77:CVR77"/>
    <mergeCell ref="CVT77:CVY77"/>
    <mergeCell ref="CWA77:CWF77"/>
    <mergeCell ref="CWH77:CWM77"/>
    <mergeCell ref="CWO77:CWT77"/>
    <mergeCell ref="CWV77:CXA77"/>
    <mergeCell ref="CTW77:CUB77"/>
    <mergeCell ref="CUD77:CUI77"/>
    <mergeCell ref="CUK77:CUP77"/>
    <mergeCell ref="CUR77:CUW77"/>
    <mergeCell ref="CUY77:CVD77"/>
    <mergeCell ref="CVF77:CVK77"/>
    <mergeCell ref="DBY77:DCD77"/>
    <mergeCell ref="DCF77:DCK77"/>
    <mergeCell ref="DCM77:DCR77"/>
    <mergeCell ref="DCT77:DCY77"/>
    <mergeCell ref="DDA77:DDF77"/>
    <mergeCell ref="DDH77:DDM77"/>
    <mergeCell ref="DAI77:DAN77"/>
    <mergeCell ref="DAP77:DAU77"/>
    <mergeCell ref="DAW77:DBB77"/>
    <mergeCell ref="DBD77:DBI77"/>
    <mergeCell ref="DBK77:DBP77"/>
    <mergeCell ref="DBR77:DBW77"/>
    <mergeCell ref="CYS77:CYX77"/>
    <mergeCell ref="CYZ77:CZE77"/>
    <mergeCell ref="CZG77:CZL77"/>
    <mergeCell ref="CZN77:CZS77"/>
    <mergeCell ref="CZU77:CZZ77"/>
    <mergeCell ref="DAB77:DAG77"/>
    <mergeCell ref="DGU77:DGZ77"/>
    <mergeCell ref="DHB77:DHG77"/>
    <mergeCell ref="DHI77:DHN77"/>
    <mergeCell ref="DHP77:DHU77"/>
    <mergeCell ref="DHW77:DIB77"/>
    <mergeCell ref="DID77:DII77"/>
    <mergeCell ref="DFE77:DFJ77"/>
    <mergeCell ref="DFL77:DFQ77"/>
    <mergeCell ref="DFS77:DFX77"/>
    <mergeCell ref="DFZ77:DGE77"/>
    <mergeCell ref="DGG77:DGL77"/>
    <mergeCell ref="DGN77:DGS77"/>
    <mergeCell ref="DDO77:DDT77"/>
    <mergeCell ref="DDV77:DEA77"/>
    <mergeCell ref="DEC77:DEH77"/>
    <mergeCell ref="DEJ77:DEO77"/>
    <mergeCell ref="DEQ77:DEV77"/>
    <mergeCell ref="DEX77:DFC77"/>
    <mergeCell ref="DLQ77:DLV77"/>
    <mergeCell ref="DLX77:DMC77"/>
    <mergeCell ref="DME77:DMJ77"/>
    <mergeCell ref="DML77:DMQ77"/>
    <mergeCell ref="DMS77:DMX77"/>
    <mergeCell ref="DMZ77:DNE77"/>
    <mergeCell ref="DKA77:DKF77"/>
    <mergeCell ref="DKH77:DKM77"/>
    <mergeCell ref="DKO77:DKT77"/>
    <mergeCell ref="DKV77:DLA77"/>
    <mergeCell ref="DLC77:DLH77"/>
    <mergeCell ref="DLJ77:DLO77"/>
    <mergeCell ref="DIK77:DIP77"/>
    <mergeCell ref="DIR77:DIW77"/>
    <mergeCell ref="DIY77:DJD77"/>
    <mergeCell ref="DJF77:DJK77"/>
    <mergeCell ref="DJM77:DJR77"/>
    <mergeCell ref="DJT77:DJY77"/>
    <mergeCell ref="DQM77:DQR77"/>
    <mergeCell ref="DQT77:DQY77"/>
    <mergeCell ref="DRA77:DRF77"/>
    <mergeCell ref="DRH77:DRM77"/>
    <mergeCell ref="DRO77:DRT77"/>
    <mergeCell ref="DRV77:DSA77"/>
    <mergeCell ref="DOW77:DPB77"/>
    <mergeCell ref="DPD77:DPI77"/>
    <mergeCell ref="DPK77:DPP77"/>
    <mergeCell ref="DPR77:DPW77"/>
    <mergeCell ref="DPY77:DQD77"/>
    <mergeCell ref="DQF77:DQK77"/>
    <mergeCell ref="DNG77:DNL77"/>
    <mergeCell ref="DNN77:DNS77"/>
    <mergeCell ref="DNU77:DNZ77"/>
    <mergeCell ref="DOB77:DOG77"/>
    <mergeCell ref="DOI77:DON77"/>
    <mergeCell ref="DOP77:DOU77"/>
    <mergeCell ref="DVI77:DVN77"/>
    <mergeCell ref="DVP77:DVU77"/>
    <mergeCell ref="DVW77:DWB77"/>
    <mergeCell ref="DWD77:DWI77"/>
    <mergeCell ref="DWK77:DWP77"/>
    <mergeCell ref="DWR77:DWW77"/>
    <mergeCell ref="DTS77:DTX77"/>
    <mergeCell ref="DTZ77:DUE77"/>
    <mergeCell ref="DUG77:DUL77"/>
    <mergeCell ref="DUN77:DUS77"/>
    <mergeCell ref="DUU77:DUZ77"/>
    <mergeCell ref="DVB77:DVG77"/>
    <mergeCell ref="DSC77:DSH77"/>
    <mergeCell ref="DSJ77:DSO77"/>
    <mergeCell ref="DSQ77:DSV77"/>
    <mergeCell ref="DSX77:DTC77"/>
    <mergeCell ref="DTE77:DTJ77"/>
    <mergeCell ref="DTL77:DTQ77"/>
    <mergeCell ref="EAE77:EAJ77"/>
    <mergeCell ref="EAL77:EAQ77"/>
    <mergeCell ref="EAS77:EAX77"/>
    <mergeCell ref="EAZ77:EBE77"/>
    <mergeCell ref="EBG77:EBL77"/>
    <mergeCell ref="EBN77:EBS77"/>
    <mergeCell ref="DYO77:DYT77"/>
    <mergeCell ref="DYV77:DZA77"/>
    <mergeCell ref="DZC77:DZH77"/>
    <mergeCell ref="DZJ77:DZO77"/>
    <mergeCell ref="DZQ77:DZV77"/>
    <mergeCell ref="DZX77:EAC77"/>
    <mergeCell ref="DWY77:DXD77"/>
    <mergeCell ref="DXF77:DXK77"/>
    <mergeCell ref="DXM77:DXR77"/>
    <mergeCell ref="DXT77:DXY77"/>
    <mergeCell ref="DYA77:DYF77"/>
    <mergeCell ref="DYH77:DYM77"/>
    <mergeCell ref="EFA77:EFF77"/>
    <mergeCell ref="EFH77:EFM77"/>
    <mergeCell ref="EFO77:EFT77"/>
    <mergeCell ref="EFV77:EGA77"/>
    <mergeCell ref="EGC77:EGH77"/>
    <mergeCell ref="EGJ77:EGO77"/>
    <mergeCell ref="EDK77:EDP77"/>
    <mergeCell ref="EDR77:EDW77"/>
    <mergeCell ref="EDY77:EED77"/>
    <mergeCell ref="EEF77:EEK77"/>
    <mergeCell ref="EEM77:EER77"/>
    <mergeCell ref="EET77:EEY77"/>
    <mergeCell ref="EBU77:EBZ77"/>
    <mergeCell ref="ECB77:ECG77"/>
    <mergeCell ref="ECI77:ECN77"/>
    <mergeCell ref="ECP77:ECU77"/>
    <mergeCell ref="ECW77:EDB77"/>
    <mergeCell ref="EDD77:EDI77"/>
    <mergeCell ref="EJW77:EKB77"/>
    <mergeCell ref="EKD77:EKI77"/>
    <mergeCell ref="EKK77:EKP77"/>
    <mergeCell ref="EKR77:EKW77"/>
    <mergeCell ref="EKY77:ELD77"/>
    <mergeCell ref="ELF77:ELK77"/>
    <mergeCell ref="EIG77:EIL77"/>
    <mergeCell ref="EIN77:EIS77"/>
    <mergeCell ref="EIU77:EIZ77"/>
    <mergeCell ref="EJB77:EJG77"/>
    <mergeCell ref="EJI77:EJN77"/>
    <mergeCell ref="EJP77:EJU77"/>
    <mergeCell ref="EGQ77:EGV77"/>
    <mergeCell ref="EGX77:EHC77"/>
    <mergeCell ref="EHE77:EHJ77"/>
    <mergeCell ref="EHL77:EHQ77"/>
    <mergeCell ref="EHS77:EHX77"/>
    <mergeCell ref="EHZ77:EIE77"/>
    <mergeCell ref="EOS77:EOX77"/>
    <mergeCell ref="EOZ77:EPE77"/>
    <mergeCell ref="EPG77:EPL77"/>
    <mergeCell ref="EPN77:EPS77"/>
    <mergeCell ref="EPU77:EPZ77"/>
    <mergeCell ref="EQB77:EQG77"/>
    <mergeCell ref="ENC77:ENH77"/>
    <mergeCell ref="ENJ77:ENO77"/>
    <mergeCell ref="ENQ77:ENV77"/>
    <mergeCell ref="ENX77:EOC77"/>
    <mergeCell ref="EOE77:EOJ77"/>
    <mergeCell ref="EOL77:EOQ77"/>
    <mergeCell ref="ELM77:ELR77"/>
    <mergeCell ref="ELT77:ELY77"/>
    <mergeCell ref="EMA77:EMF77"/>
    <mergeCell ref="EMH77:EMM77"/>
    <mergeCell ref="EMO77:EMT77"/>
    <mergeCell ref="EMV77:ENA77"/>
    <mergeCell ref="ETO77:ETT77"/>
    <mergeCell ref="ETV77:EUA77"/>
    <mergeCell ref="EUC77:EUH77"/>
    <mergeCell ref="EUJ77:EUO77"/>
    <mergeCell ref="EUQ77:EUV77"/>
    <mergeCell ref="EUX77:EVC77"/>
    <mergeCell ref="ERY77:ESD77"/>
    <mergeCell ref="ESF77:ESK77"/>
    <mergeCell ref="ESM77:ESR77"/>
    <mergeCell ref="EST77:ESY77"/>
    <mergeCell ref="ETA77:ETF77"/>
    <mergeCell ref="ETH77:ETM77"/>
    <mergeCell ref="EQI77:EQN77"/>
    <mergeCell ref="EQP77:EQU77"/>
    <mergeCell ref="EQW77:ERB77"/>
    <mergeCell ref="ERD77:ERI77"/>
    <mergeCell ref="ERK77:ERP77"/>
    <mergeCell ref="ERR77:ERW77"/>
    <mergeCell ref="EYK77:EYP77"/>
    <mergeCell ref="EYR77:EYW77"/>
    <mergeCell ref="EYY77:EZD77"/>
    <mergeCell ref="EZF77:EZK77"/>
    <mergeCell ref="EZM77:EZR77"/>
    <mergeCell ref="EZT77:EZY77"/>
    <mergeCell ref="EWU77:EWZ77"/>
    <mergeCell ref="EXB77:EXG77"/>
    <mergeCell ref="EXI77:EXN77"/>
    <mergeCell ref="EXP77:EXU77"/>
    <mergeCell ref="EXW77:EYB77"/>
    <mergeCell ref="EYD77:EYI77"/>
    <mergeCell ref="EVE77:EVJ77"/>
    <mergeCell ref="EVL77:EVQ77"/>
    <mergeCell ref="EVS77:EVX77"/>
    <mergeCell ref="EVZ77:EWE77"/>
    <mergeCell ref="EWG77:EWL77"/>
    <mergeCell ref="EWN77:EWS77"/>
    <mergeCell ref="FDG77:FDL77"/>
    <mergeCell ref="FDN77:FDS77"/>
    <mergeCell ref="FDU77:FDZ77"/>
    <mergeCell ref="FEB77:FEG77"/>
    <mergeCell ref="FEI77:FEN77"/>
    <mergeCell ref="FEP77:FEU77"/>
    <mergeCell ref="FBQ77:FBV77"/>
    <mergeCell ref="FBX77:FCC77"/>
    <mergeCell ref="FCE77:FCJ77"/>
    <mergeCell ref="FCL77:FCQ77"/>
    <mergeCell ref="FCS77:FCX77"/>
    <mergeCell ref="FCZ77:FDE77"/>
    <mergeCell ref="FAA77:FAF77"/>
    <mergeCell ref="FAH77:FAM77"/>
    <mergeCell ref="FAO77:FAT77"/>
    <mergeCell ref="FAV77:FBA77"/>
    <mergeCell ref="FBC77:FBH77"/>
    <mergeCell ref="FBJ77:FBO77"/>
    <mergeCell ref="FIC77:FIH77"/>
    <mergeCell ref="FIJ77:FIO77"/>
    <mergeCell ref="FIQ77:FIV77"/>
    <mergeCell ref="FIX77:FJC77"/>
    <mergeCell ref="FJE77:FJJ77"/>
    <mergeCell ref="FJL77:FJQ77"/>
    <mergeCell ref="FGM77:FGR77"/>
    <mergeCell ref="FGT77:FGY77"/>
    <mergeCell ref="FHA77:FHF77"/>
    <mergeCell ref="FHH77:FHM77"/>
    <mergeCell ref="FHO77:FHT77"/>
    <mergeCell ref="FHV77:FIA77"/>
    <mergeCell ref="FEW77:FFB77"/>
    <mergeCell ref="FFD77:FFI77"/>
    <mergeCell ref="FFK77:FFP77"/>
    <mergeCell ref="FFR77:FFW77"/>
    <mergeCell ref="FFY77:FGD77"/>
    <mergeCell ref="FGF77:FGK77"/>
    <mergeCell ref="FMY77:FND77"/>
    <mergeCell ref="FNF77:FNK77"/>
    <mergeCell ref="FNM77:FNR77"/>
    <mergeCell ref="FNT77:FNY77"/>
    <mergeCell ref="FOA77:FOF77"/>
    <mergeCell ref="FOH77:FOM77"/>
    <mergeCell ref="FLI77:FLN77"/>
    <mergeCell ref="FLP77:FLU77"/>
    <mergeCell ref="FLW77:FMB77"/>
    <mergeCell ref="FMD77:FMI77"/>
    <mergeCell ref="FMK77:FMP77"/>
    <mergeCell ref="FMR77:FMW77"/>
    <mergeCell ref="FJS77:FJX77"/>
    <mergeCell ref="FJZ77:FKE77"/>
    <mergeCell ref="FKG77:FKL77"/>
    <mergeCell ref="FKN77:FKS77"/>
    <mergeCell ref="FKU77:FKZ77"/>
    <mergeCell ref="FLB77:FLG77"/>
    <mergeCell ref="FRU77:FRZ77"/>
    <mergeCell ref="FSB77:FSG77"/>
    <mergeCell ref="FSI77:FSN77"/>
    <mergeCell ref="FSP77:FSU77"/>
    <mergeCell ref="FSW77:FTB77"/>
    <mergeCell ref="FTD77:FTI77"/>
    <mergeCell ref="FQE77:FQJ77"/>
    <mergeCell ref="FQL77:FQQ77"/>
    <mergeCell ref="FQS77:FQX77"/>
    <mergeCell ref="FQZ77:FRE77"/>
    <mergeCell ref="FRG77:FRL77"/>
    <mergeCell ref="FRN77:FRS77"/>
    <mergeCell ref="FOO77:FOT77"/>
    <mergeCell ref="FOV77:FPA77"/>
    <mergeCell ref="FPC77:FPH77"/>
    <mergeCell ref="FPJ77:FPO77"/>
    <mergeCell ref="FPQ77:FPV77"/>
    <mergeCell ref="FPX77:FQC77"/>
    <mergeCell ref="FWQ77:FWV77"/>
    <mergeCell ref="FWX77:FXC77"/>
    <mergeCell ref="FXE77:FXJ77"/>
    <mergeCell ref="FXL77:FXQ77"/>
    <mergeCell ref="FXS77:FXX77"/>
    <mergeCell ref="FXZ77:FYE77"/>
    <mergeCell ref="FVA77:FVF77"/>
    <mergeCell ref="FVH77:FVM77"/>
    <mergeCell ref="FVO77:FVT77"/>
    <mergeCell ref="FVV77:FWA77"/>
    <mergeCell ref="FWC77:FWH77"/>
    <mergeCell ref="FWJ77:FWO77"/>
    <mergeCell ref="FTK77:FTP77"/>
    <mergeCell ref="FTR77:FTW77"/>
    <mergeCell ref="FTY77:FUD77"/>
    <mergeCell ref="FUF77:FUK77"/>
    <mergeCell ref="FUM77:FUR77"/>
    <mergeCell ref="FUT77:FUY77"/>
    <mergeCell ref="GBM77:GBR77"/>
    <mergeCell ref="GBT77:GBY77"/>
    <mergeCell ref="GCA77:GCF77"/>
    <mergeCell ref="GCH77:GCM77"/>
    <mergeCell ref="GCO77:GCT77"/>
    <mergeCell ref="GCV77:GDA77"/>
    <mergeCell ref="FZW77:GAB77"/>
    <mergeCell ref="GAD77:GAI77"/>
    <mergeCell ref="GAK77:GAP77"/>
    <mergeCell ref="GAR77:GAW77"/>
    <mergeCell ref="GAY77:GBD77"/>
    <mergeCell ref="GBF77:GBK77"/>
    <mergeCell ref="FYG77:FYL77"/>
    <mergeCell ref="FYN77:FYS77"/>
    <mergeCell ref="FYU77:FYZ77"/>
    <mergeCell ref="FZB77:FZG77"/>
    <mergeCell ref="FZI77:FZN77"/>
    <mergeCell ref="FZP77:FZU77"/>
    <mergeCell ref="GGI77:GGN77"/>
    <mergeCell ref="GGP77:GGU77"/>
    <mergeCell ref="GGW77:GHB77"/>
    <mergeCell ref="GHD77:GHI77"/>
    <mergeCell ref="GHK77:GHP77"/>
    <mergeCell ref="GHR77:GHW77"/>
    <mergeCell ref="GES77:GEX77"/>
    <mergeCell ref="GEZ77:GFE77"/>
    <mergeCell ref="GFG77:GFL77"/>
    <mergeCell ref="GFN77:GFS77"/>
    <mergeCell ref="GFU77:GFZ77"/>
    <mergeCell ref="GGB77:GGG77"/>
    <mergeCell ref="GDC77:GDH77"/>
    <mergeCell ref="GDJ77:GDO77"/>
    <mergeCell ref="GDQ77:GDV77"/>
    <mergeCell ref="GDX77:GEC77"/>
    <mergeCell ref="GEE77:GEJ77"/>
    <mergeCell ref="GEL77:GEQ77"/>
    <mergeCell ref="GLE77:GLJ77"/>
    <mergeCell ref="GLL77:GLQ77"/>
    <mergeCell ref="GLS77:GLX77"/>
    <mergeCell ref="GLZ77:GME77"/>
    <mergeCell ref="GMG77:GML77"/>
    <mergeCell ref="GMN77:GMS77"/>
    <mergeCell ref="GJO77:GJT77"/>
    <mergeCell ref="GJV77:GKA77"/>
    <mergeCell ref="GKC77:GKH77"/>
    <mergeCell ref="GKJ77:GKO77"/>
    <mergeCell ref="GKQ77:GKV77"/>
    <mergeCell ref="GKX77:GLC77"/>
    <mergeCell ref="GHY77:GID77"/>
    <mergeCell ref="GIF77:GIK77"/>
    <mergeCell ref="GIM77:GIR77"/>
    <mergeCell ref="GIT77:GIY77"/>
    <mergeCell ref="GJA77:GJF77"/>
    <mergeCell ref="GJH77:GJM77"/>
    <mergeCell ref="GQA77:GQF77"/>
    <mergeCell ref="GQH77:GQM77"/>
    <mergeCell ref="GQO77:GQT77"/>
    <mergeCell ref="GQV77:GRA77"/>
    <mergeCell ref="GRC77:GRH77"/>
    <mergeCell ref="GRJ77:GRO77"/>
    <mergeCell ref="GOK77:GOP77"/>
    <mergeCell ref="GOR77:GOW77"/>
    <mergeCell ref="GOY77:GPD77"/>
    <mergeCell ref="GPF77:GPK77"/>
    <mergeCell ref="GPM77:GPR77"/>
    <mergeCell ref="GPT77:GPY77"/>
    <mergeCell ref="GMU77:GMZ77"/>
    <mergeCell ref="GNB77:GNG77"/>
    <mergeCell ref="GNI77:GNN77"/>
    <mergeCell ref="GNP77:GNU77"/>
    <mergeCell ref="GNW77:GOB77"/>
    <mergeCell ref="GOD77:GOI77"/>
    <mergeCell ref="GUW77:GVB77"/>
    <mergeCell ref="GVD77:GVI77"/>
    <mergeCell ref="GVK77:GVP77"/>
    <mergeCell ref="GVR77:GVW77"/>
    <mergeCell ref="GVY77:GWD77"/>
    <mergeCell ref="GWF77:GWK77"/>
    <mergeCell ref="GTG77:GTL77"/>
    <mergeCell ref="GTN77:GTS77"/>
    <mergeCell ref="GTU77:GTZ77"/>
    <mergeCell ref="GUB77:GUG77"/>
    <mergeCell ref="GUI77:GUN77"/>
    <mergeCell ref="GUP77:GUU77"/>
    <mergeCell ref="GRQ77:GRV77"/>
    <mergeCell ref="GRX77:GSC77"/>
    <mergeCell ref="GSE77:GSJ77"/>
    <mergeCell ref="GSL77:GSQ77"/>
    <mergeCell ref="GSS77:GSX77"/>
    <mergeCell ref="GSZ77:GTE77"/>
    <mergeCell ref="GZS77:GZX77"/>
    <mergeCell ref="GZZ77:HAE77"/>
    <mergeCell ref="HAG77:HAL77"/>
    <mergeCell ref="HAN77:HAS77"/>
    <mergeCell ref="HAU77:HAZ77"/>
    <mergeCell ref="HBB77:HBG77"/>
    <mergeCell ref="GYC77:GYH77"/>
    <mergeCell ref="GYJ77:GYO77"/>
    <mergeCell ref="GYQ77:GYV77"/>
    <mergeCell ref="GYX77:GZC77"/>
    <mergeCell ref="GZE77:GZJ77"/>
    <mergeCell ref="GZL77:GZQ77"/>
    <mergeCell ref="GWM77:GWR77"/>
    <mergeCell ref="GWT77:GWY77"/>
    <mergeCell ref="GXA77:GXF77"/>
    <mergeCell ref="GXH77:GXM77"/>
    <mergeCell ref="GXO77:GXT77"/>
    <mergeCell ref="GXV77:GYA77"/>
    <mergeCell ref="HEO77:HET77"/>
    <mergeCell ref="HEV77:HFA77"/>
    <mergeCell ref="HFC77:HFH77"/>
    <mergeCell ref="HFJ77:HFO77"/>
    <mergeCell ref="HFQ77:HFV77"/>
    <mergeCell ref="HFX77:HGC77"/>
    <mergeCell ref="HCY77:HDD77"/>
    <mergeCell ref="HDF77:HDK77"/>
    <mergeCell ref="HDM77:HDR77"/>
    <mergeCell ref="HDT77:HDY77"/>
    <mergeCell ref="HEA77:HEF77"/>
    <mergeCell ref="HEH77:HEM77"/>
    <mergeCell ref="HBI77:HBN77"/>
    <mergeCell ref="HBP77:HBU77"/>
    <mergeCell ref="HBW77:HCB77"/>
    <mergeCell ref="HCD77:HCI77"/>
    <mergeCell ref="HCK77:HCP77"/>
    <mergeCell ref="HCR77:HCW77"/>
    <mergeCell ref="HJK77:HJP77"/>
    <mergeCell ref="HJR77:HJW77"/>
    <mergeCell ref="HJY77:HKD77"/>
    <mergeCell ref="HKF77:HKK77"/>
    <mergeCell ref="HKM77:HKR77"/>
    <mergeCell ref="HKT77:HKY77"/>
    <mergeCell ref="HHU77:HHZ77"/>
    <mergeCell ref="HIB77:HIG77"/>
    <mergeCell ref="HII77:HIN77"/>
    <mergeCell ref="HIP77:HIU77"/>
    <mergeCell ref="HIW77:HJB77"/>
    <mergeCell ref="HJD77:HJI77"/>
    <mergeCell ref="HGE77:HGJ77"/>
    <mergeCell ref="HGL77:HGQ77"/>
    <mergeCell ref="HGS77:HGX77"/>
    <mergeCell ref="HGZ77:HHE77"/>
    <mergeCell ref="HHG77:HHL77"/>
    <mergeCell ref="HHN77:HHS77"/>
    <mergeCell ref="HOG77:HOL77"/>
    <mergeCell ref="HON77:HOS77"/>
    <mergeCell ref="HOU77:HOZ77"/>
    <mergeCell ref="HPB77:HPG77"/>
    <mergeCell ref="HPI77:HPN77"/>
    <mergeCell ref="HPP77:HPU77"/>
    <mergeCell ref="HMQ77:HMV77"/>
    <mergeCell ref="HMX77:HNC77"/>
    <mergeCell ref="HNE77:HNJ77"/>
    <mergeCell ref="HNL77:HNQ77"/>
    <mergeCell ref="HNS77:HNX77"/>
    <mergeCell ref="HNZ77:HOE77"/>
    <mergeCell ref="HLA77:HLF77"/>
    <mergeCell ref="HLH77:HLM77"/>
    <mergeCell ref="HLO77:HLT77"/>
    <mergeCell ref="HLV77:HMA77"/>
    <mergeCell ref="HMC77:HMH77"/>
    <mergeCell ref="HMJ77:HMO77"/>
    <mergeCell ref="HTC77:HTH77"/>
    <mergeCell ref="HTJ77:HTO77"/>
    <mergeCell ref="HTQ77:HTV77"/>
    <mergeCell ref="HTX77:HUC77"/>
    <mergeCell ref="HUE77:HUJ77"/>
    <mergeCell ref="HUL77:HUQ77"/>
    <mergeCell ref="HRM77:HRR77"/>
    <mergeCell ref="HRT77:HRY77"/>
    <mergeCell ref="HSA77:HSF77"/>
    <mergeCell ref="HSH77:HSM77"/>
    <mergeCell ref="HSO77:HST77"/>
    <mergeCell ref="HSV77:HTA77"/>
    <mergeCell ref="HPW77:HQB77"/>
    <mergeCell ref="HQD77:HQI77"/>
    <mergeCell ref="HQK77:HQP77"/>
    <mergeCell ref="HQR77:HQW77"/>
    <mergeCell ref="HQY77:HRD77"/>
    <mergeCell ref="HRF77:HRK77"/>
    <mergeCell ref="HXY77:HYD77"/>
    <mergeCell ref="HYF77:HYK77"/>
    <mergeCell ref="HYM77:HYR77"/>
    <mergeCell ref="HYT77:HYY77"/>
    <mergeCell ref="HZA77:HZF77"/>
    <mergeCell ref="HZH77:HZM77"/>
    <mergeCell ref="HWI77:HWN77"/>
    <mergeCell ref="HWP77:HWU77"/>
    <mergeCell ref="HWW77:HXB77"/>
    <mergeCell ref="HXD77:HXI77"/>
    <mergeCell ref="HXK77:HXP77"/>
    <mergeCell ref="HXR77:HXW77"/>
    <mergeCell ref="HUS77:HUX77"/>
    <mergeCell ref="HUZ77:HVE77"/>
    <mergeCell ref="HVG77:HVL77"/>
    <mergeCell ref="HVN77:HVS77"/>
    <mergeCell ref="HVU77:HVZ77"/>
    <mergeCell ref="HWB77:HWG77"/>
    <mergeCell ref="ICU77:ICZ77"/>
    <mergeCell ref="IDB77:IDG77"/>
    <mergeCell ref="IDI77:IDN77"/>
    <mergeCell ref="IDP77:IDU77"/>
    <mergeCell ref="IDW77:IEB77"/>
    <mergeCell ref="IED77:IEI77"/>
    <mergeCell ref="IBE77:IBJ77"/>
    <mergeCell ref="IBL77:IBQ77"/>
    <mergeCell ref="IBS77:IBX77"/>
    <mergeCell ref="IBZ77:ICE77"/>
    <mergeCell ref="ICG77:ICL77"/>
    <mergeCell ref="ICN77:ICS77"/>
    <mergeCell ref="HZO77:HZT77"/>
    <mergeCell ref="HZV77:IAA77"/>
    <mergeCell ref="IAC77:IAH77"/>
    <mergeCell ref="IAJ77:IAO77"/>
    <mergeCell ref="IAQ77:IAV77"/>
    <mergeCell ref="IAX77:IBC77"/>
    <mergeCell ref="IHQ77:IHV77"/>
    <mergeCell ref="IHX77:IIC77"/>
    <mergeCell ref="IIE77:IIJ77"/>
    <mergeCell ref="IIL77:IIQ77"/>
    <mergeCell ref="IIS77:IIX77"/>
    <mergeCell ref="IIZ77:IJE77"/>
    <mergeCell ref="IGA77:IGF77"/>
    <mergeCell ref="IGH77:IGM77"/>
    <mergeCell ref="IGO77:IGT77"/>
    <mergeCell ref="IGV77:IHA77"/>
    <mergeCell ref="IHC77:IHH77"/>
    <mergeCell ref="IHJ77:IHO77"/>
    <mergeCell ref="IEK77:IEP77"/>
    <mergeCell ref="IER77:IEW77"/>
    <mergeCell ref="IEY77:IFD77"/>
    <mergeCell ref="IFF77:IFK77"/>
    <mergeCell ref="IFM77:IFR77"/>
    <mergeCell ref="IFT77:IFY77"/>
    <mergeCell ref="IMM77:IMR77"/>
    <mergeCell ref="IMT77:IMY77"/>
    <mergeCell ref="INA77:INF77"/>
    <mergeCell ref="INH77:INM77"/>
    <mergeCell ref="INO77:INT77"/>
    <mergeCell ref="INV77:IOA77"/>
    <mergeCell ref="IKW77:ILB77"/>
    <mergeCell ref="ILD77:ILI77"/>
    <mergeCell ref="ILK77:ILP77"/>
    <mergeCell ref="ILR77:ILW77"/>
    <mergeCell ref="ILY77:IMD77"/>
    <mergeCell ref="IMF77:IMK77"/>
    <mergeCell ref="IJG77:IJL77"/>
    <mergeCell ref="IJN77:IJS77"/>
    <mergeCell ref="IJU77:IJZ77"/>
    <mergeCell ref="IKB77:IKG77"/>
    <mergeCell ref="IKI77:IKN77"/>
    <mergeCell ref="IKP77:IKU77"/>
    <mergeCell ref="IRI77:IRN77"/>
    <mergeCell ref="IRP77:IRU77"/>
    <mergeCell ref="IRW77:ISB77"/>
    <mergeCell ref="ISD77:ISI77"/>
    <mergeCell ref="ISK77:ISP77"/>
    <mergeCell ref="ISR77:ISW77"/>
    <mergeCell ref="IPS77:IPX77"/>
    <mergeCell ref="IPZ77:IQE77"/>
    <mergeCell ref="IQG77:IQL77"/>
    <mergeCell ref="IQN77:IQS77"/>
    <mergeCell ref="IQU77:IQZ77"/>
    <mergeCell ref="IRB77:IRG77"/>
    <mergeCell ref="IOC77:IOH77"/>
    <mergeCell ref="IOJ77:IOO77"/>
    <mergeCell ref="IOQ77:IOV77"/>
    <mergeCell ref="IOX77:IPC77"/>
    <mergeCell ref="IPE77:IPJ77"/>
    <mergeCell ref="IPL77:IPQ77"/>
    <mergeCell ref="IWE77:IWJ77"/>
    <mergeCell ref="IWL77:IWQ77"/>
    <mergeCell ref="IWS77:IWX77"/>
    <mergeCell ref="IWZ77:IXE77"/>
    <mergeCell ref="IXG77:IXL77"/>
    <mergeCell ref="IXN77:IXS77"/>
    <mergeCell ref="IUO77:IUT77"/>
    <mergeCell ref="IUV77:IVA77"/>
    <mergeCell ref="IVC77:IVH77"/>
    <mergeCell ref="IVJ77:IVO77"/>
    <mergeCell ref="IVQ77:IVV77"/>
    <mergeCell ref="IVX77:IWC77"/>
    <mergeCell ref="ISY77:ITD77"/>
    <mergeCell ref="ITF77:ITK77"/>
    <mergeCell ref="ITM77:ITR77"/>
    <mergeCell ref="ITT77:ITY77"/>
    <mergeCell ref="IUA77:IUF77"/>
    <mergeCell ref="IUH77:IUM77"/>
    <mergeCell ref="JBA77:JBF77"/>
    <mergeCell ref="JBH77:JBM77"/>
    <mergeCell ref="JBO77:JBT77"/>
    <mergeCell ref="JBV77:JCA77"/>
    <mergeCell ref="JCC77:JCH77"/>
    <mergeCell ref="JCJ77:JCO77"/>
    <mergeCell ref="IZK77:IZP77"/>
    <mergeCell ref="IZR77:IZW77"/>
    <mergeCell ref="IZY77:JAD77"/>
    <mergeCell ref="JAF77:JAK77"/>
    <mergeCell ref="JAM77:JAR77"/>
    <mergeCell ref="JAT77:JAY77"/>
    <mergeCell ref="IXU77:IXZ77"/>
    <mergeCell ref="IYB77:IYG77"/>
    <mergeCell ref="IYI77:IYN77"/>
    <mergeCell ref="IYP77:IYU77"/>
    <mergeCell ref="IYW77:IZB77"/>
    <mergeCell ref="IZD77:IZI77"/>
    <mergeCell ref="JFW77:JGB77"/>
    <mergeCell ref="JGD77:JGI77"/>
    <mergeCell ref="JGK77:JGP77"/>
    <mergeCell ref="JGR77:JGW77"/>
    <mergeCell ref="JGY77:JHD77"/>
    <mergeCell ref="JHF77:JHK77"/>
    <mergeCell ref="JEG77:JEL77"/>
    <mergeCell ref="JEN77:JES77"/>
    <mergeCell ref="JEU77:JEZ77"/>
    <mergeCell ref="JFB77:JFG77"/>
    <mergeCell ref="JFI77:JFN77"/>
    <mergeCell ref="JFP77:JFU77"/>
    <mergeCell ref="JCQ77:JCV77"/>
    <mergeCell ref="JCX77:JDC77"/>
    <mergeCell ref="JDE77:JDJ77"/>
    <mergeCell ref="JDL77:JDQ77"/>
    <mergeCell ref="JDS77:JDX77"/>
    <mergeCell ref="JDZ77:JEE77"/>
    <mergeCell ref="JKS77:JKX77"/>
    <mergeCell ref="JKZ77:JLE77"/>
    <mergeCell ref="JLG77:JLL77"/>
    <mergeCell ref="JLN77:JLS77"/>
    <mergeCell ref="JLU77:JLZ77"/>
    <mergeCell ref="JMB77:JMG77"/>
    <mergeCell ref="JJC77:JJH77"/>
    <mergeCell ref="JJJ77:JJO77"/>
    <mergeCell ref="JJQ77:JJV77"/>
    <mergeCell ref="JJX77:JKC77"/>
    <mergeCell ref="JKE77:JKJ77"/>
    <mergeCell ref="JKL77:JKQ77"/>
    <mergeCell ref="JHM77:JHR77"/>
    <mergeCell ref="JHT77:JHY77"/>
    <mergeCell ref="JIA77:JIF77"/>
    <mergeCell ref="JIH77:JIM77"/>
    <mergeCell ref="JIO77:JIT77"/>
    <mergeCell ref="JIV77:JJA77"/>
    <mergeCell ref="JPO77:JPT77"/>
    <mergeCell ref="JPV77:JQA77"/>
    <mergeCell ref="JQC77:JQH77"/>
    <mergeCell ref="JQJ77:JQO77"/>
    <mergeCell ref="JQQ77:JQV77"/>
    <mergeCell ref="JQX77:JRC77"/>
    <mergeCell ref="JNY77:JOD77"/>
    <mergeCell ref="JOF77:JOK77"/>
    <mergeCell ref="JOM77:JOR77"/>
    <mergeCell ref="JOT77:JOY77"/>
    <mergeCell ref="JPA77:JPF77"/>
    <mergeCell ref="JPH77:JPM77"/>
    <mergeCell ref="JMI77:JMN77"/>
    <mergeCell ref="JMP77:JMU77"/>
    <mergeCell ref="JMW77:JNB77"/>
    <mergeCell ref="JND77:JNI77"/>
    <mergeCell ref="JNK77:JNP77"/>
    <mergeCell ref="JNR77:JNW77"/>
    <mergeCell ref="JUK77:JUP77"/>
    <mergeCell ref="JUR77:JUW77"/>
    <mergeCell ref="JUY77:JVD77"/>
    <mergeCell ref="JVF77:JVK77"/>
    <mergeCell ref="JVM77:JVR77"/>
    <mergeCell ref="JVT77:JVY77"/>
    <mergeCell ref="JSU77:JSZ77"/>
    <mergeCell ref="JTB77:JTG77"/>
    <mergeCell ref="JTI77:JTN77"/>
    <mergeCell ref="JTP77:JTU77"/>
    <mergeCell ref="JTW77:JUB77"/>
    <mergeCell ref="JUD77:JUI77"/>
    <mergeCell ref="JRE77:JRJ77"/>
    <mergeCell ref="JRL77:JRQ77"/>
    <mergeCell ref="JRS77:JRX77"/>
    <mergeCell ref="JRZ77:JSE77"/>
    <mergeCell ref="JSG77:JSL77"/>
    <mergeCell ref="JSN77:JSS77"/>
    <mergeCell ref="JZG77:JZL77"/>
    <mergeCell ref="JZN77:JZS77"/>
    <mergeCell ref="JZU77:JZZ77"/>
    <mergeCell ref="KAB77:KAG77"/>
    <mergeCell ref="KAI77:KAN77"/>
    <mergeCell ref="KAP77:KAU77"/>
    <mergeCell ref="JXQ77:JXV77"/>
    <mergeCell ref="JXX77:JYC77"/>
    <mergeCell ref="JYE77:JYJ77"/>
    <mergeCell ref="JYL77:JYQ77"/>
    <mergeCell ref="JYS77:JYX77"/>
    <mergeCell ref="JYZ77:JZE77"/>
    <mergeCell ref="JWA77:JWF77"/>
    <mergeCell ref="JWH77:JWM77"/>
    <mergeCell ref="JWO77:JWT77"/>
    <mergeCell ref="JWV77:JXA77"/>
    <mergeCell ref="JXC77:JXH77"/>
    <mergeCell ref="JXJ77:JXO77"/>
    <mergeCell ref="KEC77:KEH77"/>
    <mergeCell ref="KEJ77:KEO77"/>
    <mergeCell ref="KEQ77:KEV77"/>
    <mergeCell ref="KEX77:KFC77"/>
    <mergeCell ref="KFE77:KFJ77"/>
    <mergeCell ref="KFL77:KFQ77"/>
    <mergeCell ref="KCM77:KCR77"/>
    <mergeCell ref="KCT77:KCY77"/>
    <mergeCell ref="KDA77:KDF77"/>
    <mergeCell ref="KDH77:KDM77"/>
    <mergeCell ref="KDO77:KDT77"/>
    <mergeCell ref="KDV77:KEA77"/>
    <mergeCell ref="KAW77:KBB77"/>
    <mergeCell ref="KBD77:KBI77"/>
    <mergeCell ref="KBK77:KBP77"/>
    <mergeCell ref="KBR77:KBW77"/>
    <mergeCell ref="KBY77:KCD77"/>
    <mergeCell ref="KCF77:KCK77"/>
    <mergeCell ref="KIY77:KJD77"/>
    <mergeCell ref="KJF77:KJK77"/>
    <mergeCell ref="KJM77:KJR77"/>
    <mergeCell ref="KJT77:KJY77"/>
    <mergeCell ref="KKA77:KKF77"/>
    <mergeCell ref="KKH77:KKM77"/>
    <mergeCell ref="KHI77:KHN77"/>
    <mergeCell ref="KHP77:KHU77"/>
    <mergeCell ref="KHW77:KIB77"/>
    <mergeCell ref="KID77:KII77"/>
    <mergeCell ref="KIK77:KIP77"/>
    <mergeCell ref="KIR77:KIW77"/>
    <mergeCell ref="KFS77:KFX77"/>
    <mergeCell ref="KFZ77:KGE77"/>
    <mergeCell ref="KGG77:KGL77"/>
    <mergeCell ref="KGN77:KGS77"/>
    <mergeCell ref="KGU77:KGZ77"/>
    <mergeCell ref="KHB77:KHG77"/>
    <mergeCell ref="KNU77:KNZ77"/>
    <mergeCell ref="KOB77:KOG77"/>
    <mergeCell ref="KOI77:KON77"/>
    <mergeCell ref="KOP77:KOU77"/>
    <mergeCell ref="KOW77:KPB77"/>
    <mergeCell ref="KPD77:KPI77"/>
    <mergeCell ref="KME77:KMJ77"/>
    <mergeCell ref="KML77:KMQ77"/>
    <mergeCell ref="KMS77:KMX77"/>
    <mergeCell ref="KMZ77:KNE77"/>
    <mergeCell ref="KNG77:KNL77"/>
    <mergeCell ref="KNN77:KNS77"/>
    <mergeCell ref="KKO77:KKT77"/>
    <mergeCell ref="KKV77:KLA77"/>
    <mergeCell ref="KLC77:KLH77"/>
    <mergeCell ref="KLJ77:KLO77"/>
    <mergeCell ref="KLQ77:KLV77"/>
    <mergeCell ref="KLX77:KMC77"/>
    <mergeCell ref="KSQ77:KSV77"/>
    <mergeCell ref="KSX77:KTC77"/>
    <mergeCell ref="KTE77:KTJ77"/>
    <mergeCell ref="KTL77:KTQ77"/>
    <mergeCell ref="KTS77:KTX77"/>
    <mergeCell ref="KTZ77:KUE77"/>
    <mergeCell ref="KRA77:KRF77"/>
    <mergeCell ref="KRH77:KRM77"/>
    <mergeCell ref="KRO77:KRT77"/>
    <mergeCell ref="KRV77:KSA77"/>
    <mergeCell ref="KSC77:KSH77"/>
    <mergeCell ref="KSJ77:KSO77"/>
    <mergeCell ref="KPK77:KPP77"/>
    <mergeCell ref="KPR77:KPW77"/>
    <mergeCell ref="KPY77:KQD77"/>
    <mergeCell ref="KQF77:KQK77"/>
    <mergeCell ref="KQM77:KQR77"/>
    <mergeCell ref="KQT77:KQY77"/>
    <mergeCell ref="KXM77:KXR77"/>
    <mergeCell ref="KXT77:KXY77"/>
    <mergeCell ref="KYA77:KYF77"/>
    <mergeCell ref="KYH77:KYM77"/>
    <mergeCell ref="KYO77:KYT77"/>
    <mergeCell ref="KYV77:KZA77"/>
    <mergeCell ref="KVW77:KWB77"/>
    <mergeCell ref="KWD77:KWI77"/>
    <mergeCell ref="KWK77:KWP77"/>
    <mergeCell ref="KWR77:KWW77"/>
    <mergeCell ref="KWY77:KXD77"/>
    <mergeCell ref="KXF77:KXK77"/>
    <mergeCell ref="KUG77:KUL77"/>
    <mergeCell ref="KUN77:KUS77"/>
    <mergeCell ref="KUU77:KUZ77"/>
    <mergeCell ref="KVB77:KVG77"/>
    <mergeCell ref="KVI77:KVN77"/>
    <mergeCell ref="KVP77:KVU77"/>
    <mergeCell ref="LCI77:LCN77"/>
    <mergeCell ref="LCP77:LCU77"/>
    <mergeCell ref="LCW77:LDB77"/>
    <mergeCell ref="LDD77:LDI77"/>
    <mergeCell ref="LDK77:LDP77"/>
    <mergeCell ref="LDR77:LDW77"/>
    <mergeCell ref="LAS77:LAX77"/>
    <mergeCell ref="LAZ77:LBE77"/>
    <mergeCell ref="LBG77:LBL77"/>
    <mergeCell ref="LBN77:LBS77"/>
    <mergeCell ref="LBU77:LBZ77"/>
    <mergeCell ref="LCB77:LCG77"/>
    <mergeCell ref="KZC77:KZH77"/>
    <mergeCell ref="KZJ77:KZO77"/>
    <mergeCell ref="KZQ77:KZV77"/>
    <mergeCell ref="KZX77:LAC77"/>
    <mergeCell ref="LAE77:LAJ77"/>
    <mergeCell ref="LAL77:LAQ77"/>
    <mergeCell ref="LHE77:LHJ77"/>
    <mergeCell ref="LHL77:LHQ77"/>
    <mergeCell ref="LHS77:LHX77"/>
    <mergeCell ref="LHZ77:LIE77"/>
    <mergeCell ref="LIG77:LIL77"/>
    <mergeCell ref="LIN77:LIS77"/>
    <mergeCell ref="LFO77:LFT77"/>
    <mergeCell ref="LFV77:LGA77"/>
    <mergeCell ref="LGC77:LGH77"/>
    <mergeCell ref="LGJ77:LGO77"/>
    <mergeCell ref="LGQ77:LGV77"/>
    <mergeCell ref="LGX77:LHC77"/>
    <mergeCell ref="LDY77:LED77"/>
    <mergeCell ref="LEF77:LEK77"/>
    <mergeCell ref="LEM77:LER77"/>
    <mergeCell ref="LET77:LEY77"/>
    <mergeCell ref="LFA77:LFF77"/>
    <mergeCell ref="LFH77:LFM77"/>
    <mergeCell ref="LMA77:LMF77"/>
    <mergeCell ref="LMH77:LMM77"/>
    <mergeCell ref="LMO77:LMT77"/>
    <mergeCell ref="LMV77:LNA77"/>
    <mergeCell ref="LNC77:LNH77"/>
    <mergeCell ref="LNJ77:LNO77"/>
    <mergeCell ref="LKK77:LKP77"/>
    <mergeCell ref="LKR77:LKW77"/>
    <mergeCell ref="LKY77:LLD77"/>
    <mergeCell ref="LLF77:LLK77"/>
    <mergeCell ref="LLM77:LLR77"/>
    <mergeCell ref="LLT77:LLY77"/>
    <mergeCell ref="LIU77:LIZ77"/>
    <mergeCell ref="LJB77:LJG77"/>
    <mergeCell ref="LJI77:LJN77"/>
    <mergeCell ref="LJP77:LJU77"/>
    <mergeCell ref="LJW77:LKB77"/>
    <mergeCell ref="LKD77:LKI77"/>
    <mergeCell ref="LQW77:LRB77"/>
    <mergeCell ref="LRD77:LRI77"/>
    <mergeCell ref="LRK77:LRP77"/>
    <mergeCell ref="LRR77:LRW77"/>
    <mergeCell ref="LRY77:LSD77"/>
    <mergeCell ref="LSF77:LSK77"/>
    <mergeCell ref="LPG77:LPL77"/>
    <mergeCell ref="LPN77:LPS77"/>
    <mergeCell ref="LPU77:LPZ77"/>
    <mergeCell ref="LQB77:LQG77"/>
    <mergeCell ref="LQI77:LQN77"/>
    <mergeCell ref="LQP77:LQU77"/>
    <mergeCell ref="LNQ77:LNV77"/>
    <mergeCell ref="LNX77:LOC77"/>
    <mergeCell ref="LOE77:LOJ77"/>
    <mergeCell ref="LOL77:LOQ77"/>
    <mergeCell ref="LOS77:LOX77"/>
    <mergeCell ref="LOZ77:LPE77"/>
    <mergeCell ref="LVS77:LVX77"/>
    <mergeCell ref="LVZ77:LWE77"/>
    <mergeCell ref="LWG77:LWL77"/>
    <mergeCell ref="LWN77:LWS77"/>
    <mergeCell ref="LWU77:LWZ77"/>
    <mergeCell ref="LXB77:LXG77"/>
    <mergeCell ref="LUC77:LUH77"/>
    <mergeCell ref="LUJ77:LUO77"/>
    <mergeCell ref="LUQ77:LUV77"/>
    <mergeCell ref="LUX77:LVC77"/>
    <mergeCell ref="LVE77:LVJ77"/>
    <mergeCell ref="LVL77:LVQ77"/>
    <mergeCell ref="LSM77:LSR77"/>
    <mergeCell ref="LST77:LSY77"/>
    <mergeCell ref="LTA77:LTF77"/>
    <mergeCell ref="LTH77:LTM77"/>
    <mergeCell ref="LTO77:LTT77"/>
    <mergeCell ref="LTV77:LUA77"/>
    <mergeCell ref="MAO77:MAT77"/>
    <mergeCell ref="MAV77:MBA77"/>
    <mergeCell ref="MBC77:MBH77"/>
    <mergeCell ref="MBJ77:MBO77"/>
    <mergeCell ref="MBQ77:MBV77"/>
    <mergeCell ref="MBX77:MCC77"/>
    <mergeCell ref="LYY77:LZD77"/>
    <mergeCell ref="LZF77:LZK77"/>
    <mergeCell ref="LZM77:LZR77"/>
    <mergeCell ref="LZT77:LZY77"/>
    <mergeCell ref="MAA77:MAF77"/>
    <mergeCell ref="MAH77:MAM77"/>
    <mergeCell ref="LXI77:LXN77"/>
    <mergeCell ref="LXP77:LXU77"/>
    <mergeCell ref="LXW77:LYB77"/>
    <mergeCell ref="LYD77:LYI77"/>
    <mergeCell ref="LYK77:LYP77"/>
    <mergeCell ref="LYR77:LYW77"/>
    <mergeCell ref="MFK77:MFP77"/>
    <mergeCell ref="MFR77:MFW77"/>
    <mergeCell ref="MFY77:MGD77"/>
    <mergeCell ref="MGF77:MGK77"/>
    <mergeCell ref="MGM77:MGR77"/>
    <mergeCell ref="MGT77:MGY77"/>
    <mergeCell ref="MDU77:MDZ77"/>
    <mergeCell ref="MEB77:MEG77"/>
    <mergeCell ref="MEI77:MEN77"/>
    <mergeCell ref="MEP77:MEU77"/>
    <mergeCell ref="MEW77:MFB77"/>
    <mergeCell ref="MFD77:MFI77"/>
    <mergeCell ref="MCE77:MCJ77"/>
    <mergeCell ref="MCL77:MCQ77"/>
    <mergeCell ref="MCS77:MCX77"/>
    <mergeCell ref="MCZ77:MDE77"/>
    <mergeCell ref="MDG77:MDL77"/>
    <mergeCell ref="MDN77:MDS77"/>
    <mergeCell ref="MKG77:MKL77"/>
    <mergeCell ref="MKN77:MKS77"/>
    <mergeCell ref="MKU77:MKZ77"/>
    <mergeCell ref="MLB77:MLG77"/>
    <mergeCell ref="MLI77:MLN77"/>
    <mergeCell ref="MLP77:MLU77"/>
    <mergeCell ref="MIQ77:MIV77"/>
    <mergeCell ref="MIX77:MJC77"/>
    <mergeCell ref="MJE77:MJJ77"/>
    <mergeCell ref="MJL77:MJQ77"/>
    <mergeCell ref="MJS77:MJX77"/>
    <mergeCell ref="MJZ77:MKE77"/>
    <mergeCell ref="MHA77:MHF77"/>
    <mergeCell ref="MHH77:MHM77"/>
    <mergeCell ref="MHO77:MHT77"/>
    <mergeCell ref="MHV77:MIA77"/>
    <mergeCell ref="MIC77:MIH77"/>
    <mergeCell ref="MIJ77:MIO77"/>
    <mergeCell ref="MPC77:MPH77"/>
    <mergeCell ref="MPJ77:MPO77"/>
    <mergeCell ref="MPQ77:MPV77"/>
    <mergeCell ref="MPX77:MQC77"/>
    <mergeCell ref="MQE77:MQJ77"/>
    <mergeCell ref="MQL77:MQQ77"/>
    <mergeCell ref="MNM77:MNR77"/>
    <mergeCell ref="MNT77:MNY77"/>
    <mergeCell ref="MOA77:MOF77"/>
    <mergeCell ref="MOH77:MOM77"/>
    <mergeCell ref="MOO77:MOT77"/>
    <mergeCell ref="MOV77:MPA77"/>
    <mergeCell ref="MLW77:MMB77"/>
    <mergeCell ref="MMD77:MMI77"/>
    <mergeCell ref="MMK77:MMP77"/>
    <mergeCell ref="MMR77:MMW77"/>
    <mergeCell ref="MMY77:MND77"/>
    <mergeCell ref="MNF77:MNK77"/>
    <mergeCell ref="MTY77:MUD77"/>
    <mergeCell ref="MUF77:MUK77"/>
    <mergeCell ref="MUM77:MUR77"/>
    <mergeCell ref="MUT77:MUY77"/>
    <mergeCell ref="MVA77:MVF77"/>
    <mergeCell ref="MVH77:MVM77"/>
    <mergeCell ref="MSI77:MSN77"/>
    <mergeCell ref="MSP77:MSU77"/>
    <mergeCell ref="MSW77:MTB77"/>
    <mergeCell ref="MTD77:MTI77"/>
    <mergeCell ref="MTK77:MTP77"/>
    <mergeCell ref="MTR77:MTW77"/>
    <mergeCell ref="MQS77:MQX77"/>
    <mergeCell ref="MQZ77:MRE77"/>
    <mergeCell ref="MRG77:MRL77"/>
    <mergeCell ref="MRN77:MRS77"/>
    <mergeCell ref="MRU77:MRZ77"/>
    <mergeCell ref="MSB77:MSG77"/>
    <mergeCell ref="MYU77:MYZ77"/>
    <mergeCell ref="MZB77:MZG77"/>
    <mergeCell ref="MZI77:MZN77"/>
    <mergeCell ref="MZP77:MZU77"/>
    <mergeCell ref="MZW77:NAB77"/>
    <mergeCell ref="NAD77:NAI77"/>
    <mergeCell ref="MXE77:MXJ77"/>
    <mergeCell ref="MXL77:MXQ77"/>
    <mergeCell ref="MXS77:MXX77"/>
    <mergeCell ref="MXZ77:MYE77"/>
    <mergeCell ref="MYG77:MYL77"/>
    <mergeCell ref="MYN77:MYS77"/>
    <mergeCell ref="MVO77:MVT77"/>
    <mergeCell ref="MVV77:MWA77"/>
    <mergeCell ref="MWC77:MWH77"/>
    <mergeCell ref="MWJ77:MWO77"/>
    <mergeCell ref="MWQ77:MWV77"/>
    <mergeCell ref="MWX77:MXC77"/>
    <mergeCell ref="NDQ77:NDV77"/>
    <mergeCell ref="NDX77:NEC77"/>
    <mergeCell ref="NEE77:NEJ77"/>
    <mergeCell ref="NEL77:NEQ77"/>
    <mergeCell ref="NES77:NEX77"/>
    <mergeCell ref="NEZ77:NFE77"/>
    <mergeCell ref="NCA77:NCF77"/>
    <mergeCell ref="NCH77:NCM77"/>
    <mergeCell ref="NCO77:NCT77"/>
    <mergeCell ref="NCV77:NDA77"/>
    <mergeCell ref="NDC77:NDH77"/>
    <mergeCell ref="NDJ77:NDO77"/>
    <mergeCell ref="NAK77:NAP77"/>
    <mergeCell ref="NAR77:NAW77"/>
    <mergeCell ref="NAY77:NBD77"/>
    <mergeCell ref="NBF77:NBK77"/>
    <mergeCell ref="NBM77:NBR77"/>
    <mergeCell ref="NBT77:NBY77"/>
    <mergeCell ref="NIM77:NIR77"/>
    <mergeCell ref="NIT77:NIY77"/>
    <mergeCell ref="NJA77:NJF77"/>
    <mergeCell ref="NJH77:NJM77"/>
    <mergeCell ref="NJO77:NJT77"/>
    <mergeCell ref="NJV77:NKA77"/>
    <mergeCell ref="NGW77:NHB77"/>
    <mergeCell ref="NHD77:NHI77"/>
    <mergeCell ref="NHK77:NHP77"/>
    <mergeCell ref="NHR77:NHW77"/>
    <mergeCell ref="NHY77:NID77"/>
    <mergeCell ref="NIF77:NIK77"/>
    <mergeCell ref="NFG77:NFL77"/>
    <mergeCell ref="NFN77:NFS77"/>
    <mergeCell ref="NFU77:NFZ77"/>
    <mergeCell ref="NGB77:NGG77"/>
    <mergeCell ref="NGI77:NGN77"/>
    <mergeCell ref="NGP77:NGU77"/>
    <mergeCell ref="NNI77:NNN77"/>
    <mergeCell ref="NNP77:NNU77"/>
    <mergeCell ref="NNW77:NOB77"/>
    <mergeCell ref="NOD77:NOI77"/>
    <mergeCell ref="NOK77:NOP77"/>
    <mergeCell ref="NOR77:NOW77"/>
    <mergeCell ref="NLS77:NLX77"/>
    <mergeCell ref="NLZ77:NME77"/>
    <mergeCell ref="NMG77:NML77"/>
    <mergeCell ref="NMN77:NMS77"/>
    <mergeCell ref="NMU77:NMZ77"/>
    <mergeCell ref="NNB77:NNG77"/>
    <mergeCell ref="NKC77:NKH77"/>
    <mergeCell ref="NKJ77:NKO77"/>
    <mergeCell ref="NKQ77:NKV77"/>
    <mergeCell ref="NKX77:NLC77"/>
    <mergeCell ref="NLE77:NLJ77"/>
    <mergeCell ref="NLL77:NLQ77"/>
    <mergeCell ref="NSE77:NSJ77"/>
    <mergeCell ref="NSL77:NSQ77"/>
    <mergeCell ref="NSS77:NSX77"/>
    <mergeCell ref="NSZ77:NTE77"/>
    <mergeCell ref="NTG77:NTL77"/>
    <mergeCell ref="NTN77:NTS77"/>
    <mergeCell ref="NQO77:NQT77"/>
    <mergeCell ref="NQV77:NRA77"/>
    <mergeCell ref="NRC77:NRH77"/>
    <mergeCell ref="NRJ77:NRO77"/>
    <mergeCell ref="NRQ77:NRV77"/>
    <mergeCell ref="NRX77:NSC77"/>
    <mergeCell ref="NOY77:NPD77"/>
    <mergeCell ref="NPF77:NPK77"/>
    <mergeCell ref="NPM77:NPR77"/>
    <mergeCell ref="NPT77:NPY77"/>
    <mergeCell ref="NQA77:NQF77"/>
    <mergeCell ref="NQH77:NQM77"/>
    <mergeCell ref="NXA77:NXF77"/>
    <mergeCell ref="NXH77:NXM77"/>
    <mergeCell ref="NXO77:NXT77"/>
    <mergeCell ref="NXV77:NYA77"/>
    <mergeCell ref="NYC77:NYH77"/>
    <mergeCell ref="NYJ77:NYO77"/>
    <mergeCell ref="NVK77:NVP77"/>
    <mergeCell ref="NVR77:NVW77"/>
    <mergeCell ref="NVY77:NWD77"/>
    <mergeCell ref="NWF77:NWK77"/>
    <mergeCell ref="NWM77:NWR77"/>
    <mergeCell ref="NWT77:NWY77"/>
    <mergeCell ref="NTU77:NTZ77"/>
    <mergeCell ref="NUB77:NUG77"/>
    <mergeCell ref="NUI77:NUN77"/>
    <mergeCell ref="NUP77:NUU77"/>
    <mergeCell ref="NUW77:NVB77"/>
    <mergeCell ref="NVD77:NVI77"/>
    <mergeCell ref="OBW77:OCB77"/>
    <mergeCell ref="OCD77:OCI77"/>
    <mergeCell ref="OCK77:OCP77"/>
    <mergeCell ref="OCR77:OCW77"/>
    <mergeCell ref="OCY77:ODD77"/>
    <mergeCell ref="ODF77:ODK77"/>
    <mergeCell ref="OAG77:OAL77"/>
    <mergeCell ref="OAN77:OAS77"/>
    <mergeCell ref="OAU77:OAZ77"/>
    <mergeCell ref="OBB77:OBG77"/>
    <mergeCell ref="OBI77:OBN77"/>
    <mergeCell ref="OBP77:OBU77"/>
    <mergeCell ref="NYQ77:NYV77"/>
    <mergeCell ref="NYX77:NZC77"/>
    <mergeCell ref="NZE77:NZJ77"/>
    <mergeCell ref="NZL77:NZQ77"/>
    <mergeCell ref="NZS77:NZX77"/>
    <mergeCell ref="NZZ77:OAE77"/>
    <mergeCell ref="OGS77:OGX77"/>
    <mergeCell ref="OGZ77:OHE77"/>
    <mergeCell ref="OHG77:OHL77"/>
    <mergeCell ref="OHN77:OHS77"/>
    <mergeCell ref="OHU77:OHZ77"/>
    <mergeCell ref="OIB77:OIG77"/>
    <mergeCell ref="OFC77:OFH77"/>
    <mergeCell ref="OFJ77:OFO77"/>
    <mergeCell ref="OFQ77:OFV77"/>
    <mergeCell ref="OFX77:OGC77"/>
    <mergeCell ref="OGE77:OGJ77"/>
    <mergeCell ref="OGL77:OGQ77"/>
    <mergeCell ref="ODM77:ODR77"/>
    <mergeCell ref="ODT77:ODY77"/>
    <mergeCell ref="OEA77:OEF77"/>
    <mergeCell ref="OEH77:OEM77"/>
    <mergeCell ref="OEO77:OET77"/>
    <mergeCell ref="OEV77:OFA77"/>
    <mergeCell ref="OLO77:OLT77"/>
    <mergeCell ref="OLV77:OMA77"/>
    <mergeCell ref="OMC77:OMH77"/>
    <mergeCell ref="OMJ77:OMO77"/>
    <mergeCell ref="OMQ77:OMV77"/>
    <mergeCell ref="OMX77:ONC77"/>
    <mergeCell ref="OJY77:OKD77"/>
    <mergeCell ref="OKF77:OKK77"/>
    <mergeCell ref="OKM77:OKR77"/>
    <mergeCell ref="OKT77:OKY77"/>
    <mergeCell ref="OLA77:OLF77"/>
    <mergeCell ref="OLH77:OLM77"/>
    <mergeCell ref="OII77:OIN77"/>
    <mergeCell ref="OIP77:OIU77"/>
    <mergeCell ref="OIW77:OJB77"/>
    <mergeCell ref="OJD77:OJI77"/>
    <mergeCell ref="OJK77:OJP77"/>
    <mergeCell ref="OJR77:OJW77"/>
    <mergeCell ref="OQK77:OQP77"/>
    <mergeCell ref="OQR77:OQW77"/>
    <mergeCell ref="OQY77:ORD77"/>
    <mergeCell ref="ORF77:ORK77"/>
    <mergeCell ref="ORM77:ORR77"/>
    <mergeCell ref="ORT77:ORY77"/>
    <mergeCell ref="OOU77:OOZ77"/>
    <mergeCell ref="OPB77:OPG77"/>
    <mergeCell ref="OPI77:OPN77"/>
    <mergeCell ref="OPP77:OPU77"/>
    <mergeCell ref="OPW77:OQB77"/>
    <mergeCell ref="OQD77:OQI77"/>
    <mergeCell ref="ONE77:ONJ77"/>
    <mergeCell ref="ONL77:ONQ77"/>
    <mergeCell ref="ONS77:ONX77"/>
    <mergeCell ref="ONZ77:OOE77"/>
    <mergeCell ref="OOG77:OOL77"/>
    <mergeCell ref="OON77:OOS77"/>
    <mergeCell ref="OVG77:OVL77"/>
    <mergeCell ref="OVN77:OVS77"/>
    <mergeCell ref="OVU77:OVZ77"/>
    <mergeCell ref="OWB77:OWG77"/>
    <mergeCell ref="OWI77:OWN77"/>
    <mergeCell ref="OWP77:OWU77"/>
    <mergeCell ref="OTQ77:OTV77"/>
    <mergeCell ref="OTX77:OUC77"/>
    <mergeCell ref="OUE77:OUJ77"/>
    <mergeCell ref="OUL77:OUQ77"/>
    <mergeCell ref="OUS77:OUX77"/>
    <mergeCell ref="OUZ77:OVE77"/>
    <mergeCell ref="OSA77:OSF77"/>
    <mergeCell ref="OSH77:OSM77"/>
    <mergeCell ref="OSO77:OST77"/>
    <mergeCell ref="OSV77:OTA77"/>
    <mergeCell ref="OTC77:OTH77"/>
    <mergeCell ref="OTJ77:OTO77"/>
    <mergeCell ref="PAC77:PAH77"/>
    <mergeCell ref="PAJ77:PAO77"/>
    <mergeCell ref="PAQ77:PAV77"/>
    <mergeCell ref="PAX77:PBC77"/>
    <mergeCell ref="PBE77:PBJ77"/>
    <mergeCell ref="PBL77:PBQ77"/>
    <mergeCell ref="OYM77:OYR77"/>
    <mergeCell ref="OYT77:OYY77"/>
    <mergeCell ref="OZA77:OZF77"/>
    <mergeCell ref="OZH77:OZM77"/>
    <mergeCell ref="OZO77:OZT77"/>
    <mergeCell ref="OZV77:PAA77"/>
    <mergeCell ref="OWW77:OXB77"/>
    <mergeCell ref="OXD77:OXI77"/>
    <mergeCell ref="OXK77:OXP77"/>
    <mergeCell ref="OXR77:OXW77"/>
    <mergeCell ref="OXY77:OYD77"/>
    <mergeCell ref="OYF77:OYK77"/>
    <mergeCell ref="PEY77:PFD77"/>
    <mergeCell ref="PFF77:PFK77"/>
    <mergeCell ref="PFM77:PFR77"/>
    <mergeCell ref="PFT77:PFY77"/>
    <mergeCell ref="PGA77:PGF77"/>
    <mergeCell ref="PGH77:PGM77"/>
    <mergeCell ref="PDI77:PDN77"/>
    <mergeCell ref="PDP77:PDU77"/>
    <mergeCell ref="PDW77:PEB77"/>
    <mergeCell ref="PED77:PEI77"/>
    <mergeCell ref="PEK77:PEP77"/>
    <mergeCell ref="PER77:PEW77"/>
    <mergeCell ref="PBS77:PBX77"/>
    <mergeCell ref="PBZ77:PCE77"/>
    <mergeCell ref="PCG77:PCL77"/>
    <mergeCell ref="PCN77:PCS77"/>
    <mergeCell ref="PCU77:PCZ77"/>
    <mergeCell ref="PDB77:PDG77"/>
    <mergeCell ref="PJU77:PJZ77"/>
    <mergeCell ref="PKB77:PKG77"/>
    <mergeCell ref="PKI77:PKN77"/>
    <mergeCell ref="PKP77:PKU77"/>
    <mergeCell ref="PKW77:PLB77"/>
    <mergeCell ref="PLD77:PLI77"/>
    <mergeCell ref="PIE77:PIJ77"/>
    <mergeCell ref="PIL77:PIQ77"/>
    <mergeCell ref="PIS77:PIX77"/>
    <mergeCell ref="PIZ77:PJE77"/>
    <mergeCell ref="PJG77:PJL77"/>
    <mergeCell ref="PJN77:PJS77"/>
    <mergeCell ref="PGO77:PGT77"/>
    <mergeCell ref="PGV77:PHA77"/>
    <mergeCell ref="PHC77:PHH77"/>
    <mergeCell ref="PHJ77:PHO77"/>
    <mergeCell ref="PHQ77:PHV77"/>
    <mergeCell ref="PHX77:PIC77"/>
    <mergeCell ref="POQ77:POV77"/>
    <mergeCell ref="POX77:PPC77"/>
    <mergeCell ref="PPE77:PPJ77"/>
    <mergeCell ref="PPL77:PPQ77"/>
    <mergeCell ref="PPS77:PPX77"/>
    <mergeCell ref="PPZ77:PQE77"/>
    <mergeCell ref="PNA77:PNF77"/>
    <mergeCell ref="PNH77:PNM77"/>
    <mergeCell ref="PNO77:PNT77"/>
    <mergeCell ref="PNV77:POA77"/>
    <mergeCell ref="POC77:POH77"/>
    <mergeCell ref="POJ77:POO77"/>
    <mergeCell ref="PLK77:PLP77"/>
    <mergeCell ref="PLR77:PLW77"/>
    <mergeCell ref="PLY77:PMD77"/>
    <mergeCell ref="PMF77:PMK77"/>
    <mergeCell ref="PMM77:PMR77"/>
    <mergeCell ref="PMT77:PMY77"/>
    <mergeCell ref="PTM77:PTR77"/>
    <mergeCell ref="PTT77:PTY77"/>
    <mergeCell ref="PUA77:PUF77"/>
    <mergeCell ref="PUH77:PUM77"/>
    <mergeCell ref="PUO77:PUT77"/>
    <mergeCell ref="PUV77:PVA77"/>
    <mergeCell ref="PRW77:PSB77"/>
    <mergeCell ref="PSD77:PSI77"/>
    <mergeCell ref="PSK77:PSP77"/>
    <mergeCell ref="PSR77:PSW77"/>
    <mergeCell ref="PSY77:PTD77"/>
    <mergeCell ref="PTF77:PTK77"/>
    <mergeCell ref="PQG77:PQL77"/>
    <mergeCell ref="PQN77:PQS77"/>
    <mergeCell ref="PQU77:PQZ77"/>
    <mergeCell ref="PRB77:PRG77"/>
    <mergeCell ref="PRI77:PRN77"/>
    <mergeCell ref="PRP77:PRU77"/>
    <mergeCell ref="PYI77:PYN77"/>
    <mergeCell ref="PYP77:PYU77"/>
    <mergeCell ref="PYW77:PZB77"/>
    <mergeCell ref="PZD77:PZI77"/>
    <mergeCell ref="PZK77:PZP77"/>
    <mergeCell ref="PZR77:PZW77"/>
    <mergeCell ref="PWS77:PWX77"/>
    <mergeCell ref="PWZ77:PXE77"/>
    <mergeCell ref="PXG77:PXL77"/>
    <mergeCell ref="PXN77:PXS77"/>
    <mergeCell ref="PXU77:PXZ77"/>
    <mergeCell ref="PYB77:PYG77"/>
    <mergeCell ref="PVC77:PVH77"/>
    <mergeCell ref="PVJ77:PVO77"/>
    <mergeCell ref="PVQ77:PVV77"/>
    <mergeCell ref="PVX77:PWC77"/>
    <mergeCell ref="PWE77:PWJ77"/>
    <mergeCell ref="PWL77:PWQ77"/>
    <mergeCell ref="QDE77:QDJ77"/>
    <mergeCell ref="QDL77:QDQ77"/>
    <mergeCell ref="QDS77:QDX77"/>
    <mergeCell ref="QDZ77:QEE77"/>
    <mergeCell ref="QEG77:QEL77"/>
    <mergeCell ref="QEN77:QES77"/>
    <mergeCell ref="QBO77:QBT77"/>
    <mergeCell ref="QBV77:QCA77"/>
    <mergeCell ref="QCC77:QCH77"/>
    <mergeCell ref="QCJ77:QCO77"/>
    <mergeCell ref="QCQ77:QCV77"/>
    <mergeCell ref="QCX77:QDC77"/>
    <mergeCell ref="PZY77:QAD77"/>
    <mergeCell ref="QAF77:QAK77"/>
    <mergeCell ref="QAM77:QAR77"/>
    <mergeCell ref="QAT77:QAY77"/>
    <mergeCell ref="QBA77:QBF77"/>
    <mergeCell ref="QBH77:QBM77"/>
    <mergeCell ref="QIA77:QIF77"/>
    <mergeCell ref="QIH77:QIM77"/>
    <mergeCell ref="QIO77:QIT77"/>
    <mergeCell ref="QIV77:QJA77"/>
    <mergeCell ref="QJC77:QJH77"/>
    <mergeCell ref="QJJ77:QJO77"/>
    <mergeCell ref="QGK77:QGP77"/>
    <mergeCell ref="QGR77:QGW77"/>
    <mergeCell ref="QGY77:QHD77"/>
    <mergeCell ref="QHF77:QHK77"/>
    <mergeCell ref="QHM77:QHR77"/>
    <mergeCell ref="QHT77:QHY77"/>
    <mergeCell ref="QEU77:QEZ77"/>
    <mergeCell ref="QFB77:QFG77"/>
    <mergeCell ref="QFI77:QFN77"/>
    <mergeCell ref="QFP77:QFU77"/>
    <mergeCell ref="QFW77:QGB77"/>
    <mergeCell ref="QGD77:QGI77"/>
    <mergeCell ref="QMW77:QNB77"/>
    <mergeCell ref="QND77:QNI77"/>
    <mergeCell ref="QNK77:QNP77"/>
    <mergeCell ref="QNR77:QNW77"/>
    <mergeCell ref="QNY77:QOD77"/>
    <mergeCell ref="QOF77:QOK77"/>
    <mergeCell ref="QLG77:QLL77"/>
    <mergeCell ref="QLN77:QLS77"/>
    <mergeCell ref="QLU77:QLZ77"/>
    <mergeCell ref="QMB77:QMG77"/>
    <mergeCell ref="QMI77:QMN77"/>
    <mergeCell ref="QMP77:QMU77"/>
    <mergeCell ref="QJQ77:QJV77"/>
    <mergeCell ref="QJX77:QKC77"/>
    <mergeCell ref="QKE77:QKJ77"/>
    <mergeCell ref="QKL77:QKQ77"/>
    <mergeCell ref="QKS77:QKX77"/>
    <mergeCell ref="QKZ77:QLE77"/>
    <mergeCell ref="QRS77:QRX77"/>
    <mergeCell ref="QRZ77:QSE77"/>
    <mergeCell ref="QSG77:QSL77"/>
    <mergeCell ref="QSN77:QSS77"/>
    <mergeCell ref="QSU77:QSZ77"/>
    <mergeCell ref="QTB77:QTG77"/>
    <mergeCell ref="QQC77:QQH77"/>
    <mergeCell ref="QQJ77:QQO77"/>
    <mergeCell ref="QQQ77:QQV77"/>
    <mergeCell ref="QQX77:QRC77"/>
    <mergeCell ref="QRE77:QRJ77"/>
    <mergeCell ref="QRL77:QRQ77"/>
    <mergeCell ref="QOM77:QOR77"/>
    <mergeCell ref="QOT77:QOY77"/>
    <mergeCell ref="QPA77:QPF77"/>
    <mergeCell ref="QPH77:QPM77"/>
    <mergeCell ref="QPO77:QPT77"/>
    <mergeCell ref="QPV77:QQA77"/>
    <mergeCell ref="QWO77:QWT77"/>
    <mergeCell ref="QWV77:QXA77"/>
    <mergeCell ref="QXC77:QXH77"/>
    <mergeCell ref="QXJ77:QXO77"/>
    <mergeCell ref="QXQ77:QXV77"/>
    <mergeCell ref="QXX77:QYC77"/>
    <mergeCell ref="QUY77:QVD77"/>
    <mergeCell ref="QVF77:QVK77"/>
    <mergeCell ref="QVM77:QVR77"/>
    <mergeCell ref="QVT77:QVY77"/>
    <mergeCell ref="QWA77:QWF77"/>
    <mergeCell ref="QWH77:QWM77"/>
    <mergeCell ref="QTI77:QTN77"/>
    <mergeCell ref="QTP77:QTU77"/>
    <mergeCell ref="QTW77:QUB77"/>
    <mergeCell ref="QUD77:QUI77"/>
    <mergeCell ref="QUK77:QUP77"/>
    <mergeCell ref="QUR77:QUW77"/>
    <mergeCell ref="RBK77:RBP77"/>
    <mergeCell ref="RBR77:RBW77"/>
    <mergeCell ref="RBY77:RCD77"/>
    <mergeCell ref="RCF77:RCK77"/>
    <mergeCell ref="RCM77:RCR77"/>
    <mergeCell ref="RCT77:RCY77"/>
    <mergeCell ref="QZU77:QZZ77"/>
    <mergeCell ref="RAB77:RAG77"/>
    <mergeCell ref="RAI77:RAN77"/>
    <mergeCell ref="RAP77:RAU77"/>
    <mergeCell ref="RAW77:RBB77"/>
    <mergeCell ref="RBD77:RBI77"/>
    <mergeCell ref="QYE77:QYJ77"/>
    <mergeCell ref="QYL77:QYQ77"/>
    <mergeCell ref="QYS77:QYX77"/>
    <mergeCell ref="QYZ77:QZE77"/>
    <mergeCell ref="QZG77:QZL77"/>
    <mergeCell ref="QZN77:QZS77"/>
    <mergeCell ref="RGG77:RGL77"/>
    <mergeCell ref="RGN77:RGS77"/>
    <mergeCell ref="RGU77:RGZ77"/>
    <mergeCell ref="RHB77:RHG77"/>
    <mergeCell ref="RHI77:RHN77"/>
    <mergeCell ref="RHP77:RHU77"/>
    <mergeCell ref="REQ77:REV77"/>
    <mergeCell ref="REX77:RFC77"/>
    <mergeCell ref="RFE77:RFJ77"/>
    <mergeCell ref="RFL77:RFQ77"/>
    <mergeCell ref="RFS77:RFX77"/>
    <mergeCell ref="RFZ77:RGE77"/>
    <mergeCell ref="RDA77:RDF77"/>
    <mergeCell ref="RDH77:RDM77"/>
    <mergeCell ref="RDO77:RDT77"/>
    <mergeCell ref="RDV77:REA77"/>
    <mergeCell ref="REC77:REH77"/>
    <mergeCell ref="REJ77:REO77"/>
    <mergeCell ref="RLC77:RLH77"/>
    <mergeCell ref="RLJ77:RLO77"/>
    <mergeCell ref="RLQ77:RLV77"/>
    <mergeCell ref="RLX77:RMC77"/>
    <mergeCell ref="RME77:RMJ77"/>
    <mergeCell ref="RML77:RMQ77"/>
    <mergeCell ref="RJM77:RJR77"/>
    <mergeCell ref="RJT77:RJY77"/>
    <mergeCell ref="RKA77:RKF77"/>
    <mergeCell ref="RKH77:RKM77"/>
    <mergeCell ref="RKO77:RKT77"/>
    <mergeCell ref="RKV77:RLA77"/>
    <mergeCell ref="RHW77:RIB77"/>
    <mergeCell ref="RID77:RII77"/>
    <mergeCell ref="RIK77:RIP77"/>
    <mergeCell ref="RIR77:RIW77"/>
    <mergeCell ref="RIY77:RJD77"/>
    <mergeCell ref="RJF77:RJK77"/>
    <mergeCell ref="RPY77:RQD77"/>
    <mergeCell ref="RQF77:RQK77"/>
    <mergeCell ref="RQM77:RQR77"/>
    <mergeCell ref="RQT77:RQY77"/>
    <mergeCell ref="RRA77:RRF77"/>
    <mergeCell ref="RRH77:RRM77"/>
    <mergeCell ref="ROI77:RON77"/>
    <mergeCell ref="ROP77:ROU77"/>
    <mergeCell ref="ROW77:RPB77"/>
    <mergeCell ref="RPD77:RPI77"/>
    <mergeCell ref="RPK77:RPP77"/>
    <mergeCell ref="RPR77:RPW77"/>
    <mergeCell ref="RMS77:RMX77"/>
    <mergeCell ref="RMZ77:RNE77"/>
    <mergeCell ref="RNG77:RNL77"/>
    <mergeCell ref="RNN77:RNS77"/>
    <mergeCell ref="RNU77:RNZ77"/>
    <mergeCell ref="ROB77:ROG77"/>
    <mergeCell ref="RUU77:RUZ77"/>
    <mergeCell ref="RVB77:RVG77"/>
    <mergeCell ref="RVI77:RVN77"/>
    <mergeCell ref="RVP77:RVU77"/>
    <mergeCell ref="RVW77:RWB77"/>
    <mergeCell ref="RWD77:RWI77"/>
    <mergeCell ref="RTE77:RTJ77"/>
    <mergeCell ref="RTL77:RTQ77"/>
    <mergeCell ref="RTS77:RTX77"/>
    <mergeCell ref="RTZ77:RUE77"/>
    <mergeCell ref="RUG77:RUL77"/>
    <mergeCell ref="RUN77:RUS77"/>
    <mergeCell ref="RRO77:RRT77"/>
    <mergeCell ref="RRV77:RSA77"/>
    <mergeCell ref="RSC77:RSH77"/>
    <mergeCell ref="RSJ77:RSO77"/>
    <mergeCell ref="RSQ77:RSV77"/>
    <mergeCell ref="RSX77:RTC77"/>
    <mergeCell ref="RZQ77:RZV77"/>
    <mergeCell ref="RZX77:SAC77"/>
    <mergeCell ref="SAE77:SAJ77"/>
    <mergeCell ref="SAL77:SAQ77"/>
    <mergeCell ref="SAS77:SAX77"/>
    <mergeCell ref="SAZ77:SBE77"/>
    <mergeCell ref="RYA77:RYF77"/>
    <mergeCell ref="RYH77:RYM77"/>
    <mergeCell ref="RYO77:RYT77"/>
    <mergeCell ref="RYV77:RZA77"/>
    <mergeCell ref="RZC77:RZH77"/>
    <mergeCell ref="RZJ77:RZO77"/>
    <mergeCell ref="RWK77:RWP77"/>
    <mergeCell ref="RWR77:RWW77"/>
    <mergeCell ref="RWY77:RXD77"/>
    <mergeCell ref="RXF77:RXK77"/>
    <mergeCell ref="RXM77:RXR77"/>
    <mergeCell ref="RXT77:RXY77"/>
    <mergeCell ref="SEM77:SER77"/>
    <mergeCell ref="SET77:SEY77"/>
    <mergeCell ref="SFA77:SFF77"/>
    <mergeCell ref="SFH77:SFM77"/>
    <mergeCell ref="SFO77:SFT77"/>
    <mergeCell ref="SFV77:SGA77"/>
    <mergeCell ref="SCW77:SDB77"/>
    <mergeCell ref="SDD77:SDI77"/>
    <mergeCell ref="SDK77:SDP77"/>
    <mergeCell ref="SDR77:SDW77"/>
    <mergeCell ref="SDY77:SED77"/>
    <mergeCell ref="SEF77:SEK77"/>
    <mergeCell ref="SBG77:SBL77"/>
    <mergeCell ref="SBN77:SBS77"/>
    <mergeCell ref="SBU77:SBZ77"/>
    <mergeCell ref="SCB77:SCG77"/>
    <mergeCell ref="SCI77:SCN77"/>
    <mergeCell ref="SCP77:SCU77"/>
    <mergeCell ref="SJI77:SJN77"/>
    <mergeCell ref="SJP77:SJU77"/>
    <mergeCell ref="SJW77:SKB77"/>
    <mergeCell ref="SKD77:SKI77"/>
    <mergeCell ref="SKK77:SKP77"/>
    <mergeCell ref="SKR77:SKW77"/>
    <mergeCell ref="SHS77:SHX77"/>
    <mergeCell ref="SHZ77:SIE77"/>
    <mergeCell ref="SIG77:SIL77"/>
    <mergeCell ref="SIN77:SIS77"/>
    <mergeCell ref="SIU77:SIZ77"/>
    <mergeCell ref="SJB77:SJG77"/>
    <mergeCell ref="SGC77:SGH77"/>
    <mergeCell ref="SGJ77:SGO77"/>
    <mergeCell ref="SGQ77:SGV77"/>
    <mergeCell ref="SGX77:SHC77"/>
    <mergeCell ref="SHE77:SHJ77"/>
    <mergeCell ref="SHL77:SHQ77"/>
    <mergeCell ref="SOE77:SOJ77"/>
    <mergeCell ref="SOL77:SOQ77"/>
    <mergeCell ref="SOS77:SOX77"/>
    <mergeCell ref="SOZ77:SPE77"/>
    <mergeCell ref="SPG77:SPL77"/>
    <mergeCell ref="SPN77:SPS77"/>
    <mergeCell ref="SMO77:SMT77"/>
    <mergeCell ref="SMV77:SNA77"/>
    <mergeCell ref="SNC77:SNH77"/>
    <mergeCell ref="SNJ77:SNO77"/>
    <mergeCell ref="SNQ77:SNV77"/>
    <mergeCell ref="SNX77:SOC77"/>
    <mergeCell ref="SKY77:SLD77"/>
    <mergeCell ref="SLF77:SLK77"/>
    <mergeCell ref="SLM77:SLR77"/>
    <mergeCell ref="SLT77:SLY77"/>
    <mergeCell ref="SMA77:SMF77"/>
    <mergeCell ref="SMH77:SMM77"/>
    <mergeCell ref="STA77:STF77"/>
    <mergeCell ref="STH77:STM77"/>
    <mergeCell ref="STO77:STT77"/>
    <mergeCell ref="STV77:SUA77"/>
    <mergeCell ref="SUC77:SUH77"/>
    <mergeCell ref="SUJ77:SUO77"/>
    <mergeCell ref="SRK77:SRP77"/>
    <mergeCell ref="SRR77:SRW77"/>
    <mergeCell ref="SRY77:SSD77"/>
    <mergeCell ref="SSF77:SSK77"/>
    <mergeCell ref="SSM77:SSR77"/>
    <mergeCell ref="SST77:SSY77"/>
    <mergeCell ref="SPU77:SPZ77"/>
    <mergeCell ref="SQB77:SQG77"/>
    <mergeCell ref="SQI77:SQN77"/>
    <mergeCell ref="SQP77:SQU77"/>
    <mergeCell ref="SQW77:SRB77"/>
    <mergeCell ref="SRD77:SRI77"/>
    <mergeCell ref="SXW77:SYB77"/>
    <mergeCell ref="SYD77:SYI77"/>
    <mergeCell ref="SYK77:SYP77"/>
    <mergeCell ref="SYR77:SYW77"/>
    <mergeCell ref="SYY77:SZD77"/>
    <mergeCell ref="SZF77:SZK77"/>
    <mergeCell ref="SWG77:SWL77"/>
    <mergeCell ref="SWN77:SWS77"/>
    <mergeCell ref="SWU77:SWZ77"/>
    <mergeCell ref="SXB77:SXG77"/>
    <mergeCell ref="SXI77:SXN77"/>
    <mergeCell ref="SXP77:SXU77"/>
    <mergeCell ref="SUQ77:SUV77"/>
    <mergeCell ref="SUX77:SVC77"/>
    <mergeCell ref="SVE77:SVJ77"/>
    <mergeCell ref="SVL77:SVQ77"/>
    <mergeCell ref="SVS77:SVX77"/>
    <mergeCell ref="SVZ77:SWE77"/>
    <mergeCell ref="TCS77:TCX77"/>
    <mergeCell ref="TCZ77:TDE77"/>
    <mergeCell ref="TDG77:TDL77"/>
    <mergeCell ref="TDN77:TDS77"/>
    <mergeCell ref="TDU77:TDZ77"/>
    <mergeCell ref="TEB77:TEG77"/>
    <mergeCell ref="TBC77:TBH77"/>
    <mergeCell ref="TBJ77:TBO77"/>
    <mergeCell ref="TBQ77:TBV77"/>
    <mergeCell ref="TBX77:TCC77"/>
    <mergeCell ref="TCE77:TCJ77"/>
    <mergeCell ref="TCL77:TCQ77"/>
    <mergeCell ref="SZM77:SZR77"/>
    <mergeCell ref="SZT77:SZY77"/>
    <mergeCell ref="TAA77:TAF77"/>
    <mergeCell ref="TAH77:TAM77"/>
    <mergeCell ref="TAO77:TAT77"/>
    <mergeCell ref="TAV77:TBA77"/>
    <mergeCell ref="THO77:THT77"/>
    <mergeCell ref="THV77:TIA77"/>
    <mergeCell ref="TIC77:TIH77"/>
    <mergeCell ref="TIJ77:TIO77"/>
    <mergeCell ref="TIQ77:TIV77"/>
    <mergeCell ref="TIX77:TJC77"/>
    <mergeCell ref="TFY77:TGD77"/>
    <mergeCell ref="TGF77:TGK77"/>
    <mergeCell ref="TGM77:TGR77"/>
    <mergeCell ref="TGT77:TGY77"/>
    <mergeCell ref="THA77:THF77"/>
    <mergeCell ref="THH77:THM77"/>
    <mergeCell ref="TEI77:TEN77"/>
    <mergeCell ref="TEP77:TEU77"/>
    <mergeCell ref="TEW77:TFB77"/>
    <mergeCell ref="TFD77:TFI77"/>
    <mergeCell ref="TFK77:TFP77"/>
    <mergeCell ref="TFR77:TFW77"/>
    <mergeCell ref="TMK77:TMP77"/>
    <mergeCell ref="TMR77:TMW77"/>
    <mergeCell ref="TMY77:TND77"/>
    <mergeCell ref="TNF77:TNK77"/>
    <mergeCell ref="TNM77:TNR77"/>
    <mergeCell ref="TNT77:TNY77"/>
    <mergeCell ref="TKU77:TKZ77"/>
    <mergeCell ref="TLB77:TLG77"/>
    <mergeCell ref="TLI77:TLN77"/>
    <mergeCell ref="TLP77:TLU77"/>
    <mergeCell ref="TLW77:TMB77"/>
    <mergeCell ref="TMD77:TMI77"/>
    <mergeCell ref="TJE77:TJJ77"/>
    <mergeCell ref="TJL77:TJQ77"/>
    <mergeCell ref="TJS77:TJX77"/>
    <mergeCell ref="TJZ77:TKE77"/>
    <mergeCell ref="TKG77:TKL77"/>
    <mergeCell ref="TKN77:TKS77"/>
    <mergeCell ref="TRG77:TRL77"/>
    <mergeCell ref="TRN77:TRS77"/>
    <mergeCell ref="TRU77:TRZ77"/>
    <mergeCell ref="TSB77:TSG77"/>
    <mergeCell ref="TSI77:TSN77"/>
    <mergeCell ref="TSP77:TSU77"/>
    <mergeCell ref="TPQ77:TPV77"/>
    <mergeCell ref="TPX77:TQC77"/>
    <mergeCell ref="TQE77:TQJ77"/>
    <mergeCell ref="TQL77:TQQ77"/>
    <mergeCell ref="TQS77:TQX77"/>
    <mergeCell ref="TQZ77:TRE77"/>
    <mergeCell ref="TOA77:TOF77"/>
    <mergeCell ref="TOH77:TOM77"/>
    <mergeCell ref="TOO77:TOT77"/>
    <mergeCell ref="TOV77:TPA77"/>
    <mergeCell ref="TPC77:TPH77"/>
    <mergeCell ref="TPJ77:TPO77"/>
    <mergeCell ref="TWC77:TWH77"/>
    <mergeCell ref="TWJ77:TWO77"/>
    <mergeCell ref="TWQ77:TWV77"/>
    <mergeCell ref="TWX77:TXC77"/>
    <mergeCell ref="TXE77:TXJ77"/>
    <mergeCell ref="TXL77:TXQ77"/>
    <mergeCell ref="TUM77:TUR77"/>
    <mergeCell ref="TUT77:TUY77"/>
    <mergeCell ref="TVA77:TVF77"/>
    <mergeCell ref="TVH77:TVM77"/>
    <mergeCell ref="TVO77:TVT77"/>
    <mergeCell ref="TVV77:TWA77"/>
    <mergeCell ref="TSW77:TTB77"/>
    <mergeCell ref="TTD77:TTI77"/>
    <mergeCell ref="TTK77:TTP77"/>
    <mergeCell ref="TTR77:TTW77"/>
    <mergeCell ref="TTY77:TUD77"/>
    <mergeCell ref="TUF77:TUK77"/>
    <mergeCell ref="UAY77:UBD77"/>
    <mergeCell ref="UBF77:UBK77"/>
    <mergeCell ref="UBM77:UBR77"/>
    <mergeCell ref="UBT77:UBY77"/>
    <mergeCell ref="UCA77:UCF77"/>
    <mergeCell ref="UCH77:UCM77"/>
    <mergeCell ref="TZI77:TZN77"/>
    <mergeCell ref="TZP77:TZU77"/>
    <mergeCell ref="TZW77:UAB77"/>
    <mergeCell ref="UAD77:UAI77"/>
    <mergeCell ref="UAK77:UAP77"/>
    <mergeCell ref="UAR77:UAW77"/>
    <mergeCell ref="TXS77:TXX77"/>
    <mergeCell ref="TXZ77:TYE77"/>
    <mergeCell ref="TYG77:TYL77"/>
    <mergeCell ref="TYN77:TYS77"/>
    <mergeCell ref="TYU77:TYZ77"/>
    <mergeCell ref="TZB77:TZG77"/>
    <mergeCell ref="UFU77:UFZ77"/>
    <mergeCell ref="UGB77:UGG77"/>
    <mergeCell ref="UGI77:UGN77"/>
    <mergeCell ref="UGP77:UGU77"/>
    <mergeCell ref="UGW77:UHB77"/>
    <mergeCell ref="UHD77:UHI77"/>
    <mergeCell ref="UEE77:UEJ77"/>
    <mergeCell ref="UEL77:UEQ77"/>
    <mergeCell ref="UES77:UEX77"/>
    <mergeCell ref="UEZ77:UFE77"/>
    <mergeCell ref="UFG77:UFL77"/>
    <mergeCell ref="UFN77:UFS77"/>
    <mergeCell ref="UCO77:UCT77"/>
    <mergeCell ref="UCV77:UDA77"/>
    <mergeCell ref="UDC77:UDH77"/>
    <mergeCell ref="UDJ77:UDO77"/>
    <mergeCell ref="UDQ77:UDV77"/>
    <mergeCell ref="UDX77:UEC77"/>
    <mergeCell ref="UKQ77:UKV77"/>
    <mergeCell ref="UKX77:ULC77"/>
    <mergeCell ref="ULE77:ULJ77"/>
    <mergeCell ref="ULL77:ULQ77"/>
    <mergeCell ref="ULS77:ULX77"/>
    <mergeCell ref="ULZ77:UME77"/>
    <mergeCell ref="UJA77:UJF77"/>
    <mergeCell ref="UJH77:UJM77"/>
    <mergeCell ref="UJO77:UJT77"/>
    <mergeCell ref="UJV77:UKA77"/>
    <mergeCell ref="UKC77:UKH77"/>
    <mergeCell ref="UKJ77:UKO77"/>
    <mergeCell ref="UHK77:UHP77"/>
    <mergeCell ref="UHR77:UHW77"/>
    <mergeCell ref="UHY77:UID77"/>
    <mergeCell ref="UIF77:UIK77"/>
    <mergeCell ref="UIM77:UIR77"/>
    <mergeCell ref="UIT77:UIY77"/>
    <mergeCell ref="UPM77:UPR77"/>
    <mergeCell ref="UPT77:UPY77"/>
    <mergeCell ref="UQA77:UQF77"/>
    <mergeCell ref="UQH77:UQM77"/>
    <mergeCell ref="UQO77:UQT77"/>
    <mergeCell ref="UQV77:URA77"/>
    <mergeCell ref="UNW77:UOB77"/>
    <mergeCell ref="UOD77:UOI77"/>
    <mergeCell ref="UOK77:UOP77"/>
    <mergeCell ref="UOR77:UOW77"/>
    <mergeCell ref="UOY77:UPD77"/>
    <mergeCell ref="UPF77:UPK77"/>
    <mergeCell ref="UMG77:UML77"/>
    <mergeCell ref="UMN77:UMS77"/>
    <mergeCell ref="UMU77:UMZ77"/>
    <mergeCell ref="UNB77:UNG77"/>
    <mergeCell ref="UNI77:UNN77"/>
    <mergeCell ref="UNP77:UNU77"/>
    <mergeCell ref="UUI77:UUN77"/>
    <mergeCell ref="UUP77:UUU77"/>
    <mergeCell ref="UUW77:UVB77"/>
    <mergeCell ref="UVD77:UVI77"/>
    <mergeCell ref="UVK77:UVP77"/>
    <mergeCell ref="UVR77:UVW77"/>
    <mergeCell ref="USS77:USX77"/>
    <mergeCell ref="USZ77:UTE77"/>
    <mergeCell ref="UTG77:UTL77"/>
    <mergeCell ref="UTN77:UTS77"/>
    <mergeCell ref="UTU77:UTZ77"/>
    <mergeCell ref="UUB77:UUG77"/>
    <mergeCell ref="URC77:URH77"/>
    <mergeCell ref="URJ77:URO77"/>
    <mergeCell ref="URQ77:URV77"/>
    <mergeCell ref="URX77:USC77"/>
    <mergeCell ref="USE77:USJ77"/>
    <mergeCell ref="USL77:USQ77"/>
    <mergeCell ref="UZE77:UZJ77"/>
    <mergeCell ref="UZL77:UZQ77"/>
    <mergeCell ref="UZS77:UZX77"/>
    <mergeCell ref="UZZ77:VAE77"/>
    <mergeCell ref="VAG77:VAL77"/>
    <mergeCell ref="VAN77:VAS77"/>
    <mergeCell ref="UXO77:UXT77"/>
    <mergeCell ref="UXV77:UYA77"/>
    <mergeCell ref="UYC77:UYH77"/>
    <mergeCell ref="UYJ77:UYO77"/>
    <mergeCell ref="UYQ77:UYV77"/>
    <mergeCell ref="UYX77:UZC77"/>
    <mergeCell ref="UVY77:UWD77"/>
    <mergeCell ref="UWF77:UWK77"/>
    <mergeCell ref="UWM77:UWR77"/>
    <mergeCell ref="UWT77:UWY77"/>
    <mergeCell ref="UXA77:UXF77"/>
    <mergeCell ref="UXH77:UXM77"/>
    <mergeCell ref="VEA77:VEF77"/>
    <mergeCell ref="VEH77:VEM77"/>
    <mergeCell ref="VEO77:VET77"/>
    <mergeCell ref="VEV77:VFA77"/>
    <mergeCell ref="VFC77:VFH77"/>
    <mergeCell ref="VFJ77:VFO77"/>
    <mergeCell ref="VCK77:VCP77"/>
    <mergeCell ref="VCR77:VCW77"/>
    <mergeCell ref="VCY77:VDD77"/>
    <mergeCell ref="VDF77:VDK77"/>
    <mergeCell ref="VDM77:VDR77"/>
    <mergeCell ref="VDT77:VDY77"/>
    <mergeCell ref="VAU77:VAZ77"/>
    <mergeCell ref="VBB77:VBG77"/>
    <mergeCell ref="VBI77:VBN77"/>
    <mergeCell ref="VBP77:VBU77"/>
    <mergeCell ref="VBW77:VCB77"/>
    <mergeCell ref="VCD77:VCI77"/>
    <mergeCell ref="VIW77:VJB77"/>
    <mergeCell ref="VJD77:VJI77"/>
    <mergeCell ref="VJK77:VJP77"/>
    <mergeCell ref="VJR77:VJW77"/>
    <mergeCell ref="VJY77:VKD77"/>
    <mergeCell ref="VKF77:VKK77"/>
    <mergeCell ref="VHG77:VHL77"/>
    <mergeCell ref="VHN77:VHS77"/>
    <mergeCell ref="VHU77:VHZ77"/>
    <mergeCell ref="VIB77:VIG77"/>
    <mergeCell ref="VII77:VIN77"/>
    <mergeCell ref="VIP77:VIU77"/>
    <mergeCell ref="VFQ77:VFV77"/>
    <mergeCell ref="VFX77:VGC77"/>
    <mergeCell ref="VGE77:VGJ77"/>
    <mergeCell ref="VGL77:VGQ77"/>
    <mergeCell ref="VGS77:VGX77"/>
    <mergeCell ref="VGZ77:VHE77"/>
    <mergeCell ref="VNS77:VNX77"/>
    <mergeCell ref="VNZ77:VOE77"/>
    <mergeCell ref="VOG77:VOL77"/>
    <mergeCell ref="VON77:VOS77"/>
    <mergeCell ref="VOU77:VOZ77"/>
    <mergeCell ref="VPB77:VPG77"/>
    <mergeCell ref="VMC77:VMH77"/>
    <mergeCell ref="VMJ77:VMO77"/>
    <mergeCell ref="VMQ77:VMV77"/>
    <mergeCell ref="VMX77:VNC77"/>
    <mergeCell ref="VNE77:VNJ77"/>
    <mergeCell ref="VNL77:VNQ77"/>
    <mergeCell ref="VKM77:VKR77"/>
    <mergeCell ref="VKT77:VKY77"/>
    <mergeCell ref="VLA77:VLF77"/>
    <mergeCell ref="VLH77:VLM77"/>
    <mergeCell ref="VLO77:VLT77"/>
    <mergeCell ref="VLV77:VMA77"/>
    <mergeCell ref="VSO77:VST77"/>
    <mergeCell ref="VSV77:VTA77"/>
    <mergeCell ref="VTC77:VTH77"/>
    <mergeCell ref="VTJ77:VTO77"/>
    <mergeCell ref="VTQ77:VTV77"/>
    <mergeCell ref="VTX77:VUC77"/>
    <mergeCell ref="VQY77:VRD77"/>
    <mergeCell ref="VRF77:VRK77"/>
    <mergeCell ref="VRM77:VRR77"/>
    <mergeCell ref="VRT77:VRY77"/>
    <mergeCell ref="VSA77:VSF77"/>
    <mergeCell ref="VSH77:VSM77"/>
    <mergeCell ref="VPI77:VPN77"/>
    <mergeCell ref="VPP77:VPU77"/>
    <mergeCell ref="VPW77:VQB77"/>
    <mergeCell ref="VQD77:VQI77"/>
    <mergeCell ref="VQK77:VQP77"/>
    <mergeCell ref="VQR77:VQW77"/>
    <mergeCell ref="VXK77:VXP77"/>
    <mergeCell ref="VXR77:VXW77"/>
    <mergeCell ref="VXY77:VYD77"/>
    <mergeCell ref="VYF77:VYK77"/>
    <mergeCell ref="VYM77:VYR77"/>
    <mergeCell ref="VYT77:VYY77"/>
    <mergeCell ref="VVU77:VVZ77"/>
    <mergeCell ref="VWB77:VWG77"/>
    <mergeCell ref="VWI77:VWN77"/>
    <mergeCell ref="VWP77:VWU77"/>
    <mergeCell ref="VWW77:VXB77"/>
    <mergeCell ref="VXD77:VXI77"/>
    <mergeCell ref="VUE77:VUJ77"/>
    <mergeCell ref="VUL77:VUQ77"/>
    <mergeCell ref="VUS77:VUX77"/>
    <mergeCell ref="VUZ77:VVE77"/>
    <mergeCell ref="VVG77:VVL77"/>
    <mergeCell ref="VVN77:VVS77"/>
    <mergeCell ref="WCG77:WCL77"/>
    <mergeCell ref="WCN77:WCS77"/>
    <mergeCell ref="WCU77:WCZ77"/>
    <mergeCell ref="WDB77:WDG77"/>
    <mergeCell ref="WDI77:WDN77"/>
    <mergeCell ref="WDP77:WDU77"/>
    <mergeCell ref="WAQ77:WAV77"/>
    <mergeCell ref="WAX77:WBC77"/>
    <mergeCell ref="WBE77:WBJ77"/>
    <mergeCell ref="WBL77:WBQ77"/>
    <mergeCell ref="WBS77:WBX77"/>
    <mergeCell ref="WBZ77:WCE77"/>
    <mergeCell ref="VZA77:VZF77"/>
    <mergeCell ref="VZH77:VZM77"/>
    <mergeCell ref="VZO77:VZT77"/>
    <mergeCell ref="VZV77:WAA77"/>
    <mergeCell ref="WAC77:WAH77"/>
    <mergeCell ref="WAJ77:WAO77"/>
    <mergeCell ref="WHC77:WHH77"/>
    <mergeCell ref="WHJ77:WHO77"/>
    <mergeCell ref="WHQ77:WHV77"/>
    <mergeCell ref="WHX77:WIC77"/>
    <mergeCell ref="WIE77:WIJ77"/>
    <mergeCell ref="WIL77:WIQ77"/>
    <mergeCell ref="WFM77:WFR77"/>
    <mergeCell ref="WFT77:WFY77"/>
    <mergeCell ref="WGA77:WGF77"/>
    <mergeCell ref="WGH77:WGM77"/>
    <mergeCell ref="WGO77:WGT77"/>
    <mergeCell ref="WGV77:WHA77"/>
    <mergeCell ref="WDW77:WEB77"/>
    <mergeCell ref="WED77:WEI77"/>
    <mergeCell ref="WEK77:WEP77"/>
    <mergeCell ref="WER77:WEW77"/>
    <mergeCell ref="WEY77:WFD77"/>
    <mergeCell ref="WFF77:WFK77"/>
    <mergeCell ref="WLY77:WMD77"/>
    <mergeCell ref="WMF77:WMK77"/>
    <mergeCell ref="WMM77:WMR77"/>
    <mergeCell ref="WMT77:WMY77"/>
    <mergeCell ref="WNA77:WNF77"/>
    <mergeCell ref="WNH77:WNM77"/>
    <mergeCell ref="WKI77:WKN77"/>
    <mergeCell ref="WKP77:WKU77"/>
    <mergeCell ref="WKW77:WLB77"/>
    <mergeCell ref="WLD77:WLI77"/>
    <mergeCell ref="WLK77:WLP77"/>
    <mergeCell ref="WLR77:WLW77"/>
    <mergeCell ref="WIS77:WIX77"/>
    <mergeCell ref="WIZ77:WJE77"/>
    <mergeCell ref="WJG77:WJL77"/>
    <mergeCell ref="WJN77:WJS77"/>
    <mergeCell ref="WJU77:WJZ77"/>
    <mergeCell ref="WKB77:WKG77"/>
    <mergeCell ref="WQU77:WQZ77"/>
    <mergeCell ref="WRB77:WRG77"/>
    <mergeCell ref="WRI77:WRN77"/>
    <mergeCell ref="WRP77:WRU77"/>
    <mergeCell ref="WRW77:WSB77"/>
    <mergeCell ref="WSD77:WSI77"/>
    <mergeCell ref="WPE77:WPJ77"/>
    <mergeCell ref="WPL77:WPQ77"/>
    <mergeCell ref="WPS77:WPX77"/>
    <mergeCell ref="WPZ77:WQE77"/>
    <mergeCell ref="WQG77:WQL77"/>
    <mergeCell ref="WQN77:WQS77"/>
    <mergeCell ref="WNO77:WNT77"/>
    <mergeCell ref="WNV77:WOA77"/>
    <mergeCell ref="WOC77:WOH77"/>
    <mergeCell ref="WOJ77:WOO77"/>
    <mergeCell ref="WOQ77:WOV77"/>
    <mergeCell ref="WOX77:WPC77"/>
    <mergeCell ref="WXU77:WXZ77"/>
    <mergeCell ref="WYB77:WYG77"/>
    <mergeCell ref="WYI77:WYN77"/>
    <mergeCell ref="WYP77:WYU77"/>
    <mergeCell ref="WVQ77:WVV77"/>
    <mergeCell ref="WVX77:WWC77"/>
    <mergeCell ref="WWE77:WWJ77"/>
    <mergeCell ref="WWL77:WWQ77"/>
    <mergeCell ref="WWS77:WWX77"/>
    <mergeCell ref="WWZ77:WXE77"/>
    <mergeCell ref="WUA77:WUF77"/>
    <mergeCell ref="WUH77:WUM77"/>
    <mergeCell ref="WUO77:WUT77"/>
    <mergeCell ref="WUV77:WVA77"/>
    <mergeCell ref="WVC77:WVH77"/>
    <mergeCell ref="WVJ77:WVO77"/>
    <mergeCell ref="WSK77:WSP77"/>
    <mergeCell ref="WSR77:WSW77"/>
    <mergeCell ref="WSY77:WTD77"/>
    <mergeCell ref="WTF77:WTK77"/>
    <mergeCell ref="WTM77:WTR77"/>
    <mergeCell ref="WTT77:WTY77"/>
    <mergeCell ref="B78:G78"/>
    <mergeCell ref="I78:N78"/>
    <mergeCell ref="P78:U78"/>
    <mergeCell ref="W78:AB78"/>
    <mergeCell ref="AD78:AI78"/>
    <mergeCell ref="AK78:AP78"/>
    <mergeCell ref="XDS77:XDX77"/>
    <mergeCell ref="XDZ77:XEE77"/>
    <mergeCell ref="XEG77:XEL77"/>
    <mergeCell ref="XEN77:XES77"/>
    <mergeCell ref="XEU77:XEZ77"/>
    <mergeCell ref="XFB77:XFD77"/>
    <mergeCell ref="XCC77:XCH77"/>
    <mergeCell ref="XCJ77:XCO77"/>
    <mergeCell ref="XCQ77:XCV77"/>
    <mergeCell ref="XCX77:XDC77"/>
    <mergeCell ref="XDE77:XDJ77"/>
    <mergeCell ref="XDL77:XDQ77"/>
    <mergeCell ref="XAM77:XAR77"/>
    <mergeCell ref="XAT77:XAY77"/>
    <mergeCell ref="XBA77:XBF77"/>
    <mergeCell ref="XBH77:XBM77"/>
    <mergeCell ref="XBO77:XBT77"/>
    <mergeCell ref="XBV77:XCA77"/>
    <mergeCell ref="WYW77:WZB77"/>
    <mergeCell ref="WZD77:WZI77"/>
    <mergeCell ref="WZK77:WZP77"/>
    <mergeCell ref="WZR77:WZW77"/>
    <mergeCell ref="WZY77:XAD77"/>
    <mergeCell ref="XAF77:XAK77"/>
    <mergeCell ref="WXG77:WXL77"/>
    <mergeCell ref="WXN77:WXS77"/>
    <mergeCell ref="DX78:EC78"/>
    <mergeCell ref="EE78:EJ78"/>
    <mergeCell ref="EL78:EQ78"/>
    <mergeCell ref="ES78:EX78"/>
    <mergeCell ref="EZ78:FE78"/>
    <mergeCell ref="FG78:FL78"/>
    <mergeCell ref="CH78:CM78"/>
    <mergeCell ref="CO78:CT78"/>
    <mergeCell ref="CV78:DA78"/>
    <mergeCell ref="DC78:DH78"/>
    <mergeCell ref="DJ78:DO78"/>
    <mergeCell ref="DQ78:DV78"/>
    <mergeCell ref="AR78:AW78"/>
    <mergeCell ref="AY78:BD78"/>
    <mergeCell ref="BF78:BK78"/>
    <mergeCell ref="BM78:BR78"/>
    <mergeCell ref="BT78:BY78"/>
    <mergeCell ref="CA78:CF78"/>
    <mergeCell ref="IT78:IY78"/>
    <mergeCell ref="JA78:JF78"/>
    <mergeCell ref="JH78:JM78"/>
    <mergeCell ref="JO78:JT78"/>
    <mergeCell ref="JV78:KA78"/>
    <mergeCell ref="KC78:KH78"/>
    <mergeCell ref="HD78:HI78"/>
    <mergeCell ref="HK78:HP78"/>
    <mergeCell ref="HR78:HW78"/>
    <mergeCell ref="HY78:ID78"/>
    <mergeCell ref="IF78:IK78"/>
    <mergeCell ref="IM78:IR78"/>
    <mergeCell ref="FN78:FS78"/>
    <mergeCell ref="FU78:FZ78"/>
    <mergeCell ref="GB78:GG78"/>
    <mergeCell ref="GI78:GN78"/>
    <mergeCell ref="GP78:GU78"/>
    <mergeCell ref="GW78:HB78"/>
    <mergeCell ref="NP78:NU78"/>
    <mergeCell ref="NW78:OB78"/>
    <mergeCell ref="OD78:OI78"/>
    <mergeCell ref="OK78:OP78"/>
    <mergeCell ref="OR78:OW78"/>
    <mergeCell ref="OY78:PD78"/>
    <mergeCell ref="LZ78:ME78"/>
    <mergeCell ref="MG78:ML78"/>
    <mergeCell ref="MN78:MS78"/>
    <mergeCell ref="MU78:MZ78"/>
    <mergeCell ref="NB78:NG78"/>
    <mergeCell ref="NI78:NN78"/>
    <mergeCell ref="KJ78:KO78"/>
    <mergeCell ref="KQ78:KV78"/>
    <mergeCell ref="KX78:LC78"/>
    <mergeCell ref="LE78:LJ78"/>
    <mergeCell ref="LL78:LQ78"/>
    <mergeCell ref="LS78:LX78"/>
    <mergeCell ref="SL78:SQ78"/>
    <mergeCell ref="SS78:SX78"/>
    <mergeCell ref="SZ78:TE78"/>
    <mergeCell ref="TG78:TL78"/>
    <mergeCell ref="TN78:TS78"/>
    <mergeCell ref="TU78:TZ78"/>
    <mergeCell ref="QV78:RA78"/>
    <mergeCell ref="RC78:RH78"/>
    <mergeCell ref="RJ78:RO78"/>
    <mergeCell ref="RQ78:RV78"/>
    <mergeCell ref="RX78:SC78"/>
    <mergeCell ref="SE78:SJ78"/>
    <mergeCell ref="PF78:PK78"/>
    <mergeCell ref="PM78:PR78"/>
    <mergeCell ref="PT78:PY78"/>
    <mergeCell ref="QA78:QF78"/>
    <mergeCell ref="QH78:QM78"/>
    <mergeCell ref="QO78:QT78"/>
    <mergeCell ref="XH78:XM78"/>
    <mergeCell ref="XO78:XT78"/>
    <mergeCell ref="XV78:YA78"/>
    <mergeCell ref="YC78:YH78"/>
    <mergeCell ref="YJ78:YO78"/>
    <mergeCell ref="YQ78:YV78"/>
    <mergeCell ref="VR78:VW78"/>
    <mergeCell ref="VY78:WD78"/>
    <mergeCell ref="WF78:WK78"/>
    <mergeCell ref="WM78:WR78"/>
    <mergeCell ref="WT78:WY78"/>
    <mergeCell ref="XA78:XF78"/>
    <mergeCell ref="UB78:UG78"/>
    <mergeCell ref="UI78:UN78"/>
    <mergeCell ref="UP78:UU78"/>
    <mergeCell ref="UW78:VB78"/>
    <mergeCell ref="VD78:VI78"/>
    <mergeCell ref="VK78:VP78"/>
    <mergeCell ref="ACD78:ACI78"/>
    <mergeCell ref="ACK78:ACP78"/>
    <mergeCell ref="ACR78:ACW78"/>
    <mergeCell ref="ACY78:ADD78"/>
    <mergeCell ref="ADF78:ADK78"/>
    <mergeCell ref="ADM78:ADR78"/>
    <mergeCell ref="AAN78:AAS78"/>
    <mergeCell ref="AAU78:AAZ78"/>
    <mergeCell ref="ABB78:ABG78"/>
    <mergeCell ref="ABI78:ABN78"/>
    <mergeCell ref="ABP78:ABU78"/>
    <mergeCell ref="ABW78:ACB78"/>
    <mergeCell ref="YX78:ZC78"/>
    <mergeCell ref="ZE78:ZJ78"/>
    <mergeCell ref="ZL78:ZQ78"/>
    <mergeCell ref="ZS78:ZX78"/>
    <mergeCell ref="ZZ78:AAE78"/>
    <mergeCell ref="AAG78:AAL78"/>
    <mergeCell ref="AGZ78:AHE78"/>
    <mergeCell ref="AHG78:AHL78"/>
    <mergeCell ref="AHN78:AHS78"/>
    <mergeCell ref="AHU78:AHZ78"/>
    <mergeCell ref="AIB78:AIG78"/>
    <mergeCell ref="AII78:AIN78"/>
    <mergeCell ref="AFJ78:AFO78"/>
    <mergeCell ref="AFQ78:AFV78"/>
    <mergeCell ref="AFX78:AGC78"/>
    <mergeCell ref="AGE78:AGJ78"/>
    <mergeCell ref="AGL78:AGQ78"/>
    <mergeCell ref="AGS78:AGX78"/>
    <mergeCell ref="ADT78:ADY78"/>
    <mergeCell ref="AEA78:AEF78"/>
    <mergeCell ref="AEH78:AEM78"/>
    <mergeCell ref="AEO78:AET78"/>
    <mergeCell ref="AEV78:AFA78"/>
    <mergeCell ref="AFC78:AFH78"/>
    <mergeCell ref="ALV78:AMA78"/>
    <mergeCell ref="AMC78:AMH78"/>
    <mergeCell ref="AMJ78:AMO78"/>
    <mergeCell ref="AMQ78:AMV78"/>
    <mergeCell ref="AMX78:ANC78"/>
    <mergeCell ref="ANE78:ANJ78"/>
    <mergeCell ref="AKF78:AKK78"/>
    <mergeCell ref="AKM78:AKR78"/>
    <mergeCell ref="AKT78:AKY78"/>
    <mergeCell ref="ALA78:ALF78"/>
    <mergeCell ref="ALH78:ALM78"/>
    <mergeCell ref="ALO78:ALT78"/>
    <mergeCell ref="AIP78:AIU78"/>
    <mergeCell ref="AIW78:AJB78"/>
    <mergeCell ref="AJD78:AJI78"/>
    <mergeCell ref="AJK78:AJP78"/>
    <mergeCell ref="AJR78:AJW78"/>
    <mergeCell ref="AJY78:AKD78"/>
    <mergeCell ref="AQR78:AQW78"/>
    <mergeCell ref="AQY78:ARD78"/>
    <mergeCell ref="ARF78:ARK78"/>
    <mergeCell ref="ARM78:ARR78"/>
    <mergeCell ref="ART78:ARY78"/>
    <mergeCell ref="ASA78:ASF78"/>
    <mergeCell ref="APB78:APG78"/>
    <mergeCell ref="API78:APN78"/>
    <mergeCell ref="APP78:APU78"/>
    <mergeCell ref="APW78:AQB78"/>
    <mergeCell ref="AQD78:AQI78"/>
    <mergeCell ref="AQK78:AQP78"/>
    <mergeCell ref="ANL78:ANQ78"/>
    <mergeCell ref="ANS78:ANX78"/>
    <mergeCell ref="ANZ78:AOE78"/>
    <mergeCell ref="AOG78:AOL78"/>
    <mergeCell ref="AON78:AOS78"/>
    <mergeCell ref="AOU78:AOZ78"/>
    <mergeCell ref="AVN78:AVS78"/>
    <mergeCell ref="AVU78:AVZ78"/>
    <mergeCell ref="AWB78:AWG78"/>
    <mergeCell ref="AWI78:AWN78"/>
    <mergeCell ref="AWP78:AWU78"/>
    <mergeCell ref="AWW78:AXB78"/>
    <mergeCell ref="ATX78:AUC78"/>
    <mergeCell ref="AUE78:AUJ78"/>
    <mergeCell ref="AUL78:AUQ78"/>
    <mergeCell ref="AUS78:AUX78"/>
    <mergeCell ref="AUZ78:AVE78"/>
    <mergeCell ref="AVG78:AVL78"/>
    <mergeCell ref="ASH78:ASM78"/>
    <mergeCell ref="ASO78:AST78"/>
    <mergeCell ref="ASV78:ATA78"/>
    <mergeCell ref="ATC78:ATH78"/>
    <mergeCell ref="ATJ78:ATO78"/>
    <mergeCell ref="ATQ78:ATV78"/>
    <mergeCell ref="BAJ78:BAO78"/>
    <mergeCell ref="BAQ78:BAV78"/>
    <mergeCell ref="BAX78:BBC78"/>
    <mergeCell ref="BBE78:BBJ78"/>
    <mergeCell ref="BBL78:BBQ78"/>
    <mergeCell ref="BBS78:BBX78"/>
    <mergeCell ref="AYT78:AYY78"/>
    <mergeCell ref="AZA78:AZF78"/>
    <mergeCell ref="AZH78:AZM78"/>
    <mergeCell ref="AZO78:AZT78"/>
    <mergeCell ref="AZV78:BAA78"/>
    <mergeCell ref="BAC78:BAH78"/>
    <mergeCell ref="AXD78:AXI78"/>
    <mergeCell ref="AXK78:AXP78"/>
    <mergeCell ref="AXR78:AXW78"/>
    <mergeCell ref="AXY78:AYD78"/>
    <mergeCell ref="AYF78:AYK78"/>
    <mergeCell ref="AYM78:AYR78"/>
    <mergeCell ref="BFF78:BFK78"/>
    <mergeCell ref="BFM78:BFR78"/>
    <mergeCell ref="BFT78:BFY78"/>
    <mergeCell ref="BGA78:BGF78"/>
    <mergeCell ref="BGH78:BGM78"/>
    <mergeCell ref="BGO78:BGT78"/>
    <mergeCell ref="BDP78:BDU78"/>
    <mergeCell ref="BDW78:BEB78"/>
    <mergeCell ref="BED78:BEI78"/>
    <mergeCell ref="BEK78:BEP78"/>
    <mergeCell ref="BER78:BEW78"/>
    <mergeCell ref="BEY78:BFD78"/>
    <mergeCell ref="BBZ78:BCE78"/>
    <mergeCell ref="BCG78:BCL78"/>
    <mergeCell ref="BCN78:BCS78"/>
    <mergeCell ref="BCU78:BCZ78"/>
    <mergeCell ref="BDB78:BDG78"/>
    <mergeCell ref="BDI78:BDN78"/>
    <mergeCell ref="BKB78:BKG78"/>
    <mergeCell ref="BKI78:BKN78"/>
    <mergeCell ref="BKP78:BKU78"/>
    <mergeCell ref="BKW78:BLB78"/>
    <mergeCell ref="BLD78:BLI78"/>
    <mergeCell ref="BLK78:BLP78"/>
    <mergeCell ref="BIL78:BIQ78"/>
    <mergeCell ref="BIS78:BIX78"/>
    <mergeCell ref="BIZ78:BJE78"/>
    <mergeCell ref="BJG78:BJL78"/>
    <mergeCell ref="BJN78:BJS78"/>
    <mergeCell ref="BJU78:BJZ78"/>
    <mergeCell ref="BGV78:BHA78"/>
    <mergeCell ref="BHC78:BHH78"/>
    <mergeCell ref="BHJ78:BHO78"/>
    <mergeCell ref="BHQ78:BHV78"/>
    <mergeCell ref="BHX78:BIC78"/>
    <mergeCell ref="BIE78:BIJ78"/>
    <mergeCell ref="BOX78:BPC78"/>
    <mergeCell ref="BPE78:BPJ78"/>
    <mergeCell ref="BPL78:BPQ78"/>
    <mergeCell ref="BPS78:BPX78"/>
    <mergeCell ref="BPZ78:BQE78"/>
    <mergeCell ref="BQG78:BQL78"/>
    <mergeCell ref="BNH78:BNM78"/>
    <mergeCell ref="BNO78:BNT78"/>
    <mergeCell ref="BNV78:BOA78"/>
    <mergeCell ref="BOC78:BOH78"/>
    <mergeCell ref="BOJ78:BOO78"/>
    <mergeCell ref="BOQ78:BOV78"/>
    <mergeCell ref="BLR78:BLW78"/>
    <mergeCell ref="BLY78:BMD78"/>
    <mergeCell ref="BMF78:BMK78"/>
    <mergeCell ref="BMM78:BMR78"/>
    <mergeCell ref="BMT78:BMY78"/>
    <mergeCell ref="BNA78:BNF78"/>
    <mergeCell ref="BTT78:BTY78"/>
    <mergeCell ref="BUA78:BUF78"/>
    <mergeCell ref="BUH78:BUM78"/>
    <mergeCell ref="BUO78:BUT78"/>
    <mergeCell ref="BUV78:BVA78"/>
    <mergeCell ref="BVC78:BVH78"/>
    <mergeCell ref="BSD78:BSI78"/>
    <mergeCell ref="BSK78:BSP78"/>
    <mergeCell ref="BSR78:BSW78"/>
    <mergeCell ref="BSY78:BTD78"/>
    <mergeCell ref="BTF78:BTK78"/>
    <mergeCell ref="BTM78:BTR78"/>
    <mergeCell ref="BQN78:BQS78"/>
    <mergeCell ref="BQU78:BQZ78"/>
    <mergeCell ref="BRB78:BRG78"/>
    <mergeCell ref="BRI78:BRN78"/>
    <mergeCell ref="BRP78:BRU78"/>
    <mergeCell ref="BRW78:BSB78"/>
    <mergeCell ref="BYP78:BYU78"/>
    <mergeCell ref="BYW78:BZB78"/>
    <mergeCell ref="BZD78:BZI78"/>
    <mergeCell ref="BZK78:BZP78"/>
    <mergeCell ref="BZR78:BZW78"/>
    <mergeCell ref="BZY78:CAD78"/>
    <mergeCell ref="BWZ78:BXE78"/>
    <mergeCell ref="BXG78:BXL78"/>
    <mergeCell ref="BXN78:BXS78"/>
    <mergeCell ref="BXU78:BXZ78"/>
    <mergeCell ref="BYB78:BYG78"/>
    <mergeCell ref="BYI78:BYN78"/>
    <mergeCell ref="BVJ78:BVO78"/>
    <mergeCell ref="BVQ78:BVV78"/>
    <mergeCell ref="BVX78:BWC78"/>
    <mergeCell ref="BWE78:BWJ78"/>
    <mergeCell ref="BWL78:BWQ78"/>
    <mergeCell ref="BWS78:BWX78"/>
    <mergeCell ref="CDL78:CDQ78"/>
    <mergeCell ref="CDS78:CDX78"/>
    <mergeCell ref="CDZ78:CEE78"/>
    <mergeCell ref="CEG78:CEL78"/>
    <mergeCell ref="CEN78:CES78"/>
    <mergeCell ref="CEU78:CEZ78"/>
    <mergeCell ref="CBV78:CCA78"/>
    <mergeCell ref="CCC78:CCH78"/>
    <mergeCell ref="CCJ78:CCO78"/>
    <mergeCell ref="CCQ78:CCV78"/>
    <mergeCell ref="CCX78:CDC78"/>
    <mergeCell ref="CDE78:CDJ78"/>
    <mergeCell ref="CAF78:CAK78"/>
    <mergeCell ref="CAM78:CAR78"/>
    <mergeCell ref="CAT78:CAY78"/>
    <mergeCell ref="CBA78:CBF78"/>
    <mergeCell ref="CBH78:CBM78"/>
    <mergeCell ref="CBO78:CBT78"/>
    <mergeCell ref="CIH78:CIM78"/>
    <mergeCell ref="CIO78:CIT78"/>
    <mergeCell ref="CIV78:CJA78"/>
    <mergeCell ref="CJC78:CJH78"/>
    <mergeCell ref="CJJ78:CJO78"/>
    <mergeCell ref="CJQ78:CJV78"/>
    <mergeCell ref="CGR78:CGW78"/>
    <mergeCell ref="CGY78:CHD78"/>
    <mergeCell ref="CHF78:CHK78"/>
    <mergeCell ref="CHM78:CHR78"/>
    <mergeCell ref="CHT78:CHY78"/>
    <mergeCell ref="CIA78:CIF78"/>
    <mergeCell ref="CFB78:CFG78"/>
    <mergeCell ref="CFI78:CFN78"/>
    <mergeCell ref="CFP78:CFU78"/>
    <mergeCell ref="CFW78:CGB78"/>
    <mergeCell ref="CGD78:CGI78"/>
    <mergeCell ref="CGK78:CGP78"/>
    <mergeCell ref="CND78:CNI78"/>
    <mergeCell ref="CNK78:CNP78"/>
    <mergeCell ref="CNR78:CNW78"/>
    <mergeCell ref="CNY78:COD78"/>
    <mergeCell ref="COF78:COK78"/>
    <mergeCell ref="COM78:COR78"/>
    <mergeCell ref="CLN78:CLS78"/>
    <mergeCell ref="CLU78:CLZ78"/>
    <mergeCell ref="CMB78:CMG78"/>
    <mergeCell ref="CMI78:CMN78"/>
    <mergeCell ref="CMP78:CMU78"/>
    <mergeCell ref="CMW78:CNB78"/>
    <mergeCell ref="CJX78:CKC78"/>
    <mergeCell ref="CKE78:CKJ78"/>
    <mergeCell ref="CKL78:CKQ78"/>
    <mergeCell ref="CKS78:CKX78"/>
    <mergeCell ref="CKZ78:CLE78"/>
    <mergeCell ref="CLG78:CLL78"/>
    <mergeCell ref="CRZ78:CSE78"/>
    <mergeCell ref="CSG78:CSL78"/>
    <mergeCell ref="CSN78:CSS78"/>
    <mergeCell ref="CSU78:CSZ78"/>
    <mergeCell ref="CTB78:CTG78"/>
    <mergeCell ref="CTI78:CTN78"/>
    <mergeCell ref="CQJ78:CQO78"/>
    <mergeCell ref="CQQ78:CQV78"/>
    <mergeCell ref="CQX78:CRC78"/>
    <mergeCell ref="CRE78:CRJ78"/>
    <mergeCell ref="CRL78:CRQ78"/>
    <mergeCell ref="CRS78:CRX78"/>
    <mergeCell ref="COT78:COY78"/>
    <mergeCell ref="CPA78:CPF78"/>
    <mergeCell ref="CPH78:CPM78"/>
    <mergeCell ref="CPO78:CPT78"/>
    <mergeCell ref="CPV78:CQA78"/>
    <mergeCell ref="CQC78:CQH78"/>
    <mergeCell ref="CWV78:CXA78"/>
    <mergeCell ref="CXC78:CXH78"/>
    <mergeCell ref="CXJ78:CXO78"/>
    <mergeCell ref="CXQ78:CXV78"/>
    <mergeCell ref="CXX78:CYC78"/>
    <mergeCell ref="CYE78:CYJ78"/>
    <mergeCell ref="CVF78:CVK78"/>
    <mergeCell ref="CVM78:CVR78"/>
    <mergeCell ref="CVT78:CVY78"/>
    <mergeCell ref="CWA78:CWF78"/>
    <mergeCell ref="CWH78:CWM78"/>
    <mergeCell ref="CWO78:CWT78"/>
    <mergeCell ref="CTP78:CTU78"/>
    <mergeCell ref="CTW78:CUB78"/>
    <mergeCell ref="CUD78:CUI78"/>
    <mergeCell ref="CUK78:CUP78"/>
    <mergeCell ref="CUR78:CUW78"/>
    <mergeCell ref="CUY78:CVD78"/>
    <mergeCell ref="DBR78:DBW78"/>
    <mergeCell ref="DBY78:DCD78"/>
    <mergeCell ref="DCF78:DCK78"/>
    <mergeCell ref="DCM78:DCR78"/>
    <mergeCell ref="DCT78:DCY78"/>
    <mergeCell ref="DDA78:DDF78"/>
    <mergeCell ref="DAB78:DAG78"/>
    <mergeCell ref="DAI78:DAN78"/>
    <mergeCell ref="DAP78:DAU78"/>
    <mergeCell ref="DAW78:DBB78"/>
    <mergeCell ref="DBD78:DBI78"/>
    <mergeCell ref="DBK78:DBP78"/>
    <mergeCell ref="CYL78:CYQ78"/>
    <mergeCell ref="CYS78:CYX78"/>
    <mergeCell ref="CYZ78:CZE78"/>
    <mergeCell ref="CZG78:CZL78"/>
    <mergeCell ref="CZN78:CZS78"/>
    <mergeCell ref="CZU78:CZZ78"/>
    <mergeCell ref="DGN78:DGS78"/>
    <mergeCell ref="DGU78:DGZ78"/>
    <mergeCell ref="DHB78:DHG78"/>
    <mergeCell ref="DHI78:DHN78"/>
    <mergeCell ref="DHP78:DHU78"/>
    <mergeCell ref="DHW78:DIB78"/>
    <mergeCell ref="DEX78:DFC78"/>
    <mergeCell ref="DFE78:DFJ78"/>
    <mergeCell ref="DFL78:DFQ78"/>
    <mergeCell ref="DFS78:DFX78"/>
    <mergeCell ref="DFZ78:DGE78"/>
    <mergeCell ref="DGG78:DGL78"/>
    <mergeCell ref="DDH78:DDM78"/>
    <mergeCell ref="DDO78:DDT78"/>
    <mergeCell ref="DDV78:DEA78"/>
    <mergeCell ref="DEC78:DEH78"/>
    <mergeCell ref="DEJ78:DEO78"/>
    <mergeCell ref="DEQ78:DEV78"/>
    <mergeCell ref="DLJ78:DLO78"/>
    <mergeCell ref="DLQ78:DLV78"/>
    <mergeCell ref="DLX78:DMC78"/>
    <mergeCell ref="DME78:DMJ78"/>
    <mergeCell ref="DML78:DMQ78"/>
    <mergeCell ref="DMS78:DMX78"/>
    <mergeCell ref="DJT78:DJY78"/>
    <mergeCell ref="DKA78:DKF78"/>
    <mergeCell ref="DKH78:DKM78"/>
    <mergeCell ref="DKO78:DKT78"/>
    <mergeCell ref="DKV78:DLA78"/>
    <mergeCell ref="DLC78:DLH78"/>
    <mergeCell ref="DID78:DII78"/>
    <mergeCell ref="DIK78:DIP78"/>
    <mergeCell ref="DIR78:DIW78"/>
    <mergeCell ref="DIY78:DJD78"/>
    <mergeCell ref="DJF78:DJK78"/>
    <mergeCell ref="DJM78:DJR78"/>
    <mergeCell ref="DQF78:DQK78"/>
    <mergeCell ref="DQM78:DQR78"/>
    <mergeCell ref="DQT78:DQY78"/>
    <mergeCell ref="DRA78:DRF78"/>
    <mergeCell ref="DRH78:DRM78"/>
    <mergeCell ref="DRO78:DRT78"/>
    <mergeCell ref="DOP78:DOU78"/>
    <mergeCell ref="DOW78:DPB78"/>
    <mergeCell ref="DPD78:DPI78"/>
    <mergeCell ref="DPK78:DPP78"/>
    <mergeCell ref="DPR78:DPW78"/>
    <mergeCell ref="DPY78:DQD78"/>
    <mergeCell ref="DMZ78:DNE78"/>
    <mergeCell ref="DNG78:DNL78"/>
    <mergeCell ref="DNN78:DNS78"/>
    <mergeCell ref="DNU78:DNZ78"/>
    <mergeCell ref="DOB78:DOG78"/>
    <mergeCell ref="DOI78:DON78"/>
    <mergeCell ref="DVB78:DVG78"/>
    <mergeCell ref="DVI78:DVN78"/>
    <mergeCell ref="DVP78:DVU78"/>
    <mergeCell ref="DVW78:DWB78"/>
    <mergeCell ref="DWD78:DWI78"/>
    <mergeCell ref="DWK78:DWP78"/>
    <mergeCell ref="DTL78:DTQ78"/>
    <mergeCell ref="DTS78:DTX78"/>
    <mergeCell ref="DTZ78:DUE78"/>
    <mergeCell ref="DUG78:DUL78"/>
    <mergeCell ref="DUN78:DUS78"/>
    <mergeCell ref="DUU78:DUZ78"/>
    <mergeCell ref="DRV78:DSA78"/>
    <mergeCell ref="DSC78:DSH78"/>
    <mergeCell ref="DSJ78:DSO78"/>
    <mergeCell ref="DSQ78:DSV78"/>
    <mergeCell ref="DSX78:DTC78"/>
    <mergeCell ref="DTE78:DTJ78"/>
    <mergeCell ref="DZX78:EAC78"/>
    <mergeCell ref="EAE78:EAJ78"/>
    <mergeCell ref="EAL78:EAQ78"/>
    <mergeCell ref="EAS78:EAX78"/>
    <mergeCell ref="EAZ78:EBE78"/>
    <mergeCell ref="EBG78:EBL78"/>
    <mergeCell ref="DYH78:DYM78"/>
    <mergeCell ref="DYO78:DYT78"/>
    <mergeCell ref="DYV78:DZA78"/>
    <mergeCell ref="DZC78:DZH78"/>
    <mergeCell ref="DZJ78:DZO78"/>
    <mergeCell ref="DZQ78:DZV78"/>
    <mergeCell ref="DWR78:DWW78"/>
    <mergeCell ref="DWY78:DXD78"/>
    <mergeCell ref="DXF78:DXK78"/>
    <mergeCell ref="DXM78:DXR78"/>
    <mergeCell ref="DXT78:DXY78"/>
    <mergeCell ref="DYA78:DYF78"/>
    <mergeCell ref="EET78:EEY78"/>
    <mergeCell ref="EFA78:EFF78"/>
    <mergeCell ref="EFH78:EFM78"/>
    <mergeCell ref="EFO78:EFT78"/>
    <mergeCell ref="EFV78:EGA78"/>
    <mergeCell ref="EGC78:EGH78"/>
    <mergeCell ref="EDD78:EDI78"/>
    <mergeCell ref="EDK78:EDP78"/>
    <mergeCell ref="EDR78:EDW78"/>
    <mergeCell ref="EDY78:EED78"/>
    <mergeCell ref="EEF78:EEK78"/>
    <mergeCell ref="EEM78:EER78"/>
    <mergeCell ref="EBN78:EBS78"/>
    <mergeCell ref="EBU78:EBZ78"/>
    <mergeCell ref="ECB78:ECG78"/>
    <mergeCell ref="ECI78:ECN78"/>
    <mergeCell ref="ECP78:ECU78"/>
    <mergeCell ref="ECW78:EDB78"/>
    <mergeCell ref="EJP78:EJU78"/>
    <mergeCell ref="EJW78:EKB78"/>
    <mergeCell ref="EKD78:EKI78"/>
    <mergeCell ref="EKK78:EKP78"/>
    <mergeCell ref="EKR78:EKW78"/>
    <mergeCell ref="EKY78:ELD78"/>
    <mergeCell ref="EHZ78:EIE78"/>
    <mergeCell ref="EIG78:EIL78"/>
    <mergeCell ref="EIN78:EIS78"/>
    <mergeCell ref="EIU78:EIZ78"/>
    <mergeCell ref="EJB78:EJG78"/>
    <mergeCell ref="EJI78:EJN78"/>
    <mergeCell ref="EGJ78:EGO78"/>
    <mergeCell ref="EGQ78:EGV78"/>
    <mergeCell ref="EGX78:EHC78"/>
    <mergeCell ref="EHE78:EHJ78"/>
    <mergeCell ref="EHL78:EHQ78"/>
    <mergeCell ref="EHS78:EHX78"/>
    <mergeCell ref="EOL78:EOQ78"/>
    <mergeCell ref="EOS78:EOX78"/>
    <mergeCell ref="EOZ78:EPE78"/>
    <mergeCell ref="EPG78:EPL78"/>
    <mergeCell ref="EPN78:EPS78"/>
    <mergeCell ref="EPU78:EPZ78"/>
    <mergeCell ref="EMV78:ENA78"/>
    <mergeCell ref="ENC78:ENH78"/>
    <mergeCell ref="ENJ78:ENO78"/>
    <mergeCell ref="ENQ78:ENV78"/>
    <mergeCell ref="ENX78:EOC78"/>
    <mergeCell ref="EOE78:EOJ78"/>
    <mergeCell ref="ELF78:ELK78"/>
    <mergeCell ref="ELM78:ELR78"/>
    <mergeCell ref="ELT78:ELY78"/>
    <mergeCell ref="EMA78:EMF78"/>
    <mergeCell ref="EMH78:EMM78"/>
    <mergeCell ref="EMO78:EMT78"/>
    <mergeCell ref="ETH78:ETM78"/>
    <mergeCell ref="ETO78:ETT78"/>
    <mergeCell ref="ETV78:EUA78"/>
    <mergeCell ref="EUC78:EUH78"/>
    <mergeCell ref="EUJ78:EUO78"/>
    <mergeCell ref="EUQ78:EUV78"/>
    <mergeCell ref="ERR78:ERW78"/>
    <mergeCell ref="ERY78:ESD78"/>
    <mergeCell ref="ESF78:ESK78"/>
    <mergeCell ref="ESM78:ESR78"/>
    <mergeCell ref="EST78:ESY78"/>
    <mergeCell ref="ETA78:ETF78"/>
    <mergeCell ref="EQB78:EQG78"/>
    <mergeCell ref="EQI78:EQN78"/>
    <mergeCell ref="EQP78:EQU78"/>
    <mergeCell ref="EQW78:ERB78"/>
    <mergeCell ref="ERD78:ERI78"/>
    <mergeCell ref="ERK78:ERP78"/>
    <mergeCell ref="EYD78:EYI78"/>
    <mergeCell ref="EYK78:EYP78"/>
    <mergeCell ref="EYR78:EYW78"/>
    <mergeCell ref="EYY78:EZD78"/>
    <mergeCell ref="EZF78:EZK78"/>
    <mergeCell ref="EZM78:EZR78"/>
    <mergeCell ref="EWN78:EWS78"/>
    <mergeCell ref="EWU78:EWZ78"/>
    <mergeCell ref="EXB78:EXG78"/>
    <mergeCell ref="EXI78:EXN78"/>
    <mergeCell ref="EXP78:EXU78"/>
    <mergeCell ref="EXW78:EYB78"/>
    <mergeCell ref="EUX78:EVC78"/>
    <mergeCell ref="EVE78:EVJ78"/>
    <mergeCell ref="EVL78:EVQ78"/>
    <mergeCell ref="EVS78:EVX78"/>
    <mergeCell ref="EVZ78:EWE78"/>
    <mergeCell ref="EWG78:EWL78"/>
    <mergeCell ref="FCZ78:FDE78"/>
    <mergeCell ref="FDG78:FDL78"/>
    <mergeCell ref="FDN78:FDS78"/>
    <mergeCell ref="FDU78:FDZ78"/>
    <mergeCell ref="FEB78:FEG78"/>
    <mergeCell ref="FEI78:FEN78"/>
    <mergeCell ref="FBJ78:FBO78"/>
    <mergeCell ref="FBQ78:FBV78"/>
    <mergeCell ref="FBX78:FCC78"/>
    <mergeCell ref="FCE78:FCJ78"/>
    <mergeCell ref="FCL78:FCQ78"/>
    <mergeCell ref="FCS78:FCX78"/>
    <mergeCell ref="EZT78:EZY78"/>
    <mergeCell ref="FAA78:FAF78"/>
    <mergeCell ref="FAH78:FAM78"/>
    <mergeCell ref="FAO78:FAT78"/>
    <mergeCell ref="FAV78:FBA78"/>
    <mergeCell ref="FBC78:FBH78"/>
    <mergeCell ref="FHV78:FIA78"/>
    <mergeCell ref="FIC78:FIH78"/>
    <mergeCell ref="FIJ78:FIO78"/>
    <mergeCell ref="FIQ78:FIV78"/>
    <mergeCell ref="FIX78:FJC78"/>
    <mergeCell ref="FJE78:FJJ78"/>
    <mergeCell ref="FGF78:FGK78"/>
    <mergeCell ref="FGM78:FGR78"/>
    <mergeCell ref="FGT78:FGY78"/>
    <mergeCell ref="FHA78:FHF78"/>
    <mergeCell ref="FHH78:FHM78"/>
    <mergeCell ref="FHO78:FHT78"/>
    <mergeCell ref="FEP78:FEU78"/>
    <mergeCell ref="FEW78:FFB78"/>
    <mergeCell ref="FFD78:FFI78"/>
    <mergeCell ref="FFK78:FFP78"/>
    <mergeCell ref="FFR78:FFW78"/>
    <mergeCell ref="FFY78:FGD78"/>
    <mergeCell ref="FMR78:FMW78"/>
    <mergeCell ref="FMY78:FND78"/>
    <mergeCell ref="FNF78:FNK78"/>
    <mergeCell ref="FNM78:FNR78"/>
    <mergeCell ref="FNT78:FNY78"/>
    <mergeCell ref="FOA78:FOF78"/>
    <mergeCell ref="FLB78:FLG78"/>
    <mergeCell ref="FLI78:FLN78"/>
    <mergeCell ref="FLP78:FLU78"/>
    <mergeCell ref="FLW78:FMB78"/>
    <mergeCell ref="FMD78:FMI78"/>
    <mergeCell ref="FMK78:FMP78"/>
    <mergeCell ref="FJL78:FJQ78"/>
    <mergeCell ref="FJS78:FJX78"/>
    <mergeCell ref="FJZ78:FKE78"/>
    <mergeCell ref="FKG78:FKL78"/>
    <mergeCell ref="FKN78:FKS78"/>
    <mergeCell ref="FKU78:FKZ78"/>
    <mergeCell ref="FRN78:FRS78"/>
    <mergeCell ref="FRU78:FRZ78"/>
    <mergeCell ref="FSB78:FSG78"/>
    <mergeCell ref="FSI78:FSN78"/>
    <mergeCell ref="FSP78:FSU78"/>
    <mergeCell ref="FSW78:FTB78"/>
    <mergeCell ref="FPX78:FQC78"/>
    <mergeCell ref="FQE78:FQJ78"/>
    <mergeCell ref="FQL78:FQQ78"/>
    <mergeCell ref="FQS78:FQX78"/>
    <mergeCell ref="FQZ78:FRE78"/>
    <mergeCell ref="FRG78:FRL78"/>
    <mergeCell ref="FOH78:FOM78"/>
    <mergeCell ref="FOO78:FOT78"/>
    <mergeCell ref="FOV78:FPA78"/>
    <mergeCell ref="FPC78:FPH78"/>
    <mergeCell ref="FPJ78:FPO78"/>
    <mergeCell ref="FPQ78:FPV78"/>
    <mergeCell ref="FWJ78:FWO78"/>
    <mergeCell ref="FWQ78:FWV78"/>
    <mergeCell ref="FWX78:FXC78"/>
    <mergeCell ref="FXE78:FXJ78"/>
    <mergeCell ref="FXL78:FXQ78"/>
    <mergeCell ref="FXS78:FXX78"/>
    <mergeCell ref="FUT78:FUY78"/>
    <mergeCell ref="FVA78:FVF78"/>
    <mergeCell ref="FVH78:FVM78"/>
    <mergeCell ref="FVO78:FVT78"/>
    <mergeCell ref="FVV78:FWA78"/>
    <mergeCell ref="FWC78:FWH78"/>
    <mergeCell ref="FTD78:FTI78"/>
    <mergeCell ref="FTK78:FTP78"/>
    <mergeCell ref="FTR78:FTW78"/>
    <mergeCell ref="FTY78:FUD78"/>
    <mergeCell ref="FUF78:FUK78"/>
    <mergeCell ref="FUM78:FUR78"/>
    <mergeCell ref="GBF78:GBK78"/>
    <mergeCell ref="GBM78:GBR78"/>
    <mergeCell ref="GBT78:GBY78"/>
    <mergeCell ref="GCA78:GCF78"/>
    <mergeCell ref="GCH78:GCM78"/>
    <mergeCell ref="GCO78:GCT78"/>
    <mergeCell ref="FZP78:FZU78"/>
    <mergeCell ref="FZW78:GAB78"/>
    <mergeCell ref="GAD78:GAI78"/>
    <mergeCell ref="GAK78:GAP78"/>
    <mergeCell ref="GAR78:GAW78"/>
    <mergeCell ref="GAY78:GBD78"/>
    <mergeCell ref="FXZ78:FYE78"/>
    <mergeCell ref="FYG78:FYL78"/>
    <mergeCell ref="FYN78:FYS78"/>
    <mergeCell ref="FYU78:FYZ78"/>
    <mergeCell ref="FZB78:FZG78"/>
    <mergeCell ref="FZI78:FZN78"/>
    <mergeCell ref="GGB78:GGG78"/>
    <mergeCell ref="GGI78:GGN78"/>
    <mergeCell ref="GGP78:GGU78"/>
    <mergeCell ref="GGW78:GHB78"/>
    <mergeCell ref="GHD78:GHI78"/>
    <mergeCell ref="GHK78:GHP78"/>
    <mergeCell ref="GEL78:GEQ78"/>
    <mergeCell ref="GES78:GEX78"/>
    <mergeCell ref="GEZ78:GFE78"/>
    <mergeCell ref="GFG78:GFL78"/>
    <mergeCell ref="GFN78:GFS78"/>
    <mergeCell ref="GFU78:GFZ78"/>
    <mergeCell ref="GCV78:GDA78"/>
    <mergeCell ref="GDC78:GDH78"/>
    <mergeCell ref="GDJ78:GDO78"/>
    <mergeCell ref="GDQ78:GDV78"/>
    <mergeCell ref="GDX78:GEC78"/>
    <mergeCell ref="GEE78:GEJ78"/>
    <mergeCell ref="GKX78:GLC78"/>
    <mergeCell ref="GLE78:GLJ78"/>
    <mergeCell ref="GLL78:GLQ78"/>
    <mergeCell ref="GLS78:GLX78"/>
    <mergeCell ref="GLZ78:GME78"/>
    <mergeCell ref="GMG78:GML78"/>
    <mergeCell ref="GJH78:GJM78"/>
    <mergeCell ref="GJO78:GJT78"/>
    <mergeCell ref="GJV78:GKA78"/>
    <mergeCell ref="GKC78:GKH78"/>
    <mergeCell ref="GKJ78:GKO78"/>
    <mergeCell ref="GKQ78:GKV78"/>
    <mergeCell ref="GHR78:GHW78"/>
    <mergeCell ref="GHY78:GID78"/>
    <mergeCell ref="GIF78:GIK78"/>
    <mergeCell ref="GIM78:GIR78"/>
    <mergeCell ref="GIT78:GIY78"/>
    <mergeCell ref="GJA78:GJF78"/>
    <mergeCell ref="GPT78:GPY78"/>
    <mergeCell ref="GQA78:GQF78"/>
    <mergeCell ref="GQH78:GQM78"/>
    <mergeCell ref="GQO78:GQT78"/>
    <mergeCell ref="GQV78:GRA78"/>
    <mergeCell ref="GRC78:GRH78"/>
    <mergeCell ref="GOD78:GOI78"/>
    <mergeCell ref="GOK78:GOP78"/>
    <mergeCell ref="GOR78:GOW78"/>
    <mergeCell ref="GOY78:GPD78"/>
    <mergeCell ref="GPF78:GPK78"/>
    <mergeCell ref="GPM78:GPR78"/>
    <mergeCell ref="GMN78:GMS78"/>
    <mergeCell ref="GMU78:GMZ78"/>
    <mergeCell ref="GNB78:GNG78"/>
    <mergeCell ref="GNI78:GNN78"/>
    <mergeCell ref="GNP78:GNU78"/>
    <mergeCell ref="GNW78:GOB78"/>
    <mergeCell ref="GUP78:GUU78"/>
    <mergeCell ref="GUW78:GVB78"/>
    <mergeCell ref="GVD78:GVI78"/>
    <mergeCell ref="GVK78:GVP78"/>
    <mergeCell ref="GVR78:GVW78"/>
    <mergeCell ref="GVY78:GWD78"/>
    <mergeCell ref="GSZ78:GTE78"/>
    <mergeCell ref="GTG78:GTL78"/>
    <mergeCell ref="GTN78:GTS78"/>
    <mergeCell ref="GTU78:GTZ78"/>
    <mergeCell ref="GUB78:GUG78"/>
    <mergeCell ref="GUI78:GUN78"/>
    <mergeCell ref="GRJ78:GRO78"/>
    <mergeCell ref="GRQ78:GRV78"/>
    <mergeCell ref="GRX78:GSC78"/>
    <mergeCell ref="GSE78:GSJ78"/>
    <mergeCell ref="GSL78:GSQ78"/>
    <mergeCell ref="GSS78:GSX78"/>
    <mergeCell ref="GZL78:GZQ78"/>
    <mergeCell ref="GZS78:GZX78"/>
    <mergeCell ref="GZZ78:HAE78"/>
    <mergeCell ref="HAG78:HAL78"/>
    <mergeCell ref="HAN78:HAS78"/>
    <mergeCell ref="HAU78:HAZ78"/>
    <mergeCell ref="GXV78:GYA78"/>
    <mergeCell ref="GYC78:GYH78"/>
    <mergeCell ref="GYJ78:GYO78"/>
    <mergeCell ref="GYQ78:GYV78"/>
    <mergeCell ref="GYX78:GZC78"/>
    <mergeCell ref="GZE78:GZJ78"/>
    <mergeCell ref="GWF78:GWK78"/>
    <mergeCell ref="GWM78:GWR78"/>
    <mergeCell ref="GWT78:GWY78"/>
    <mergeCell ref="GXA78:GXF78"/>
    <mergeCell ref="GXH78:GXM78"/>
    <mergeCell ref="GXO78:GXT78"/>
    <mergeCell ref="HEH78:HEM78"/>
    <mergeCell ref="HEO78:HET78"/>
    <mergeCell ref="HEV78:HFA78"/>
    <mergeCell ref="HFC78:HFH78"/>
    <mergeCell ref="HFJ78:HFO78"/>
    <mergeCell ref="HFQ78:HFV78"/>
    <mergeCell ref="HCR78:HCW78"/>
    <mergeCell ref="HCY78:HDD78"/>
    <mergeCell ref="HDF78:HDK78"/>
    <mergeCell ref="HDM78:HDR78"/>
    <mergeCell ref="HDT78:HDY78"/>
    <mergeCell ref="HEA78:HEF78"/>
    <mergeCell ref="HBB78:HBG78"/>
    <mergeCell ref="HBI78:HBN78"/>
    <mergeCell ref="HBP78:HBU78"/>
    <mergeCell ref="HBW78:HCB78"/>
    <mergeCell ref="HCD78:HCI78"/>
    <mergeCell ref="HCK78:HCP78"/>
    <mergeCell ref="HJD78:HJI78"/>
    <mergeCell ref="HJK78:HJP78"/>
    <mergeCell ref="HJR78:HJW78"/>
    <mergeCell ref="HJY78:HKD78"/>
    <mergeCell ref="HKF78:HKK78"/>
    <mergeCell ref="HKM78:HKR78"/>
    <mergeCell ref="HHN78:HHS78"/>
    <mergeCell ref="HHU78:HHZ78"/>
    <mergeCell ref="HIB78:HIG78"/>
    <mergeCell ref="HII78:HIN78"/>
    <mergeCell ref="HIP78:HIU78"/>
    <mergeCell ref="HIW78:HJB78"/>
    <mergeCell ref="HFX78:HGC78"/>
    <mergeCell ref="HGE78:HGJ78"/>
    <mergeCell ref="HGL78:HGQ78"/>
    <mergeCell ref="HGS78:HGX78"/>
    <mergeCell ref="HGZ78:HHE78"/>
    <mergeCell ref="HHG78:HHL78"/>
    <mergeCell ref="HNZ78:HOE78"/>
    <mergeCell ref="HOG78:HOL78"/>
    <mergeCell ref="HON78:HOS78"/>
    <mergeCell ref="HOU78:HOZ78"/>
    <mergeCell ref="HPB78:HPG78"/>
    <mergeCell ref="HPI78:HPN78"/>
    <mergeCell ref="HMJ78:HMO78"/>
    <mergeCell ref="HMQ78:HMV78"/>
    <mergeCell ref="HMX78:HNC78"/>
    <mergeCell ref="HNE78:HNJ78"/>
    <mergeCell ref="HNL78:HNQ78"/>
    <mergeCell ref="HNS78:HNX78"/>
    <mergeCell ref="HKT78:HKY78"/>
    <mergeCell ref="HLA78:HLF78"/>
    <mergeCell ref="HLH78:HLM78"/>
    <mergeCell ref="HLO78:HLT78"/>
    <mergeCell ref="HLV78:HMA78"/>
    <mergeCell ref="HMC78:HMH78"/>
    <mergeCell ref="HSV78:HTA78"/>
    <mergeCell ref="HTC78:HTH78"/>
    <mergeCell ref="HTJ78:HTO78"/>
    <mergeCell ref="HTQ78:HTV78"/>
    <mergeCell ref="HTX78:HUC78"/>
    <mergeCell ref="HUE78:HUJ78"/>
    <mergeCell ref="HRF78:HRK78"/>
    <mergeCell ref="HRM78:HRR78"/>
    <mergeCell ref="HRT78:HRY78"/>
    <mergeCell ref="HSA78:HSF78"/>
    <mergeCell ref="HSH78:HSM78"/>
    <mergeCell ref="HSO78:HST78"/>
    <mergeCell ref="HPP78:HPU78"/>
    <mergeCell ref="HPW78:HQB78"/>
    <mergeCell ref="HQD78:HQI78"/>
    <mergeCell ref="HQK78:HQP78"/>
    <mergeCell ref="HQR78:HQW78"/>
    <mergeCell ref="HQY78:HRD78"/>
    <mergeCell ref="HXR78:HXW78"/>
    <mergeCell ref="HXY78:HYD78"/>
    <mergeCell ref="HYF78:HYK78"/>
    <mergeCell ref="HYM78:HYR78"/>
    <mergeCell ref="HYT78:HYY78"/>
    <mergeCell ref="HZA78:HZF78"/>
    <mergeCell ref="HWB78:HWG78"/>
    <mergeCell ref="HWI78:HWN78"/>
    <mergeCell ref="HWP78:HWU78"/>
    <mergeCell ref="HWW78:HXB78"/>
    <mergeCell ref="HXD78:HXI78"/>
    <mergeCell ref="HXK78:HXP78"/>
    <mergeCell ref="HUL78:HUQ78"/>
    <mergeCell ref="HUS78:HUX78"/>
    <mergeCell ref="HUZ78:HVE78"/>
    <mergeCell ref="HVG78:HVL78"/>
    <mergeCell ref="HVN78:HVS78"/>
    <mergeCell ref="HVU78:HVZ78"/>
    <mergeCell ref="ICN78:ICS78"/>
    <mergeCell ref="ICU78:ICZ78"/>
    <mergeCell ref="IDB78:IDG78"/>
    <mergeCell ref="IDI78:IDN78"/>
    <mergeCell ref="IDP78:IDU78"/>
    <mergeCell ref="IDW78:IEB78"/>
    <mergeCell ref="IAX78:IBC78"/>
    <mergeCell ref="IBE78:IBJ78"/>
    <mergeCell ref="IBL78:IBQ78"/>
    <mergeCell ref="IBS78:IBX78"/>
    <mergeCell ref="IBZ78:ICE78"/>
    <mergeCell ref="ICG78:ICL78"/>
    <mergeCell ref="HZH78:HZM78"/>
    <mergeCell ref="HZO78:HZT78"/>
    <mergeCell ref="HZV78:IAA78"/>
    <mergeCell ref="IAC78:IAH78"/>
    <mergeCell ref="IAJ78:IAO78"/>
    <mergeCell ref="IAQ78:IAV78"/>
    <mergeCell ref="IHJ78:IHO78"/>
    <mergeCell ref="IHQ78:IHV78"/>
    <mergeCell ref="IHX78:IIC78"/>
    <mergeCell ref="IIE78:IIJ78"/>
    <mergeCell ref="IIL78:IIQ78"/>
    <mergeCell ref="IIS78:IIX78"/>
    <mergeCell ref="IFT78:IFY78"/>
    <mergeCell ref="IGA78:IGF78"/>
    <mergeCell ref="IGH78:IGM78"/>
    <mergeCell ref="IGO78:IGT78"/>
    <mergeCell ref="IGV78:IHA78"/>
    <mergeCell ref="IHC78:IHH78"/>
    <mergeCell ref="IED78:IEI78"/>
    <mergeCell ref="IEK78:IEP78"/>
    <mergeCell ref="IER78:IEW78"/>
    <mergeCell ref="IEY78:IFD78"/>
    <mergeCell ref="IFF78:IFK78"/>
    <mergeCell ref="IFM78:IFR78"/>
    <mergeCell ref="IMF78:IMK78"/>
    <mergeCell ref="IMM78:IMR78"/>
    <mergeCell ref="IMT78:IMY78"/>
    <mergeCell ref="INA78:INF78"/>
    <mergeCell ref="INH78:INM78"/>
    <mergeCell ref="INO78:INT78"/>
    <mergeCell ref="IKP78:IKU78"/>
    <mergeCell ref="IKW78:ILB78"/>
    <mergeCell ref="ILD78:ILI78"/>
    <mergeCell ref="ILK78:ILP78"/>
    <mergeCell ref="ILR78:ILW78"/>
    <mergeCell ref="ILY78:IMD78"/>
    <mergeCell ref="IIZ78:IJE78"/>
    <mergeCell ref="IJG78:IJL78"/>
    <mergeCell ref="IJN78:IJS78"/>
    <mergeCell ref="IJU78:IJZ78"/>
    <mergeCell ref="IKB78:IKG78"/>
    <mergeCell ref="IKI78:IKN78"/>
    <mergeCell ref="IRB78:IRG78"/>
    <mergeCell ref="IRI78:IRN78"/>
    <mergeCell ref="IRP78:IRU78"/>
    <mergeCell ref="IRW78:ISB78"/>
    <mergeCell ref="ISD78:ISI78"/>
    <mergeCell ref="ISK78:ISP78"/>
    <mergeCell ref="IPL78:IPQ78"/>
    <mergeCell ref="IPS78:IPX78"/>
    <mergeCell ref="IPZ78:IQE78"/>
    <mergeCell ref="IQG78:IQL78"/>
    <mergeCell ref="IQN78:IQS78"/>
    <mergeCell ref="IQU78:IQZ78"/>
    <mergeCell ref="INV78:IOA78"/>
    <mergeCell ref="IOC78:IOH78"/>
    <mergeCell ref="IOJ78:IOO78"/>
    <mergeCell ref="IOQ78:IOV78"/>
    <mergeCell ref="IOX78:IPC78"/>
    <mergeCell ref="IPE78:IPJ78"/>
    <mergeCell ref="IVX78:IWC78"/>
    <mergeCell ref="IWE78:IWJ78"/>
    <mergeCell ref="IWL78:IWQ78"/>
    <mergeCell ref="IWS78:IWX78"/>
    <mergeCell ref="IWZ78:IXE78"/>
    <mergeCell ref="IXG78:IXL78"/>
    <mergeCell ref="IUH78:IUM78"/>
    <mergeCell ref="IUO78:IUT78"/>
    <mergeCell ref="IUV78:IVA78"/>
    <mergeCell ref="IVC78:IVH78"/>
    <mergeCell ref="IVJ78:IVO78"/>
    <mergeCell ref="IVQ78:IVV78"/>
    <mergeCell ref="ISR78:ISW78"/>
    <mergeCell ref="ISY78:ITD78"/>
    <mergeCell ref="ITF78:ITK78"/>
    <mergeCell ref="ITM78:ITR78"/>
    <mergeCell ref="ITT78:ITY78"/>
    <mergeCell ref="IUA78:IUF78"/>
    <mergeCell ref="JAT78:JAY78"/>
    <mergeCell ref="JBA78:JBF78"/>
    <mergeCell ref="JBH78:JBM78"/>
    <mergeCell ref="JBO78:JBT78"/>
    <mergeCell ref="JBV78:JCA78"/>
    <mergeCell ref="JCC78:JCH78"/>
    <mergeCell ref="IZD78:IZI78"/>
    <mergeCell ref="IZK78:IZP78"/>
    <mergeCell ref="IZR78:IZW78"/>
    <mergeCell ref="IZY78:JAD78"/>
    <mergeCell ref="JAF78:JAK78"/>
    <mergeCell ref="JAM78:JAR78"/>
    <mergeCell ref="IXN78:IXS78"/>
    <mergeCell ref="IXU78:IXZ78"/>
    <mergeCell ref="IYB78:IYG78"/>
    <mergeCell ref="IYI78:IYN78"/>
    <mergeCell ref="IYP78:IYU78"/>
    <mergeCell ref="IYW78:IZB78"/>
    <mergeCell ref="JFP78:JFU78"/>
    <mergeCell ref="JFW78:JGB78"/>
    <mergeCell ref="JGD78:JGI78"/>
    <mergeCell ref="JGK78:JGP78"/>
    <mergeCell ref="JGR78:JGW78"/>
    <mergeCell ref="JGY78:JHD78"/>
    <mergeCell ref="JDZ78:JEE78"/>
    <mergeCell ref="JEG78:JEL78"/>
    <mergeCell ref="JEN78:JES78"/>
    <mergeCell ref="JEU78:JEZ78"/>
    <mergeCell ref="JFB78:JFG78"/>
    <mergeCell ref="JFI78:JFN78"/>
    <mergeCell ref="JCJ78:JCO78"/>
    <mergeCell ref="JCQ78:JCV78"/>
    <mergeCell ref="JCX78:JDC78"/>
    <mergeCell ref="JDE78:JDJ78"/>
    <mergeCell ref="JDL78:JDQ78"/>
    <mergeCell ref="JDS78:JDX78"/>
    <mergeCell ref="JKL78:JKQ78"/>
    <mergeCell ref="JKS78:JKX78"/>
    <mergeCell ref="JKZ78:JLE78"/>
    <mergeCell ref="JLG78:JLL78"/>
    <mergeCell ref="JLN78:JLS78"/>
    <mergeCell ref="JLU78:JLZ78"/>
    <mergeCell ref="JIV78:JJA78"/>
    <mergeCell ref="JJC78:JJH78"/>
    <mergeCell ref="JJJ78:JJO78"/>
    <mergeCell ref="JJQ78:JJV78"/>
    <mergeCell ref="JJX78:JKC78"/>
    <mergeCell ref="JKE78:JKJ78"/>
    <mergeCell ref="JHF78:JHK78"/>
    <mergeCell ref="JHM78:JHR78"/>
    <mergeCell ref="JHT78:JHY78"/>
    <mergeCell ref="JIA78:JIF78"/>
    <mergeCell ref="JIH78:JIM78"/>
    <mergeCell ref="JIO78:JIT78"/>
    <mergeCell ref="JPH78:JPM78"/>
    <mergeCell ref="JPO78:JPT78"/>
    <mergeCell ref="JPV78:JQA78"/>
    <mergeCell ref="JQC78:JQH78"/>
    <mergeCell ref="JQJ78:JQO78"/>
    <mergeCell ref="JQQ78:JQV78"/>
    <mergeCell ref="JNR78:JNW78"/>
    <mergeCell ref="JNY78:JOD78"/>
    <mergeCell ref="JOF78:JOK78"/>
    <mergeCell ref="JOM78:JOR78"/>
    <mergeCell ref="JOT78:JOY78"/>
    <mergeCell ref="JPA78:JPF78"/>
    <mergeCell ref="JMB78:JMG78"/>
    <mergeCell ref="JMI78:JMN78"/>
    <mergeCell ref="JMP78:JMU78"/>
    <mergeCell ref="JMW78:JNB78"/>
    <mergeCell ref="JND78:JNI78"/>
    <mergeCell ref="JNK78:JNP78"/>
    <mergeCell ref="JUD78:JUI78"/>
    <mergeCell ref="JUK78:JUP78"/>
    <mergeCell ref="JUR78:JUW78"/>
    <mergeCell ref="JUY78:JVD78"/>
    <mergeCell ref="JVF78:JVK78"/>
    <mergeCell ref="JVM78:JVR78"/>
    <mergeCell ref="JSN78:JSS78"/>
    <mergeCell ref="JSU78:JSZ78"/>
    <mergeCell ref="JTB78:JTG78"/>
    <mergeCell ref="JTI78:JTN78"/>
    <mergeCell ref="JTP78:JTU78"/>
    <mergeCell ref="JTW78:JUB78"/>
    <mergeCell ref="JQX78:JRC78"/>
    <mergeCell ref="JRE78:JRJ78"/>
    <mergeCell ref="JRL78:JRQ78"/>
    <mergeCell ref="JRS78:JRX78"/>
    <mergeCell ref="JRZ78:JSE78"/>
    <mergeCell ref="JSG78:JSL78"/>
    <mergeCell ref="JYZ78:JZE78"/>
    <mergeCell ref="JZG78:JZL78"/>
    <mergeCell ref="JZN78:JZS78"/>
    <mergeCell ref="JZU78:JZZ78"/>
    <mergeCell ref="KAB78:KAG78"/>
    <mergeCell ref="KAI78:KAN78"/>
    <mergeCell ref="JXJ78:JXO78"/>
    <mergeCell ref="JXQ78:JXV78"/>
    <mergeCell ref="JXX78:JYC78"/>
    <mergeCell ref="JYE78:JYJ78"/>
    <mergeCell ref="JYL78:JYQ78"/>
    <mergeCell ref="JYS78:JYX78"/>
    <mergeCell ref="JVT78:JVY78"/>
    <mergeCell ref="JWA78:JWF78"/>
    <mergeCell ref="JWH78:JWM78"/>
    <mergeCell ref="JWO78:JWT78"/>
    <mergeCell ref="JWV78:JXA78"/>
    <mergeCell ref="JXC78:JXH78"/>
    <mergeCell ref="KDV78:KEA78"/>
    <mergeCell ref="KEC78:KEH78"/>
    <mergeCell ref="KEJ78:KEO78"/>
    <mergeCell ref="KEQ78:KEV78"/>
    <mergeCell ref="KEX78:KFC78"/>
    <mergeCell ref="KFE78:KFJ78"/>
    <mergeCell ref="KCF78:KCK78"/>
    <mergeCell ref="KCM78:KCR78"/>
    <mergeCell ref="KCT78:KCY78"/>
    <mergeCell ref="KDA78:KDF78"/>
    <mergeCell ref="KDH78:KDM78"/>
    <mergeCell ref="KDO78:KDT78"/>
    <mergeCell ref="KAP78:KAU78"/>
    <mergeCell ref="KAW78:KBB78"/>
    <mergeCell ref="KBD78:KBI78"/>
    <mergeCell ref="KBK78:KBP78"/>
    <mergeCell ref="KBR78:KBW78"/>
    <mergeCell ref="KBY78:KCD78"/>
    <mergeCell ref="KIR78:KIW78"/>
    <mergeCell ref="KIY78:KJD78"/>
    <mergeCell ref="KJF78:KJK78"/>
    <mergeCell ref="KJM78:KJR78"/>
    <mergeCell ref="KJT78:KJY78"/>
    <mergeCell ref="KKA78:KKF78"/>
    <mergeCell ref="KHB78:KHG78"/>
    <mergeCell ref="KHI78:KHN78"/>
    <mergeCell ref="KHP78:KHU78"/>
    <mergeCell ref="KHW78:KIB78"/>
    <mergeCell ref="KID78:KII78"/>
    <mergeCell ref="KIK78:KIP78"/>
    <mergeCell ref="KFL78:KFQ78"/>
    <mergeCell ref="KFS78:KFX78"/>
    <mergeCell ref="KFZ78:KGE78"/>
    <mergeCell ref="KGG78:KGL78"/>
    <mergeCell ref="KGN78:KGS78"/>
    <mergeCell ref="KGU78:KGZ78"/>
    <mergeCell ref="KNN78:KNS78"/>
    <mergeCell ref="KNU78:KNZ78"/>
    <mergeCell ref="KOB78:KOG78"/>
    <mergeCell ref="KOI78:KON78"/>
    <mergeCell ref="KOP78:KOU78"/>
    <mergeCell ref="KOW78:KPB78"/>
    <mergeCell ref="KLX78:KMC78"/>
    <mergeCell ref="KME78:KMJ78"/>
    <mergeCell ref="KML78:KMQ78"/>
    <mergeCell ref="KMS78:KMX78"/>
    <mergeCell ref="KMZ78:KNE78"/>
    <mergeCell ref="KNG78:KNL78"/>
    <mergeCell ref="KKH78:KKM78"/>
    <mergeCell ref="KKO78:KKT78"/>
    <mergeCell ref="KKV78:KLA78"/>
    <mergeCell ref="KLC78:KLH78"/>
    <mergeCell ref="KLJ78:KLO78"/>
    <mergeCell ref="KLQ78:KLV78"/>
    <mergeCell ref="KSJ78:KSO78"/>
    <mergeCell ref="KSQ78:KSV78"/>
    <mergeCell ref="KSX78:KTC78"/>
    <mergeCell ref="KTE78:KTJ78"/>
    <mergeCell ref="KTL78:KTQ78"/>
    <mergeCell ref="KTS78:KTX78"/>
    <mergeCell ref="KQT78:KQY78"/>
    <mergeCell ref="KRA78:KRF78"/>
    <mergeCell ref="KRH78:KRM78"/>
    <mergeCell ref="KRO78:KRT78"/>
    <mergeCell ref="KRV78:KSA78"/>
    <mergeCell ref="KSC78:KSH78"/>
    <mergeCell ref="KPD78:KPI78"/>
    <mergeCell ref="KPK78:KPP78"/>
    <mergeCell ref="KPR78:KPW78"/>
    <mergeCell ref="KPY78:KQD78"/>
    <mergeCell ref="KQF78:KQK78"/>
    <mergeCell ref="KQM78:KQR78"/>
    <mergeCell ref="KXF78:KXK78"/>
    <mergeCell ref="KXM78:KXR78"/>
    <mergeCell ref="KXT78:KXY78"/>
    <mergeCell ref="KYA78:KYF78"/>
    <mergeCell ref="KYH78:KYM78"/>
    <mergeCell ref="KYO78:KYT78"/>
    <mergeCell ref="KVP78:KVU78"/>
    <mergeCell ref="KVW78:KWB78"/>
    <mergeCell ref="KWD78:KWI78"/>
    <mergeCell ref="KWK78:KWP78"/>
    <mergeCell ref="KWR78:KWW78"/>
    <mergeCell ref="KWY78:KXD78"/>
    <mergeCell ref="KTZ78:KUE78"/>
    <mergeCell ref="KUG78:KUL78"/>
    <mergeCell ref="KUN78:KUS78"/>
    <mergeCell ref="KUU78:KUZ78"/>
    <mergeCell ref="KVB78:KVG78"/>
    <mergeCell ref="KVI78:KVN78"/>
    <mergeCell ref="LCB78:LCG78"/>
    <mergeCell ref="LCI78:LCN78"/>
    <mergeCell ref="LCP78:LCU78"/>
    <mergeCell ref="LCW78:LDB78"/>
    <mergeCell ref="LDD78:LDI78"/>
    <mergeCell ref="LDK78:LDP78"/>
    <mergeCell ref="LAL78:LAQ78"/>
    <mergeCell ref="LAS78:LAX78"/>
    <mergeCell ref="LAZ78:LBE78"/>
    <mergeCell ref="LBG78:LBL78"/>
    <mergeCell ref="LBN78:LBS78"/>
    <mergeCell ref="LBU78:LBZ78"/>
    <mergeCell ref="KYV78:KZA78"/>
    <mergeCell ref="KZC78:KZH78"/>
    <mergeCell ref="KZJ78:KZO78"/>
    <mergeCell ref="KZQ78:KZV78"/>
    <mergeCell ref="KZX78:LAC78"/>
    <mergeCell ref="LAE78:LAJ78"/>
    <mergeCell ref="LGX78:LHC78"/>
    <mergeCell ref="LHE78:LHJ78"/>
    <mergeCell ref="LHL78:LHQ78"/>
    <mergeCell ref="LHS78:LHX78"/>
    <mergeCell ref="LHZ78:LIE78"/>
    <mergeCell ref="LIG78:LIL78"/>
    <mergeCell ref="LFH78:LFM78"/>
    <mergeCell ref="LFO78:LFT78"/>
    <mergeCell ref="LFV78:LGA78"/>
    <mergeCell ref="LGC78:LGH78"/>
    <mergeCell ref="LGJ78:LGO78"/>
    <mergeCell ref="LGQ78:LGV78"/>
    <mergeCell ref="LDR78:LDW78"/>
    <mergeCell ref="LDY78:LED78"/>
    <mergeCell ref="LEF78:LEK78"/>
    <mergeCell ref="LEM78:LER78"/>
    <mergeCell ref="LET78:LEY78"/>
    <mergeCell ref="LFA78:LFF78"/>
    <mergeCell ref="LLT78:LLY78"/>
    <mergeCell ref="LMA78:LMF78"/>
    <mergeCell ref="LMH78:LMM78"/>
    <mergeCell ref="LMO78:LMT78"/>
    <mergeCell ref="LMV78:LNA78"/>
    <mergeCell ref="LNC78:LNH78"/>
    <mergeCell ref="LKD78:LKI78"/>
    <mergeCell ref="LKK78:LKP78"/>
    <mergeCell ref="LKR78:LKW78"/>
    <mergeCell ref="LKY78:LLD78"/>
    <mergeCell ref="LLF78:LLK78"/>
    <mergeCell ref="LLM78:LLR78"/>
    <mergeCell ref="LIN78:LIS78"/>
    <mergeCell ref="LIU78:LIZ78"/>
    <mergeCell ref="LJB78:LJG78"/>
    <mergeCell ref="LJI78:LJN78"/>
    <mergeCell ref="LJP78:LJU78"/>
    <mergeCell ref="LJW78:LKB78"/>
    <mergeCell ref="LQP78:LQU78"/>
    <mergeCell ref="LQW78:LRB78"/>
    <mergeCell ref="LRD78:LRI78"/>
    <mergeCell ref="LRK78:LRP78"/>
    <mergeCell ref="LRR78:LRW78"/>
    <mergeCell ref="LRY78:LSD78"/>
    <mergeCell ref="LOZ78:LPE78"/>
    <mergeCell ref="LPG78:LPL78"/>
    <mergeCell ref="LPN78:LPS78"/>
    <mergeCell ref="LPU78:LPZ78"/>
    <mergeCell ref="LQB78:LQG78"/>
    <mergeCell ref="LQI78:LQN78"/>
    <mergeCell ref="LNJ78:LNO78"/>
    <mergeCell ref="LNQ78:LNV78"/>
    <mergeCell ref="LNX78:LOC78"/>
    <mergeCell ref="LOE78:LOJ78"/>
    <mergeCell ref="LOL78:LOQ78"/>
    <mergeCell ref="LOS78:LOX78"/>
    <mergeCell ref="LVL78:LVQ78"/>
    <mergeCell ref="LVS78:LVX78"/>
    <mergeCell ref="LVZ78:LWE78"/>
    <mergeCell ref="LWG78:LWL78"/>
    <mergeCell ref="LWN78:LWS78"/>
    <mergeCell ref="LWU78:LWZ78"/>
    <mergeCell ref="LTV78:LUA78"/>
    <mergeCell ref="LUC78:LUH78"/>
    <mergeCell ref="LUJ78:LUO78"/>
    <mergeCell ref="LUQ78:LUV78"/>
    <mergeCell ref="LUX78:LVC78"/>
    <mergeCell ref="LVE78:LVJ78"/>
    <mergeCell ref="LSF78:LSK78"/>
    <mergeCell ref="LSM78:LSR78"/>
    <mergeCell ref="LST78:LSY78"/>
    <mergeCell ref="LTA78:LTF78"/>
    <mergeCell ref="LTH78:LTM78"/>
    <mergeCell ref="LTO78:LTT78"/>
    <mergeCell ref="MAH78:MAM78"/>
    <mergeCell ref="MAO78:MAT78"/>
    <mergeCell ref="MAV78:MBA78"/>
    <mergeCell ref="MBC78:MBH78"/>
    <mergeCell ref="MBJ78:MBO78"/>
    <mergeCell ref="MBQ78:MBV78"/>
    <mergeCell ref="LYR78:LYW78"/>
    <mergeCell ref="LYY78:LZD78"/>
    <mergeCell ref="LZF78:LZK78"/>
    <mergeCell ref="LZM78:LZR78"/>
    <mergeCell ref="LZT78:LZY78"/>
    <mergeCell ref="MAA78:MAF78"/>
    <mergeCell ref="LXB78:LXG78"/>
    <mergeCell ref="LXI78:LXN78"/>
    <mergeCell ref="LXP78:LXU78"/>
    <mergeCell ref="LXW78:LYB78"/>
    <mergeCell ref="LYD78:LYI78"/>
    <mergeCell ref="LYK78:LYP78"/>
    <mergeCell ref="MFD78:MFI78"/>
    <mergeCell ref="MFK78:MFP78"/>
    <mergeCell ref="MFR78:MFW78"/>
    <mergeCell ref="MFY78:MGD78"/>
    <mergeCell ref="MGF78:MGK78"/>
    <mergeCell ref="MGM78:MGR78"/>
    <mergeCell ref="MDN78:MDS78"/>
    <mergeCell ref="MDU78:MDZ78"/>
    <mergeCell ref="MEB78:MEG78"/>
    <mergeCell ref="MEI78:MEN78"/>
    <mergeCell ref="MEP78:MEU78"/>
    <mergeCell ref="MEW78:MFB78"/>
    <mergeCell ref="MBX78:MCC78"/>
    <mergeCell ref="MCE78:MCJ78"/>
    <mergeCell ref="MCL78:MCQ78"/>
    <mergeCell ref="MCS78:MCX78"/>
    <mergeCell ref="MCZ78:MDE78"/>
    <mergeCell ref="MDG78:MDL78"/>
    <mergeCell ref="MJZ78:MKE78"/>
    <mergeCell ref="MKG78:MKL78"/>
    <mergeCell ref="MKN78:MKS78"/>
    <mergeCell ref="MKU78:MKZ78"/>
    <mergeCell ref="MLB78:MLG78"/>
    <mergeCell ref="MLI78:MLN78"/>
    <mergeCell ref="MIJ78:MIO78"/>
    <mergeCell ref="MIQ78:MIV78"/>
    <mergeCell ref="MIX78:MJC78"/>
    <mergeCell ref="MJE78:MJJ78"/>
    <mergeCell ref="MJL78:MJQ78"/>
    <mergeCell ref="MJS78:MJX78"/>
    <mergeCell ref="MGT78:MGY78"/>
    <mergeCell ref="MHA78:MHF78"/>
    <mergeCell ref="MHH78:MHM78"/>
    <mergeCell ref="MHO78:MHT78"/>
    <mergeCell ref="MHV78:MIA78"/>
    <mergeCell ref="MIC78:MIH78"/>
    <mergeCell ref="MOV78:MPA78"/>
    <mergeCell ref="MPC78:MPH78"/>
    <mergeCell ref="MPJ78:MPO78"/>
    <mergeCell ref="MPQ78:MPV78"/>
    <mergeCell ref="MPX78:MQC78"/>
    <mergeCell ref="MQE78:MQJ78"/>
    <mergeCell ref="MNF78:MNK78"/>
    <mergeCell ref="MNM78:MNR78"/>
    <mergeCell ref="MNT78:MNY78"/>
    <mergeCell ref="MOA78:MOF78"/>
    <mergeCell ref="MOH78:MOM78"/>
    <mergeCell ref="MOO78:MOT78"/>
    <mergeCell ref="MLP78:MLU78"/>
    <mergeCell ref="MLW78:MMB78"/>
    <mergeCell ref="MMD78:MMI78"/>
    <mergeCell ref="MMK78:MMP78"/>
    <mergeCell ref="MMR78:MMW78"/>
    <mergeCell ref="MMY78:MND78"/>
    <mergeCell ref="MTR78:MTW78"/>
    <mergeCell ref="MTY78:MUD78"/>
    <mergeCell ref="MUF78:MUK78"/>
    <mergeCell ref="MUM78:MUR78"/>
    <mergeCell ref="MUT78:MUY78"/>
    <mergeCell ref="MVA78:MVF78"/>
    <mergeCell ref="MSB78:MSG78"/>
    <mergeCell ref="MSI78:MSN78"/>
    <mergeCell ref="MSP78:MSU78"/>
    <mergeCell ref="MSW78:MTB78"/>
    <mergeCell ref="MTD78:MTI78"/>
    <mergeCell ref="MTK78:MTP78"/>
    <mergeCell ref="MQL78:MQQ78"/>
    <mergeCell ref="MQS78:MQX78"/>
    <mergeCell ref="MQZ78:MRE78"/>
    <mergeCell ref="MRG78:MRL78"/>
    <mergeCell ref="MRN78:MRS78"/>
    <mergeCell ref="MRU78:MRZ78"/>
    <mergeCell ref="MYN78:MYS78"/>
    <mergeCell ref="MYU78:MYZ78"/>
    <mergeCell ref="MZB78:MZG78"/>
    <mergeCell ref="MZI78:MZN78"/>
    <mergeCell ref="MZP78:MZU78"/>
    <mergeCell ref="MZW78:NAB78"/>
    <mergeCell ref="MWX78:MXC78"/>
    <mergeCell ref="MXE78:MXJ78"/>
    <mergeCell ref="MXL78:MXQ78"/>
    <mergeCell ref="MXS78:MXX78"/>
    <mergeCell ref="MXZ78:MYE78"/>
    <mergeCell ref="MYG78:MYL78"/>
    <mergeCell ref="MVH78:MVM78"/>
    <mergeCell ref="MVO78:MVT78"/>
    <mergeCell ref="MVV78:MWA78"/>
    <mergeCell ref="MWC78:MWH78"/>
    <mergeCell ref="MWJ78:MWO78"/>
    <mergeCell ref="MWQ78:MWV78"/>
    <mergeCell ref="NDJ78:NDO78"/>
    <mergeCell ref="NDQ78:NDV78"/>
    <mergeCell ref="NDX78:NEC78"/>
    <mergeCell ref="NEE78:NEJ78"/>
    <mergeCell ref="NEL78:NEQ78"/>
    <mergeCell ref="NES78:NEX78"/>
    <mergeCell ref="NBT78:NBY78"/>
    <mergeCell ref="NCA78:NCF78"/>
    <mergeCell ref="NCH78:NCM78"/>
    <mergeCell ref="NCO78:NCT78"/>
    <mergeCell ref="NCV78:NDA78"/>
    <mergeCell ref="NDC78:NDH78"/>
    <mergeCell ref="NAD78:NAI78"/>
    <mergeCell ref="NAK78:NAP78"/>
    <mergeCell ref="NAR78:NAW78"/>
    <mergeCell ref="NAY78:NBD78"/>
    <mergeCell ref="NBF78:NBK78"/>
    <mergeCell ref="NBM78:NBR78"/>
    <mergeCell ref="NIF78:NIK78"/>
    <mergeCell ref="NIM78:NIR78"/>
    <mergeCell ref="NIT78:NIY78"/>
    <mergeCell ref="NJA78:NJF78"/>
    <mergeCell ref="NJH78:NJM78"/>
    <mergeCell ref="NJO78:NJT78"/>
    <mergeCell ref="NGP78:NGU78"/>
    <mergeCell ref="NGW78:NHB78"/>
    <mergeCell ref="NHD78:NHI78"/>
    <mergeCell ref="NHK78:NHP78"/>
    <mergeCell ref="NHR78:NHW78"/>
    <mergeCell ref="NHY78:NID78"/>
    <mergeCell ref="NEZ78:NFE78"/>
    <mergeCell ref="NFG78:NFL78"/>
    <mergeCell ref="NFN78:NFS78"/>
    <mergeCell ref="NFU78:NFZ78"/>
    <mergeCell ref="NGB78:NGG78"/>
    <mergeCell ref="NGI78:NGN78"/>
    <mergeCell ref="NNB78:NNG78"/>
    <mergeCell ref="NNI78:NNN78"/>
    <mergeCell ref="NNP78:NNU78"/>
    <mergeCell ref="NNW78:NOB78"/>
    <mergeCell ref="NOD78:NOI78"/>
    <mergeCell ref="NOK78:NOP78"/>
    <mergeCell ref="NLL78:NLQ78"/>
    <mergeCell ref="NLS78:NLX78"/>
    <mergeCell ref="NLZ78:NME78"/>
    <mergeCell ref="NMG78:NML78"/>
    <mergeCell ref="NMN78:NMS78"/>
    <mergeCell ref="NMU78:NMZ78"/>
    <mergeCell ref="NJV78:NKA78"/>
    <mergeCell ref="NKC78:NKH78"/>
    <mergeCell ref="NKJ78:NKO78"/>
    <mergeCell ref="NKQ78:NKV78"/>
    <mergeCell ref="NKX78:NLC78"/>
    <mergeCell ref="NLE78:NLJ78"/>
    <mergeCell ref="NRX78:NSC78"/>
    <mergeCell ref="NSE78:NSJ78"/>
    <mergeCell ref="NSL78:NSQ78"/>
    <mergeCell ref="NSS78:NSX78"/>
    <mergeCell ref="NSZ78:NTE78"/>
    <mergeCell ref="NTG78:NTL78"/>
    <mergeCell ref="NQH78:NQM78"/>
    <mergeCell ref="NQO78:NQT78"/>
    <mergeCell ref="NQV78:NRA78"/>
    <mergeCell ref="NRC78:NRH78"/>
    <mergeCell ref="NRJ78:NRO78"/>
    <mergeCell ref="NRQ78:NRV78"/>
    <mergeCell ref="NOR78:NOW78"/>
    <mergeCell ref="NOY78:NPD78"/>
    <mergeCell ref="NPF78:NPK78"/>
    <mergeCell ref="NPM78:NPR78"/>
    <mergeCell ref="NPT78:NPY78"/>
    <mergeCell ref="NQA78:NQF78"/>
    <mergeCell ref="NWT78:NWY78"/>
    <mergeCell ref="NXA78:NXF78"/>
    <mergeCell ref="NXH78:NXM78"/>
    <mergeCell ref="NXO78:NXT78"/>
    <mergeCell ref="NXV78:NYA78"/>
    <mergeCell ref="NYC78:NYH78"/>
    <mergeCell ref="NVD78:NVI78"/>
    <mergeCell ref="NVK78:NVP78"/>
    <mergeCell ref="NVR78:NVW78"/>
    <mergeCell ref="NVY78:NWD78"/>
    <mergeCell ref="NWF78:NWK78"/>
    <mergeCell ref="NWM78:NWR78"/>
    <mergeCell ref="NTN78:NTS78"/>
    <mergeCell ref="NTU78:NTZ78"/>
    <mergeCell ref="NUB78:NUG78"/>
    <mergeCell ref="NUI78:NUN78"/>
    <mergeCell ref="NUP78:NUU78"/>
    <mergeCell ref="NUW78:NVB78"/>
    <mergeCell ref="OBP78:OBU78"/>
    <mergeCell ref="OBW78:OCB78"/>
    <mergeCell ref="OCD78:OCI78"/>
    <mergeCell ref="OCK78:OCP78"/>
    <mergeCell ref="OCR78:OCW78"/>
    <mergeCell ref="OCY78:ODD78"/>
    <mergeCell ref="NZZ78:OAE78"/>
    <mergeCell ref="OAG78:OAL78"/>
    <mergeCell ref="OAN78:OAS78"/>
    <mergeCell ref="OAU78:OAZ78"/>
    <mergeCell ref="OBB78:OBG78"/>
    <mergeCell ref="OBI78:OBN78"/>
    <mergeCell ref="NYJ78:NYO78"/>
    <mergeCell ref="NYQ78:NYV78"/>
    <mergeCell ref="NYX78:NZC78"/>
    <mergeCell ref="NZE78:NZJ78"/>
    <mergeCell ref="NZL78:NZQ78"/>
    <mergeCell ref="NZS78:NZX78"/>
    <mergeCell ref="OGL78:OGQ78"/>
    <mergeCell ref="OGS78:OGX78"/>
    <mergeCell ref="OGZ78:OHE78"/>
    <mergeCell ref="OHG78:OHL78"/>
    <mergeCell ref="OHN78:OHS78"/>
    <mergeCell ref="OHU78:OHZ78"/>
    <mergeCell ref="OEV78:OFA78"/>
    <mergeCell ref="OFC78:OFH78"/>
    <mergeCell ref="OFJ78:OFO78"/>
    <mergeCell ref="OFQ78:OFV78"/>
    <mergeCell ref="OFX78:OGC78"/>
    <mergeCell ref="OGE78:OGJ78"/>
    <mergeCell ref="ODF78:ODK78"/>
    <mergeCell ref="ODM78:ODR78"/>
    <mergeCell ref="ODT78:ODY78"/>
    <mergeCell ref="OEA78:OEF78"/>
    <mergeCell ref="OEH78:OEM78"/>
    <mergeCell ref="OEO78:OET78"/>
    <mergeCell ref="OLH78:OLM78"/>
    <mergeCell ref="OLO78:OLT78"/>
    <mergeCell ref="OLV78:OMA78"/>
    <mergeCell ref="OMC78:OMH78"/>
    <mergeCell ref="OMJ78:OMO78"/>
    <mergeCell ref="OMQ78:OMV78"/>
    <mergeCell ref="OJR78:OJW78"/>
    <mergeCell ref="OJY78:OKD78"/>
    <mergeCell ref="OKF78:OKK78"/>
    <mergeCell ref="OKM78:OKR78"/>
    <mergeCell ref="OKT78:OKY78"/>
    <mergeCell ref="OLA78:OLF78"/>
    <mergeCell ref="OIB78:OIG78"/>
    <mergeCell ref="OII78:OIN78"/>
    <mergeCell ref="OIP78:OIU78"/>
    <mergeCell ref="OIW78:OJB78"/>
    <mergeCell ref="OJD78:OJI78"/>
    <mergeCell ref="OJK78:OJP78"/>
    <mergeCell ref="OQD78:OQI78"/>
    <mergeCell ref="OQK78:OQP78"/>
    <mergeCell ref="OQR78:OQW78"/>
    <mergeCell ref="OQY78:ORD78"/>
    <mergeCell ref="ORF78:ORK78"/>
    <mergeCell ref="ORM78:ORR78"/>
    <mergeCell ref="OON78:OOS78"/>
    <mergeCell ref="OOU78:OOZ78"/>
    <mergeCell ref="OPB78:OPG78"/>
    <mergeCell ref="OPI78:OPN78"/>
    <mergeCell ref="OPP78:OPU78"/>
    <mergeCell ref="OPW78:OQB78"/>
    <mergeCell ref="OMX78:ONC78"/>
    <mergeCell ref="ONE78:ONJ78"/>
    <mergeCell ref="ONL78:ONQ78"/>
    <mergeCell ref="ONS78:ONX78"/>
    <mergeCell ref="ONZ78:OOE78"/>
    <mergeCell ref="OOG78:OOL78"/>
    <mergeCell ref="OUZ78:OVE78"/>
    <mergeCell ref="OVG78:OVL78"/>
    <mergeCell ref="OVN78:OVS78"/>
    <mergeCell ref="OVU78:OVZ78"/>
    <mergeCell ref="OWB78:OWG78"/>
    <mergeCell ref="OWI78:OWN78"/>
    <mergeCell ref="OTJ78:OTO78"/>
    <mergeCell ref="OTQ78:OTV78"/>
    <mergeCell ref="OTX78:OUC78"/>
    <mergeCell ref="OUE78:OUJ78"/>
    <mergeCell ref="OUL78:OUQ78"/>
    <mergeCell ref="OUS78:OUX78"/>
    <mergeCell ref="ORT78:ORY78"/>
    <mergeCell ref="OSA78:OSF78"/>
    <mergeCell ref="OSH78:OSM78"/>
    <mergeCell ref="OSO78:OST78"/>
    <mergeCell ref="OSV78:OTA78"/>
    <mergeCell ref="OTC78:OTH78"/>
    <mergeCell ref="OZV78:PAA78"/>
    <mergeCell ref="PAC78:PAH78"/>
    <mergeCell ref="PAJ78:PAO78"/>
    <mergeCell ref="PAQ78:PAV78"/>
    <mergeCell ref="PAX78:PBC78"/>
    <mergeCell ref="PBE78:PBJ78"/>
    <mergeCell ref="OYF78:OYK78"/>
    <mergeCell ref="OYM78:OYR78"/>
    <mergeCell ref="OYT78:OYY78"/>
    <mergeCell ref="OZA78:OZF78"/>
    <mergeCell ref="OZH78:OZM78"/>
    <mergeCell ref="OZO78:OZT78"/>
    <mergeCell ref="OWP78:OWU78"/>
    <mergeCell ref="OWW78:OXB78"/>
    <mergeCell ref="OXD78:OXI78"/>
    <mergeCell ref="OXK78:OXP78"/>
    <mergeCell ref="OXR78:OXW78"/>
    <mergeCell ref="OXY78:OYD78"/>
    <mergeCell ref="PER78:PEW78"/>
    <mergeCell ref="PEY78:PFD78"/>
    <mergeCell ref="PFF78:PFK78"/>
    <mergeCell ref="PFM78:PFR78"/>
    <mergeCell ref="PFT78:PFY78"/>
    <mergeCell ref="PGA78:PGF78"/>
    <mergeCell ref="PDB78:PDG78"/>
    <mergeCell ref="PDI78:PDN78"/>
    <mergeCell ref="PDP78:PDU78"/>
    <mergeCell ref="PDW78:PEB78"/>
    <mergeCell ref="PED78:PEI78"/>
    <mergeCell ref="PEK78:PEP78"/>
    <mergeCell ref="PBL78:PBQ78"/>
    <mergeCell ref="PBS78:PBX78"/>
    <mergeCell ref="PBZ78:PCE78"/>
    <mergeCell ref="PCG78:PCL78"/>
    <mergeCell ref="PCN78:PCS78"/>
    <mergeCell ref="PCU78:PCZ78"/>
    <mergeCell ref="PJN78:PJS78"/>
    <mergeCell ref="PJU78:PJZ78"/>
    <mergeCell ref="PKB78:PKG78"/>
    <mergeCell ref="PKI78:PKN78"/>
    <mergeCell ref="PKP78:PKU78"/>
    <mergeCell ref="PKW78:PLB78"/>
    <mergeCell ref="PHX78:PIC78"/>
    <mergeCell ref="PIE78:PIJ78"/>
    <mergeCell ref="PIL78:PIQ78"/>
    <mergeCell ref="PIS78:PIX78"/>
    <mergeCell ref="PIZ78:PJE78"/>
    <mergeCell ref="PJG78:PJL78"/>
    <mergeCell ref="PGH78:PGM78"/>
    <mergeCell ref="PGO78:PGT78"/>
    <mergeCell ref="PGV78:PHA78"/>
    <mergeCell ref="PHC78:PHH78"/>
    <mergeCell ref="PHJ78:PHO78"/>
    <mergeCell ref="PHQ78:PHV78"/>
    <mergeCell ref="POJ78:POO78"/>
    <mergeCell ref="POQ78:POV78"/>
    <mergeCell ref="POX78:PPC78"/>
    <mergeCell ref="PPE78:PPJ78"/>
    <mergeCell ref="PPL78:PPQ78"/>
    <mergeCell ref="PPS78:PPX78"/>
    <mergeCell ref="PMT78:PMY78"/>
    <mergeCell ref="PNA78:PNF78"/>
    <mergeCell ref="PNH78:PNM78"/>
    <mergeCell ref="PNO78:PNT78"/>
    <mergeCell ref="PNV78:POA78"/>
    <mergeCell ref="POC78:POH78"/>
    <mergeCell ref="PLD78:PLI78"/>
    <mergeCell ref="PLK78:PLP78"/>
    <mergeCell ref="PLR78:PLW78"/>
    <mergeCell ref="PLY78:PMD78"/>
    <mergeCell ref="PMF78:PMK78"/>
    <mergeCell ref="PMM78:PMR78"/>
    <mergeCell ref="PTF78:PTK78"/>
    <mergeCell ref="PTM78:PTR78"/>
    <mergeCell ref="PTT78:PTY78"/>
    <mergeCell ref="PUA78:PUF78"/>
    <mergeCell ref="PUH78:PUM78"/>
    <mergeCell ref="PUO78:PUT78"/>
    <mergeCell ref="PRP78:PRU78"/>
    <mergeCell ref="PRW78:PSB78"/>
    <mergeCell ref="PSD78:PSI78"/>
    <mergeCell ref="PSK78:PSP78"/>
    <mergeCell ref="PSR78:PSW78"/>
    <mergeCell ref="PSY78:PTD78"/>
    <mergeCell ref="PPZ78:PQE78"/>
    <mergeCell ref="PQG78:PQL78"/>
    <mergeCell ref="PQN78:PQS78"/>
    <mergeCell ref="PQU78:PQZ78"/>
    <mergeCell ref="PRB78:PRG78"/>
    <mergeCell ref="PRI78:PRN78"/>
    <mergeCell ref="PYB78:PYG78"/>
    <mergeCell ref="PYI78:PYN78"/>
    <mergeCell ref="PYP78:PYU78"/>
    <mergeCell ref="PYW78:PZB78"/>
    <mergeCell ref="PZD78:PZI78"/>
    <mergeCell ref="PZK78:PZP78"/>
    <mergeCell ref="PWL78:PWQ78"/>
    <mergeCell ref="PWS78:PWX78"/>
    <mergeCell ref="PWZ78:PXE78"/>
    <mergeCell ref="PXG78:PXL78"/>
    <mergeCell ref="PXN78:PXS78"/>
    <mergeCell ref="PXU78:PXZ78"/>
    <mergeCell ref="PUV78:PVA78"/>
    <mergeCell ref="PVC78:PVH78"/>
    <mergeCell ref="PVJ78:PVO78"/>
    <mergeCell ref="PVQ78:PVV78"/>
    <mergeCell ref="PVX78:PWC78"/>
    <mergeCell ref="PWE78:PWJ78"/>
    <mergeCell ref="QCX78:QDC78"/>
    <mergeCell ref="QDE78:QDJ78"/>
    <mergeCell ref="QDL78:QDQ78"/>
    <mergeCell ref="QDS78:QDX78"/>
    <mergeCell ref="QDZ78:QEE78"/>
    <mergeCell ref="QEG78:QEL78"/>
    <mergeCell ref="QBH78:QBM78"/>
    <mergeCell ref="QBO78:QBT78"/>
    <mergeCell ref="QBV78:QCA78"/>
    <mergeCell ref="QCC78:QCH78"/>
    <mergeCell ref="QCJ78:QCO78"/>
    <mergeCell ref="QCQ78:QCV78"/>
    <mergeCell ref="PZR78:PZW78"/>
    <mergeCell ref="PZY78:QAD78"/>
    <mergeCell ref="QAF78:QAK78"/>
    <mergeCell ref="QAM78:QAR78"/>
    <mergeCell ref="QAT78:QAY78"/>
    <mergeCell ref="QBA78:QBF78"/>
    <mergeCell ref="QHT78:QHY78"/>
    <mergeCell ref="QIA78:QIF78"/>
    <mergeCell ref="QIH78:QIM78"/>
    <mergeCell ref="QIO78:QIT78"/>
    <mergeCell ref="QIV78:QJA78"/>
    <mergeCell ref="QJC78:QJH78"/>
    <mergeCell ref="QGD78:QGI78"/>
    <mergeCell ref="QGK78:QGP78"/>
    <mergeCell ref="QGR78:QGW78"/>
    <mergeCell ref="QGY78:QHD78"/>
    <mergeCell ref="QHF78:QHK78"/>
    <mergeCell ref="QHM78:QHR78"/>
    <mergeCell ref="QEN78:QES78"/>
    <mergeCell ref="QEU78:QEZ78"/>
    <mergeCell ref="QFB78:QFG78"/>
    <mergeCell ref="QFI78:QFN78"/>
    <mergeCell ref="QFP78:QFU78"/>
    <mergeCell ref="QFW78:QGB78"/>
    <mergeCell ref="QMP78:QMU78"/>
    <mergeCell ref="QMW78:QNB78"/>
    <mergeCell ref="QND78:QNI78"/>
    <mergeCell ref="QNK78:QNP78"/>
    <mergeCell ref="QNR78:QNW78"/>
    <mergeCell ref="QNY78:QOD78"/>
    <mergeCell ref="QKZ78:QLE78"/>
    <mergeCell ref="QLG78:QLL78"/>
    <mergeCell ref="QLN78:QLS78"/>
    <mergeCell ref="QLU78:QLZ78"/>
    <mergeCell ref="QMB78:QMG78"/>
    <mergeCell ref="QMI78:QMN78"/>
    <mergeCell ref="QJJ78:QJO78"/>
    <mergeCell ref="QJQ78:QJV78"/>
    <mergeCell ref="QJX78:QKC78"/>
    <mergeCell ref="QKE78:QKJ78"/>
    <mergeCell ref="QKL78:QKQ78"/>
    <mergeCell ref="QKS78:QKX78"/>
    <mergeCell ref="QRL78:QRQ78"/>
    <mergeCell ref="QRS78:QRX78"/>
    <mergeCell ref="QRZ78:QSE78"/>
    <mergeCell ref="QSG78:QSL78"/>
    <mergeCell ref="QSN78:QSS78"/>
    <mergeCell ref="QSU78:QSZ78"/>
    <mergeCell ref="QPV78:QQA78"/>
    <mergeCell ref="QQC78:QQH78"/>
    <mergeCell ref="QQJ78:QQO78"/>
    <mergeCell ref="QQQ78:QQV78"/>
    <mergeCell ref="QQX78:QRC78"/>
    <mergeCell ref="QRE78:QRJ78"/>
    <mergeCell ref="QOF78:QOK78"/>
    <mergeCell ref="QOM78:QOR78"/>
    <mergeCell ref="QOT78:QOY78"/>
    <mergeCell ref="QPA78:QPF78"/>
    <mergeCell ref="QPH78:QPM78"/>
    <mergeCell ref="QPO78:QPT78"/>
    <mergeCell ref="QWH78:QWM78"/>
    <mergeCell ref="QWO78:QWT78"/>
    <mergeCell ref="QWV78:QXA78"/>
    <mergeCell ref="QXC78:QXH78"/>
    <mergeCell ref="QXJ78:QXO78"/>
    <mergeCell ref="QXQ78:QXV78"/>
    <mergeCell ref="QUR78:QUW78"/>
    <mergeCell ref="QUY78:QVD78"/>
    <mergeCell ref="QVF78:QVK78"/>
    <mergeCell ref="QVM78:QVR78"/>
    <mergeCell ref="QVT78:QVY78"/>
    <mergeCell ref="QWA78:QWF78"/>
    <mergeCell ref="QTB78:QTG78"/>
    <mergeCell ref="QTI78:QTN78"/>
    <mergeCell ref="QTP78:QTU78"/>
    <mergeCell ref="QTW78:QUB78"/>
    <mergeCell ref="QUD78:QUI78"/>
    <mergeCell ref="QUK78:QUP78"/>
    <mergeCell ref="RBD78:RBI78"/>
    <mergeCell ref="RBK78:RBP78"/>
    <mergeCell ref="RBR78:RBW78"/>
    <mergeCell ref="RBY78:RCD78"/>
    <mergeCell ref="RCF78:RCK78"/>
    <mergeCell ref="RCM78:RCR78"/>
    <mergeCell ref="QZN78:QZS78"/>
    <mergeCell ref="QZU78:QZZ78"/>
    <mergeCell ref="RAB78:RAG78"/>
    <mergeCell ref="RAI78:RAN78"/>
    <mergeCell ref="RAP78:RAU78"/>
    <mergeCell ref="RAW78:RBB78"/>
    <mergeCell ref="QXX78:QYC78"/>
    <mergeCell ref="QYE78:QYJ78"/>
    <mergeCell ref="QYL78:QYQ78"/>
    <mergeCell ref="QYS78:QYX78"/>
    <mergeCell ref="QYZ78:QZE78"/>
    <mergeCell ref="QZG78:QZL78"/>
    <mergeCell ref="RFZ78:RGE78"/>
    <mergeCell ref="RGG78:RGL78"/>
    <mergeCell ref="RGN78:RGS78"/>
    <mergeCell ref="RGU78:RGZ78"/>
    <mergeCell ref="RHB78:RHG78"/>
    <mergeCell ref="RHI78:RHN78"/>
    <mergeCell ref="REJ78:REO78"/>
    <mergeCell ref="REQ78:REV78"/>
    <mergeCell ref="REX78:RFC78"/>
    <mergeCell ref="RFE78:RFJ78"/>
    <mergeCell ref="RFL78:RFQ78"/>
    <mergeCell ref="RFS78:RFX78"/>
    <mergeCell ref="RCT78:RCY78"/>
    <mergeCell ref="RDA78:RDF78"/>
    <mergeCell ref="RDH78:RDM78"/>
    <mergeCell ref="RDO78:RDT78"/>
    <mergeCell ref="RDV78:REA78"/>
    <mergeCell ref="REC78:REH78"/>
    <mergeCell ref="RKV78:RLA78"/>
    <mergeCell ref="RLC78:RLH78"/>
    <mergeCell ref="RLJ78:RLO78"/>
    <mergeCell ref="RLQ78:RLV78"/>
    <mergeCell ref="RLX78:RMC78"/>
    <mergeCell ref="RME78:RMJ78"/>
    <mergeCell ref="RJF78:RJK78"/>
    <mergeCell ref="RJM78:RJR78"/>
    <mergeCell ref="RJT78:RJY78"/>
    <mergeCell ref="RKA78:RKF78"/>
    <mergeCell ref="RKH78:RKM78"/>
    <mergeCell ref="RKO78:RKT78"/>
    <mergeCell ref="RHP78:RHU78"/>
    <mergeCell ref="RHW78:RIB78"/>
    <mergeCell ref="RID78:RII78"/>
    <mergeCell ref="RIK78:RIP78"/>
    <mergeCell ref="RIR78:RIW78"/>
    <mergeCell ref="RIY78:RJD78"/>
    <mergeCell ref="RPR78:RPW78"/>
    <mergeCell ref="RPY78:RQD78"/>
    <mergeCell ref="RQF78:RQK78"/>
    <mergeCell ref="RQM78:RQR78"/>
    <mergeCell ref="RQT78:RQY78"/>
    <mergeCell ref="RRA78:RRF78"/>
    <mergeCell ref="ROB78:ROG78"/>
    <mergeCell ref="ROI78:RON78"/>
    <mergeCell ref="ROP78:ROU78"/>
    <mergeCell ref="ROW78:RPB78"/>
    <mergeCell ref="RPD78:RPI78"/>
    <mergeCell ref="RPK78:RPP78"/>
    <mergeCell ref="RML78:RMQ78"/>
    <mergeCell ref="RMS78:RMX78"/>
    <mergeCell ref="RMZ78:RNE78"/>
    <mergeCell ref="RNG78:RNL78"/>
    <mergeCell ref="RNN78:RNS78"/>
    <mergeCell ref="RNU78:RNZ78"/>
    <mergeCell ref="RUN78:RUS78"/>
    <mergeCell ref="RUU78:RUZ78"/>
    <mergeCell ref="RVB78:RVG78"/>
    <mergeCell ref="RVI78:RVN78"/>
    <mergeCell ref="RVP78:RVU78"/>
    <mergeCell ref="RVW78:RWB78"/>
    <mergeCell ref="RSX78:RTC78"/>
    <mergeCell ref="RTE78:RTJ78"/>
    <mergeCell ref="RTL78:RTQ78"/>
    <mergeCell ref="RTS78:RTX78"/>
    <mergeCell ref="RTZ78:RUE78"/>
    <mergeCell ref="RUG78:RUL78"/>
    <mergeCell ref="RRH78:RRM78"/>
    <mergeCell ref="RRO78:RRT78"/>
    <mergeCell ref="RRV78:RSA78"/>
    <mergeCell ref="RSC78:RSH78"/>
    <mergeCell ref="RSJ78:RSO78"/>
    <mergeCell ref="RSQ78:RSV78"/>
    <mergeCell ref="RZJ78:RZO78"/>
    <mergeCell ref="RZQ78:RZV78"/>
    <mergeCell ref="RZX78:SAC78"/>
    <mergeCell ref="SAE78:SAJ78"/>
    <mergeCell ref="SAL78:SAQ78"/>
    <mergeCell ref="SAS78:SAX78"/>
    <mergeCell ref="RXT78:RXY78"/>
    <mergeCell ref="RYA78:RYF78"/>
    <mergeCell ref="RYH78:RYM78"/>
    <mergeCell ref="RYO78:RYT78"/>
    <mergeCell ref="RYV78:RZA78"/>
    <mergeCell ref="RZC78:RZH78"/>
    <mergeCell ref="RWD78:RWI78"/>
    <mergeCell ref="RWK78:RWP78"/>
    <mergeCell ref="RWR78:RWW78"/>
    <mergeCell ref="RWY78:RXD78"/>
    <mergeCell ref="RXF78:RXK78"/>
    <mergeCell ref="RXM78:RXR78"/>
    <mergeCell ref="SEF78:SEK78"/>
    <mergeCell ref="SEM78:SER78"/>
    <mergeCell ref="SET78:SEY78"/>
    <mergeCell ref="SFA78:SFF78"/>
    <mergeCell ref="SFH78:SFM78"/>
    <mergeCell ref="SFO78:SFT78"/>
    <mergeCell ref="SCP78:SCU78"/>
    <mergeCell ref="SCW78:SDB78"/>
    <mergeCell ref="SDD78:SDI78"/>
    <mergeCell ref="SDK78:SDP78"/>
    <mergeCell ref="SDR78:SDW78"/>
    <mergeCell ref="SDY78:SED78"/>
    <mergeCell ref="SAZ78:SBE78"/>
    <mergeCell ref="SBG78:SBL78"/>
    <mergeCell ref="SBN78:SBS78"/>
    <mergeCell ref="SBU78:SBZ78"/>
    <mergeCell ref="SCB78:SCG78"/>
    <mergeCell ref="SCI78:SCN78"/>
    <mergeCell ref="SJB78:SJG78"/>
    <mergeCell ref="SJI78:SJN78"/>
    <mergeCell ref="SJP78:SJU78"/>
    <mergeCell ref="SJW78:SKB78"/>
    <mergeCell ref="SKD78:SKI78"/>
    <mergeCell ref="SKK78:SKP78"/>
    <mergeCell ref="SHL78:SHQ78"/>
    <mergeCell ref="SHS78:SHX78"/>
    <mergeCell ref="SHZ78:SIE78"/>
    <mergeCell ref="SIG78:SIL78"/>
    <mergeCell ref="SIN78:SIS78"/>
    <mergeCell ref="SIU78:SIZ78"/>
    <mergeCell ref="SFV78:SGA78"/>
    <mergeCell ref="SGC78:SGH78"/>
    <mergeCell ref="SGJ78:SGO78"/>
    <mergeCell ref="SGQ78:SGV78"/>
    <mergeCell ref="SGX78:SHC78"/>
    <mergeCell ref="SHE78:SHJ78"/>
    <mergeCell ref="SNX78:SOC78"/>
    <mergeCell ref="SOE78:SOJ78"/>
    <mergeCell ref="SOL78:SOQ78"/>
    <mergeCell ref="SOS78:SOX78"/>
    <mergeCell ref="SOZ78:SPE78"/>
    <mergeCell ref="SPG78:SPL78"/>
    <mergeCell ref="SMH78:SMM78"/>
    <mergeCell ref="SMO78:SMT78"/>
    <mergeCell ref="SMV78:SNA78"/>
    <mergeCell ref="SNC78:SNH78"/>
    <mergeCell ref="SNJ78:SNO78"/>
    <mergeCell ref="SNQ78:SNV78"/>
    <mergeCell ref="SKR78:SKW78"/>
    <mergeCell ref="SKY78:SLD78"/>
    <mergeCell ref="SLF78:SLK78"/>
    <mergeCell ref="SLM78:SLR78"/>
    <mergeCell ref="SLT78:SLY78"/>
    <mergeCell ref="SMA78:SMF78"/>
    <mergeCell ref="SST78:SSY78"/>
    <mergeCell ref="STA78:STF78"/>
    <mergeCell ref="STH78:STM78"/>
    <mergeCell ref="STO78:STT78"/>
    <mergeCell ref="STV78:SUA78"/>
    <mergeCell ref="SUC78:SUH78"/>
    <mergeCell ref="SRD78:SRI78"/>
    <mergeCell ref="SRK78:SRP78"/>
    <mergeCell ref="SRR78:SRW78"/>
    <mergeCell ref="SRY78:SSD78"/>
    <mergeCell ref="SSF78:SSK78"/>
    <mergeCell ref="SSM78:SSR78"/>
    <mergeCell ref="SPN78:SPS78"/>
    <mergeCell ref="SPU78:SPZ78"/>
    <mergeCell ref="SQB78:SQG78"/>
    <mergeCell ref="SQI78:SQN78"/>
    <mergeCell ref="SQP78:SQU78"/>
    <mergeCell ref="SQW78:SRB78"/>
    <mergeCell ref="SXP78:SXU78"/>
    <mergeCell ref="SXW78:SYB78"/>
    <mergeCell ref="SYD78:SYI78"/>
    <mergeCell ref="SYK78:SYP78"/>
    <mergeCell ref="SYR78:SYW78"/>
    <mergeCell ref="SYY78:SZD78"/>
    <mergeCell ref="SVZ78:SWE78"/>
    <mergeCell ref="SWG78:SWL78"/>
    <mergeCell ref="SWN78:SWS78"/>
    <mergeCell ref="SWU78:SWZ78"/>
    <mergeCell ref="SXB78:SXG78"/>
    <mergeCell ref="SXI78:SXN78"/>
    <mergeCell ref="SUJ78:SUO78"/>
    <mergeCell ref="SUQ78:SUV78"/>
    <mergeCell ref="SUX78:SVC78"/>
    <mergeCell ref="SVE78:SVJ78"/>
    <mergeCell ref="SVL78:SVQ78"/>
    <mergeCell ref="SVS78:SVX78"/>
    <mergeCell ref="TCL78:TCQ78"/>
    <mergeCell ref="TCS78:TCX78"/>
    <mergeCell ref="TCZ78:TDE78"/>
    <mergeCell ref="TDG78:TDL78"/>
    <mergeCell ref="TDN78:TDS78"/>
    <mergeCell ref="TDU78:TDZ78"/>
    <mergeCell ref="TAV78:TBA78"/>
    <mergeCell ref="TBC78:TBH78"/>
    <mergeCell ref="TBJ78:TBO78"/>
    <mergeCell ref="TBQ78:TBV78"/>
    <mergeCell ref="TBX78:TCC78"/>
    <mergeCell ref="TCE78:TCJ78"/>
    <mergeCell ref="SZF78:SZK78"/>
    <mergeCell ref="SZM78:SZR78"/>
    <mergeCell ref="SZT78:SZY78"/>
    <mergeCell ref="TAA78:TAF78"/>
    <mergeCell ref="TAH78:TAM78"/>
    <mergeCell ref="TAO78:TAT78"/>
    <mergeCell ref="THH78:THM78"/>
    <mergeCell ref="THO78:THT78"/>
    <mergeCell ref="THV78:TIA78"/>
    <mergeCell ref="TIC78:TIH78"/>
    <mergeCell ref="TIJ78:TIO78"/>
    <mergeCell ref="TIQ78:TIV78"/>
    <mergeCell ref="TFR78:TFW78"/>
    <mergeCell ref="TFY78:TGD78"/>
    <mergeCell ref="TGF78:TGK78"/>
    <mergeCell ref="TGM78:TGR78"/>
    <mergeCell ref="TGT78:TGY78"/>
    <mergeCell ref="THA78:THF78"/>
    <mergeCell ref="TEB78:TEG78"/>
    <mergeCell ref="TEI78:TEN78"/>
    <mergeCell ref="TEP78:TEU78"/>
    <mergeCell ref="TEW78:TFB78"/>
    <mergeCell ref="TFD78:TFI78"/>
    <mergeCell ref="TFK78:TFP78"/>
    <mergeCell ref="TMD78:TMI78"/>
    <mergeCell ref="TMK78:TMP78"/>
    <mergeCell ref="TMR78:TMW78"/>
    <mergeCell ref="TMY78:TND78"/>
    <mergeCell ref="TNF78:TNK78"/>
    <mergeCell ref="TNM78:TNR78"/>
    <mergeCell ref="TKN78:TKS78"/>
    <mergeCell ref="TKU78:TKZ78"/>
    <mergeCell ref="TLB78:TLG78"/>
    <mergeCell ref="TLI78:TLN78"/>
    <mergeCell ref="TLP78:TLU78"/>
    <mergeCell ref="TLW78:TMB78"/>
    <mergeCell ref="TIX78:TJC78"/>
    <mergeCell ref="TJE78:TJJ78"/>
    <mergeCell ref="TJL78:TJQ78"/>
    <mergeCell ref="TJS78:TJX78"/>
    <mergeCell ref="TJZ78:TKE78"/>
    <mergeCell ref="TKG78:TKL78"/>
    <mergeCell ref="TQZ78:TRE78"/>
    <mergeCell ref="TRG78:TRL78"/>
    <mergeCell ref="TRN78:TRS78"/>
    <mergeCell ref="TRU78:TRZ78"/>
    <mergeCell ref="TSB78:TSG78"/>
    <mergeCell ref="TSI78:TSN78"/>
    <mergeCell ref="TPJ78:TPO78"/>
    <mergeCell ref="TPQ78:TPV78"/>
    <mergeCell ref="TPX78:TQC78"/>
    <mergeCell ref="TQE78:TQJ78"/>
    <mergeCell ref="TQL78:TQQ78"/>
    <mergeCell ref="TQS78:TQX78"/>
    <mergeCell ref="TNT78:TNY78"/>
    <mergeCell ref="TOA78:TOF78"/>
    <mergeCell ref="TOH78:TOM78"/>
    <mergeCell ref="TOO78:TOT78"/>
    <mergeCell ref="TOV78:TPA78"/>
    <mergeCell ref="TPC78:TPH78"/>
    <mergeCell ref="TVV78:TWA78"/>
    <mergeCell ref="TWC78:TWH78"/>
    <mergeCell ref="TWJ78:TWO78"/>
    <mergeCell ref="TWQ78:TWV78"/>
    <mergeCell ref="TWX78:TXC78"/>
    <mergeCell ref="TXE78:TXJ78"/>
    <mergeCell ref="TUF78:TUK78"/>
    <mergeCell ref="TUM78:TUR78"/>
    <mergeCell ref="TUT78:TUY78"/>
    <mergeCell ref="TVA78:TVF78"/>
    <mergeCell ref="TVH78:TVM78"/>
    <mergeCell ref="TVO78:TVT78"/>
    <mergeCell ref="TSP78:TSU78"/>
    <mergeCell ref="TSW78:TTB78"/>
    <mergeCell ref="TTD78:TTI78"/>
    <mergeCell ref="TTK78:TTP78"/>
    <mergeCell ref="TTR78:TTW78"/>
    <mergeCell ref="TTY78:TUD78"/>
    <mergeCell ref="UAR78:UAW78"/>
    <mergeCell ref="UAY78:UBD78"/>
    <mergeCell ref="UBF78:UBK78"/>
    <mergeCell ref="UBM78:UBR78"/>
    <mergeCell ref="UBT78:UBY78"/>
    <mergeCell ref="UCA78:UCF78"/>
    <mergeCell ref="TZB78:TZG78"/>
    <mergeCell ref="TZI78:TZN78"/>
    <mergeCell ref="TZP78:TZU78"/>
    <mergeCell ref="TZW78:UAB78"/>
    <mergeCell ref="UAD78:UAI78"/>
    <mergeCell ref="UAK78:UAP78"/>
    <mergeCell ref="TXL78:TXQ78"/>
    <mergeCell ref="TXS78:TXX78"/>
    <mergeCell ref="TXZ78:TYE78"/>
    <mergeCell ref="TYG78:TYL78"/>
    <mergeCell ref="TYN78:TYS78"/>
    <mergeCell ref="TYU78:TYZ78"/>
    <mergeCell ref="UFN78:UFS78"/>
    <mergeCell ref="UFU78:UFZ78"/>
    <mergeCell ref="UGB78:UGG78"/>
    <mergeCell ref="UGI78:UGN78"/>
    <mergeCell ref="UGP78:UGU78"/>
    <mergeCell ref="UGW78:UHB78"/>
    <mergeCell ref="UDX78:UEC78"/>
    <mergeCell ref="UEE78:UEJ78"/>
    <mergeCell ref="UEL78:UEQ78"/>
    <mergeCell ref="UES78:UEX78"/>
    <mergeCell ref="UEZ78:UFE78"/>
    <mergeCell ref="UFG78:UFL78"/>
    <mergeCell ref="UCH78:UCM78"/>
    <mergeCell ref="UCO78:UCT78"/>
    <mergeCell ref="UCV78:UDA78"/>
    <mergeCell ref="UDC78:UDH78"/>
    <mergeCell ref="UDJ78:UDO78"/>
    <mergeCell ref="UDQ78:UDV78"/>
    <mergeCell ref="UKJ78:UKO78"/>
    <mergeCell ref="UKQ78:UKV78"/>
    <mergeCell ref="UKX78:ULC78"/>
    <mergeCell ref="ULE78:ULJ78"/>
    <mergeCell ref="ULL78:ULQ78"/>
    <mergeCell ref="ULS78:ULX78"/>
    <mergeCell ref="UIT78:UIY78"/>
    <mergeCell ref="UJA78:UJF78"/>
    <mergeCell ref="UJH78:UJM78"/>
    <mergeCell ref="UJO78:UJT78"/>
    <mergeCell ref="UJV78:UKA78"/>
    <mergeCell ref="UKC78:UKH78"/>
    <mergeCell ref="UHD78:UHI78"/>
    <mergeCell ref="UHK78:UHP78"/>
    <mergeCell ref="UHR78:UHW78"/>
    <mergeCell ref="UHY78:UID78"/>
    <mergeCell ref="UIF78:UIK78"/>
    <mergeCell ref="UIM78:UIR78"/>
    <mergeCell ref="UPF78:UPK78"/>
    <mergeCell ref="UPM78:UPR78"/>
    <mergeCell ref="UPT78:UPY78"/>
    <mergeCell ref="UQA78:UQF78"/>
    <mergeCell ref="UQH78:UQM78"/>
    <mergeCell ref="UQO78:UQT78"/>
    <mergeCell ref="UNP78:UNU78"/>
    <mergeCell ref="UNW78:UOB78"/>
    <mergeCell ref="UOD78:UOI78"/>
    <mergeCell ref="UOK78:UOP78"/>
    <mergeCell ref="UOR78:UOW78"/>
    <mergeCell ref="UOY78:UPD78"/>
    <mergeCell ref="ULZ78:UME78"/>
    <mergeCell ref="UMG78:UML78"/>
    <mergeCell ref="UMN78:UMS78"/>
    <mergeCell ref="UMU78:UMZ78"/>
    <mergeCell ref="UNB78:UNG78"/>
    <mergeCell ref="UNI78:UNN78"/>
    <mergeCell ref="UUB78:UUG78"/>
    <mergeCell ref="UUI78:UUN78"/>
    <mergeCell ref="UUP78:UUU78"/>
    <mergeCell ref="UUW78:UVB78"/>
    <mergeCell ref="UVD78:UVI78"/>
    <mergeCell ref="UVK78:UVP78"/>
    <mergeCell ref="USL78:USQ78"/>
    <mergeCell ref="USS78:USX78"/>
    <mergeCell ref="USZ78:UTE78"/>
    <mergeCell ref="UTG78:UTL78"/>
    <mergeCell ref="UTN78:UTS78"/>
    <mergeCell ref="UTU78:UTZ78"/>
    <mergeCell ref="UQV78:URA78"/>
    <mergeCell ref="URC78:URH78"/>
    <mergeCell ref="URJ78:URO78"/>
    <mergeCell ref="URQ78:URV78"/>
    <mergeCell ref="URX78:USC78"/>
    <mergeCell ref="USE78:USJ78"/>
    <mergeCell ref="UYX78:UZC78"/>
    <mergeCell ref="UZE78:UZJ78"/>
    <mergeCell ref="UZL78:UZQ78"/>
    <mergeCell ref="UZS78:UZX78"/>
    <mergeCell ref="UZZ78:VAE78"/>
    <mergeCell ref="VAG78:VAL78"/>
    <mergeCell ref="UXH78:UXM78"/>
    <mergeCell ref="UXO78:UXT78"/>
    <mergeCell ref="UXV78:UYA78"/>
    <mergeCell ref="UYC78:UYH78"/>
    <mergeCell ref="UYJ78:UYO78"/>
    <mergeCell ref="UYQ78:UYV78"/>
    <mergeCell ref="UVR78:UVW78"/>
    <mergeCell ref="UVY78:UWD78"/>
    <mergeCell ref="UWF78:UWK78"/>
    <mergeCell ref="UWM78:UWR78"/>
    <mergeCell ref="UWT78:UWY78"/>
    <mergeCell ref="UXA78:UXF78"/>
    <mergeCell ref="VDT78:VDY78"/>
    <mergeCell ref="VEA78:VEF78"/>
    <mergeCell ref="VEH78:VEM78"/>
    <mergeCell ref="VEO78:VET78"/>
    <mergeCell ref="VEV78:VFA78"/>
    <mergeCell ref="VFC78:VFH78"/>
    <mergeCell ref="VCD78:VCI78"/>
    <mergeCell ref="VCK78:VCP78"/>
    <mergeCell ref="VCR78:VCW78"/>
    <mergeCell ref="VCY78:VDD78"/>
    <mergeCell ref="VDF78:VDK78"/>
    <mergeCell ref="VDM78:VDR78"/>
    <mergeCell ref="VAN78:VAS78"/>
    <mergeCell ref="VAU78:VAZ78"/>
    <mergeCell ref="VBB78:VBG78"/>
    <mergeCell ref="VBI78:VBN78"/>
    <mergeCell ref="VBP78:VBU78"/>
    <mergeCell ref="VBW78:VCB78"/>
    <mergeCell ref="VIP78:VIU78"/>
    <mergeCell ref="VIW78:VJB78"/>
    <mergeCell ref="VJD78:VJI78"/>
    <mergeCell ref="VJK78:VJP78"/>
    <mergeCell ref="VJR78:VJW78"/>
    <mergeCell ref="VJY78:VKD78"/>
    <mergeCell ref="VGZ78:VHE78"/>
    <mergeCell ref="VHG78:VHL78"/>
    <mergeCell ref="VHN78:VHS78"/>
    <mergeCell ref="VHU78:VHZ78"/>
    <mergeCell ref="VIB78:VIG78"/>
    <mergeCell ref="VII78:VIN78"/>
    <mergeCell ref="VFJ78:VFO78"/>
    <mergeCell ref="VFQ78:VFV78"/>
    <mergeCell ref="VFX78:VGC78"/>
    <mergeCell ref="VGE78:VGJ78"/>
    <mergeCell ref="VGL78:VGQ78"/>
    <mergeCell ref="VGS78:VGX78"/>
    <mergeCell ref="VNL78:VNQ78"/>
    <mergeCell ref="VNS78:VNX78"/>
    <mergeCell ref="VNZ78:VOE78"/>
    <mergeCell ref="VOG78:VOL78"/>
    <mergeCell ref="VON78:VOS78"/>
    <mergeCell ref="VOU78:VOZ78"/>
    <mergeCell ref="VLV78:VMA78"/>
    <mergeCell ref="VMC78:VMH78"/>
    <mergeCell ref="VMJ78:VMO78"/>
    <mergeCell ref="VMQ78:VMV78"/>
    <mergeCell ref="VMX78:VNC78"/>
    <mergeCell ref="VNE78:VNJ78"/>
    <mergeCell ref="VKF78:VKK78"/>
    <mergeCell ref="VKM78:VKR78"/>
    <mergeCell ref="VKT78:VKY78"/>
    <mergeCell ref="VLA78:VLF78"/>
    <mergeCell ref="VLH78:VLM78"/>
    <mergeCell ref="VLO78:VLT78"/>
    <mergeCell ref="VSH78:VSM78"/>
    <mergeCell ref="VSO78:VST78"/>
    <mergeCell ref="VSV78:VTA78"/>
    <mergeCell ref="VTC78:VTH78"/>
    <mergeCell ref="VTJ78:VTO78"/>
    <mergeCell ref="VTQ78:VTV78"/>
    <mergeCell ref="VQR78:VQW78"/>
    <mergeCell ref="VQY78:VRD78"/>
    <mergeCell ref="VRF78:VRK78"/>
    <mergeCell ref="VRM78:VRR78"/>
    <mergeCell ref="VRT78:VRY78"/>
    <mergeCell ref="VSA78:VSF78"/>
    <mergeCell ref="VPB78:VPG78"/>
    <mergeCell ref="VPI78:VPN78"/>
    <mergeCell ref="VPP78:VPU78"/>
    <mergeCell ref="VPW78:VQB78"/>
    <mergeCell ref="VQD78:VQI78"/>
    <mergeCell ref="VQK78:VQP78"/>
    <mergeCell ref="VXD78:VXI78"/>
    <mergeCell ref="VXK78:VXP78"/>
    <mergeCell ref="VXR78:VXW78"/>
    <mergeCell ref="VXY78:VYD78"/>
    <mergeCell ref="VYF78:VYK78"/>
    <mergeCell ref="VYM78:VYR78"/>
    <mergeCell ref="VVN78:VVS78"/>
    <mergeCell ref="VVU78:VVZ78"/>
    <mergeCell ref="VWB78:VWG78"/>
    <mergeCell ref="VWI78:VWN78"/>
    <mergeCell ref="VWP78:VWU78"/>
    <mergeCell ref="VWW78:VXB78"/>
    <mergeCell ref="VTX78:VUC78"/>
    <mergeCell ref="VUE78:VUJ78"/>
    <mergeCell ref="VUL78:VUQ78"/>
    <mergeCell ref="VUS78:VUX78"/>
    <mergeCell ref="VUZ78:VVE78"/>
    <mergeCell ref="VVG78:VVL78"/>
    <mergeCell ref="WBZ78:WCE78"/>
    <mergeCell ref="WCG78:WCL78"/>
    <mergeCell ref="WCN78:WCS78"/>
    <mergeCell ref="WCU78:WCZ78"/>
    <mergeCell ref="WDB78:WDG78"/>
    <mergeCell ref="WDI78:WDN78"/>
    <mergeCell ref="WAJ78:WAO78"/>
    <mergeCell ref="WAQ78:WAV78"/>
    <mergeCell ref="WAX78:WBC78"/>
    <mergeCell ref="WBE78:WBJ78"/>
    <mergeCell ref="WBL78:WBQ78"/>
    <mergeCell ref="WBS78:WBX78"/>
    <mergeCell ref="VYT78:VYY78"/>
    <mergeCell ref="VZA78:VZF78"/>
    <mergeCell ref="VZH78:VZM78"/>
    <mergeCell ref="VZO78:VZT78"/>
    <mergeCell ref="VZV78:WAA78"/>
    <mergeCell ref="WAC78:WAH78"/>
    <mergeCell ref="WGV78:WHA78"/>
    <mergeCell ref="WHC78:WHH78"/>
    <mergeCell ref="WHJ78:WHO78"/>
    <mergeCell ref="WHQ78:WHV78"/>
    <mergeCell ref="WHX78:WIC78"/>
    <mergeCell ref="WIE78:WIJ78"/>
    <mergeCell ref="WFF78:WFK78"/>
    <mergeCell ref="WFM78:WFR78"/>
    <mergeCell ref="WFT78:WFY78"/>
    <mergeCell ref="WGA78:WGF78"/>
    <mergeCell ref="WGH78:WGM78"/>
    <mergeCell ref="WGO78:WGT78"/>
    <mergeCell ref="WDP78:WDU78"/>
    <mergeCell ref="WDW78:WEB78"/>
    <mergeCell ref="WED78:WEI78"/>
    <mergeCell ref="WEK78:WEP78"/>
    <mergeCell ref="WER78:WEW78"/>
    <mergeCell ref="WEY78:WFD78"/>
    <mergeCell ref="WLR78:WLW78"/>
    <mergeCell ref="WLY78:WMD78"/>
    <mergeCell ref="WMF78:WMK78"/>
    <mergeCell ref="WMM78:WMR78"/>
    <mergeCell ref="WMT78:WMY78"/>
    <mergeCell ref="WNA78:WNF78"/>
    <mergeCell ref="WKB78:WKG78"/>
    <mergeCell ref="WKI78:WKN78"/>
    <mergeCell ref="WKP78:WKU78"/>
    <mergeCell ref="WKW78:WLB78"/>
    <mergeCell ref="WLD78:WLI78"/>
    <mergeCell ref="WLK78:WLP78"/>
    <mergeCell ref="WIL78:WIQ78"/>
    <mergeCell ref="WIS78:WIX78"/>
    <mergeCell ref="WIZ78:WJE78"/>
    <mergeCell ref="WJG78:WJL78"/>
    <mergeCell ref="WJN78:WJS78"/>
    <mergeCell ref="WJU78:WJZ78"/>
    <mergeCell ref="WQN78:WQS78"/>
    <mergeCell ref="WQU78:WQZ78"/>
    <mergeCell ref="WRB78:WRG78"/>
    <mergeCell ref="WRI78:WRN78"/>
    <mergeCell ref="WRP78:WRU78"/>
    <mergeCell ref="WRW78:WSB78"/>
    <mergeCell ref="WOX78:WPC78"/>
    <mergeCell ref="WPE78:WPJ78"/>
    <mergeCell ref="WPL78:WPQ78"/>
    <mergeCell ref="WPS78:WPX78"/>
    <mergeCell ref="WPZ78:WQE78"/>
    <mergeCell ref="WQG78:WQL78"/>
    <mergeCell ref="WNH78:WNM78"/>
    <mergeCell ref="WNO78:WNT78"/>
    <mergeCell ref="WNV78:WOA78"/>
    <mergeCell ref="WOC78:WOH78"/>
    <mergeCell ref="WOJ78:WOO78"/>
    <mergeCell ref="WOQ78:WOV78"/>
    <mergeCell ref="WXN78:WXS78"/>
    <mergeCell ref="WXU78:WXZ78"/>
    <mergeCell ref="WYB78:WYG78"/>
    <mergeCell ref="WYI78:WYN78"/>
    <mergeCell ref="WVJ78:WVO78"/>
    <mergeCell ref="WVQ78:WVV78"/>
    <mergeCell ref="WVX78:WWC78"/>
    <mergeCell ref="WWE78:WWJ78"/>
    <mergeCell ref="WWL78:WWQ78"/>
    <mergeCell ref="WWS78:WWX78"/>
    <mergeCell ref="WTT78:WTY78"/>
    <mergeCell ref="WUA78:WUF78"/>
    <mergeCell ref="WUH78:WUM78"/>
    <mergeCell ref="WUO78:WUT78"/>
    <mergeCell ref="WUV78:WVA78"/>
    <mergeCell ref="WVC78:WVH78"/>
    <mergeCell ref="WSD78:WSI78"/>
    <mergeCell ref="WSK78:WSP78"/>
    <mergeCell ref="WSR78:WSW78"/>
    <mergeCell ref="WSY78:WTD78"/>
    <mergeCell ref="WTF78:WTK78"/>
    <mergeCell ref="WTM78:WTR78"/>
    <mergeCell ref="XFB78:XFD78"/>
    <mergeCell ref="B79:G79"/>
    <mergeCell ref="B82:G82"/>
    <mergeCell ref="B83:G83"/>
    <mergeCell ref="B84:G84"/>
    <mergeCell ref="B85:G85"/>
    <mergeCell ref="XDL78:XDQ78"/>
    <mergeCell ref="XDS78:XDX78"/>
    <mergeCell ref="XDZ78:XEE78"/>
    <mergeCell ref="XEG78:XEL78"/>
    <mergeCell ref="XEN78:XES78"/>
    <mergeCell ref="XEU78:XEZ78"/>
    <mergeCell ref="XBV78:XCA78"/>
    <mergeCell ref="XCC78:XCH78"/>
    <mergeCell ref="XCJ78:XCO78"/>
    <mergeCell ref="XCQ78:XCV78"/>
    <mergeCell ref="XCX78:XDC78"/>
    <mergeCell ref="XDE78:XDJ78"/>
    <mergeCell ref="XAF78:XAK78"/>
    <mergeCell ref="XAM78:XAR78"/>
    <mergeCell ref="XAT78:XAY78"/>
    <mergeCell ref="XBA78:XBF78"/>
    <mergeCell ref="XBH78:XBM78"/>
    <mergeCell ref="XBO78:XBT78"/>
    <mergeCell ref="WYP78:WYU78"/>
    <mergeCell ref="WYW78:WZB78"/>
    <mergeCell ref="WZD78:WZI78"/>
    <mergeCell ref="WZK78:WZP78"/>
    <mergeCell ref="WZR78:WZW78"/>
    <mergeCell ref="WZY78:XAD78"/>
    <mergeCell ref="WWZ78:WXE78"/>
    <mergeCell ref="WXG78:WXL78"/>
    <mergeCell ref="B107:G107"/>
    <mergeCell ref="B108:G108"/>
    <mergeCell ref="B109:G109"/>
    <mergeCell ref="B110:G110"/>
    <mergeCell ref="B101:G101"/>
    <mergeCell ref="B102:G102"/>
    <mergeCell ref="B103:G103"/>
    <mergeCell ref="B104:G104"/>
    <mergeCell ref="B105:G105"/>
    <mergeCell ref="B106:G106"/>
    <mergeCell ref="B95:G95"/>
    <mergeCell ref="B96:G96"/>
    <mergeCell ref="B97:G97"/>
    <mergeCell ref="B98:G98"/>
    <mergeCell ref="B99:G99"/>
    <mergeCell ref="B100:G100"/>
    <mergeCell ref="B86:G86"/>
    <mergeCell ref="B90:G90"/>
    <mergeCell ref="B91:G91"/>
    <mergeCell ref="B92:G92"/>
    <mergeCell ref="B93:G93"/>
    <mergeCell ref="B94:G94"/>
  </mergeCells>
  <hyperlinks>
    <hyperlink ref="D6" r:id="rId1"/>
    <hyperlink ref="D7"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605"/>
  <sheetViews>
    <sheetView windowProtection="1" showGridLines="0" topLeftCell="B1" zoomScale="80" zoomScaleNormal="80" workbookViewId="0">
      <selection activeCell="B1" sqref="B1:I1"/>
    </sheetView>
  </sheetViews>
  <sheetFormatPr baseColWidth="10" defaultColWidth="10.85546875" defaultRowHeight="12.75"/>
  <cols>
    <col min="1" max="1" width="18.7109375" style="1" customWidth="1"/>
    <col min="2" max="2" width="56.28515625" style="1" customWidth="1"/>
    <col min="3" max="3" width="48.28515625" style="1" customWidth="1"/>
    <col min="4" max="4" width="19.140625" style="6" bestFit="1" customWidth="1"/>
    <col min="5" max="5" width="35.85546875" style="1" customWidth="1"/>
    <col min="6" max="6" width="24.140625" style="7" customWidth="1"/>
    <col min="7" max="7" width="16.42578125" style="1" customWidth="1"/>
    <col min="8" max="8" width="30.140625" style="1" bestFit="1" customWidth="1"/>
    <col min="9" max="9" width="20.85546875" style="1" customWidth="1"/>
    <col min="10" max="10" width="24.42578125" style="1" customWidth="1"/>
    <col min="11" max="11" width="24.28515625" style="1" customWidth="1"/>
    <col min="12" max="12" width="16.140625" style="1" customWidth="1"/>
    <col min="13" max="13" width="15.85546875" style="1" customWidth="1"/>
    <col min="14" max="14" width="21" style="1" customWidth="1"/>
    <col min="15" max="15" width="15.85546875" style="1" bestFit="1" customWidth="1"/>
    <col min="16" max="16" width="14.140625" style="1" bestFit="1" customWidth="1"/>
    <col min="17" max="17" width="24.42578125" style="1" customWidth="1"/>
    <col min="18" max="18" width="17.140625" style="1" customWidth="1"/>
    <col min="19" max="19" width="20.140625" style="1" customWidth="1"/>
    <col min="20" max="20" width="15.85546875" style="1" bestFit="1" customWidth="1"/>
    <col min="21" max="21" width="20.140625" style="1" customWidth="1"/>
    <col min="22" max="22" width="15.42578125" style="1" bestFit="1" customWidth="1"/>
    <col min="23" max="16384" width="10.85546875" style="1"/>
  </cols>
  <sheetData>
    <row r="1" spans="1:13">
      <c r="B1" s="609" t="s">
        <v>8</v>
      </c>
      <c r="C1" s="609"/>
      <c r="D1" s="609"/>
      <c r="E1" s="609"/>
      <c r="F1" s="609"/>
      <c r="G1" s="609"/>
      <c r="H1" s="609"/>
      <c r="I1" s="609"/>
      <c r="J1" s="2"/>
      <c r="K1" s="2"/>
      <c r="L1" s="2"/>
      <c r="M1" s="2"/>
    </row>
    <row r="2" spans="1:13" s="3" customFormat="1">
      <c r="B2" s="4"/>
      <c r="C2" s="4"/>
      <c r="D2" s="4"/>
      <c r="E2" s="4"/>
      <c r="F2" s="4"/>
      <c r="G2" s="4"/>
      <c r="H2" s="4"/>
      <c r="I2" s="4"/>
      <c r="J2" s="4"/>
      <c r="K2" s="4"/>
      <c r="L2" s="4"/>
      <c r="M2" s="4"/>
    </row>
    <row r="3" spans="1:13">
      <c r="B3" s="5" t="s">
        <v>71</v>
      </c>
    </row>
    <row r="4" spans="1:13">
      <c r="B4" s="8" t="s">
        <v>259</v>
      </c>
    </row>
    <row r="5" spans="1:13">
      <c r="A5" s="9"/>
    </row>
    <row r="6" spans="1:13" ht="12.95" customHeight="1">
      <c r="B6" s="610" t="s">
        <v>260</v>
      </c>
      <c r="C6" s="610"/>
      <c r="D6" s="610"/>
      <c r="E6" s="610"/>
      <c r="F6" s="1"/>
    </row>
    <row r="7" spans="1:13" ht="16.5" customHeight="1">
      <c r="B7" s="10" t="s">
        <v>261</v>
      </c>
      <c r="C7" s="10" t="s">
        <v>13</v>
      </c>
      <c r="D7" s="11" t="s">
        <v>262</v>
      </c>
      <c r="E7" s="10" t="s">
        <v>263</v>
      </c>
      <c r="F7" s="1"/>
    </row>
    <row r="8" spans="1:13" ht="12.95" customHeight="1">
      <c r="B8" s="12" t="s">
        <v>264</v>
      </c>
      <c r="C8" s="12" t="s">
        <v>265</v>
      </c>
      <c r="D8" s="13">
        <v>17304178</v>
      </c>
      <c r="E8" s="12" t="s">
        <v>266</v>
      </c>
      <c r="F8" s="1"/>
    </row>
    <row r="9" spans="1:13" ht="12.95" customHeight="1">
      <c r="B9" s="12" t="s">
        <v>267</v>
      </c>
      <c r="C9" s="12" t="s">
        <v>268</v>
      </c>
      <c r="D9" s="13">
        <v>15634476</v>
      </c>
      <c r="E9" s="12" t="s">
        <v>266</v>
      </c>
      <c r="F9" s="1"/>
    </row>
    <row r="10" spans="1:13" ht="12.95" customHeight="1">
      <c r="B10" s="12" t="s">
        <v>269</v>
      </c>
      <c r="C10" s="12" t="s">
        <v>270</v>
      </c>
      <c r="D10" s="13">
        <v>13964775</v>
      </c>
      <c r="E10" s="12" t="s">
        <v>266</v>
      </c>
      <c r="F10" s="1"/>
    </row>
    <row r="11" spans="1:13">
      <c r="B11" s="12" t="s">
        <v>271</v>
      </c>
      <c r="C11" s="12" t="s">
        <v>272</v>
      </c>
      <c r="D11" s="13">
        <v>12446862</v>
      </c>
      <c r="E11" s="12" t="s">
        <v>266</v>
      </c>
      <c r="F11" s="1"/>
    </row>
    <row r="12" spans="1:13">
      <c r="B12" s="12" t="s">
        <v>273</v>
      </c>
      <c r="C12" s="12" t="s">
        <v>274</v>
      </c>
      <c r="D12" s="13">
        <v>11080746</v>
      </c>
      <c r="E12" s="12" t="s">
        <v>266</v>
      </c>
      <c r="F12" s="1"/>
    </row>
    <row r="13" spans="1:13" ht="13.5" thickBot="1">
      <c r="B13" s="12" t="s">
        <v>275</v>
      </c>
      <c r="C13" s="12" t="s">
        <v>276</v>
      </c>
      <c r="D13" s="13">
        <v>10473580</v>
      </c>
      <c r="E13" s="12" t="s">
        <v>266</v>
      </c>
    </row>
    <row r="14" spans="1:13">
      <c r="B14" s="12" t="s">
        <v>277</v>
      </c>
      <c r="C14" s="12" t="s">
        <v>278</v>
      </c>
      <c r="D14" s="13">
        <v>10018207</v>
      </c>
      <c r="E14" s="14" t="s">
        <v>266</v>
      </c>
      <c r="F14" s="15" t="s">
        <v>279</v>
      </c>
      <c r="G14" s="16"/>
      <c r="H14" s="16"/>
      <c r="I14" s="17"/>
    </row>
    <row r="15" spans="1:13">
      <c r="B15" s="12" t="s">
        <v>280</v>
      </c>
      <c r="C15" s="12" t="s">
        <v>281</v>
      </c>
      <c r="D15" s="6">
        <v>9562834</v>
      </c>
      <c r="E15" s="14" t="s">
        <v>266</v>
      </c>
      <c r="F15" s="18"/>
      <c r="I15" s="19"/>
    </row>
    <row r="16" spans="1:13">
      <c r="B16" s="12" t="s">
        <v>282</v>
      </c>
      <c r="C16" s="12" t="s">
        <v>283</v>
      </c>
      <c r="D16" s="13">
        <v>8652088</v>
      </c>
      <c r="E16" s="14" t="s">
        <v>266</v>
      </c>
      <c r="F16" s="20" t="s">
        <v>284</v>
      </c>
      <c r="G16" s="1" t="s">
        <v>285</v>
      </c>
      <c r="I16" s="19"/>
    </row>
    <row r="17" spans="2:9">
      <c r="B17" s="12" t="s">
        <v>286</v>
      </c>
      <c r="C17" s="12" t="s">
        <v>287</v>
      </c>
      <c r="D17" s="13">
        <v>7589549</v>
      </c>
      <c r="E17" s="14" t="s">
        <v>266</v>
      </c>
      <c r="F17" s="20" t="s">
        <v>288</v>
      </c>
      <c r="G17" s="1" t="s">
        <v>289</v>
      </c>
      <c r="I17" s="19"/>
    </row>
    <row r="18" spans="2:9">
      <c r="B18" s="12" t="s">
        <v>290</v>
      </c>
      <c r="C18" s="12" t="s">
        <v>291</v>
      </c>
      <c r="D18" s="13">
        <v>6982386</v>
      </c>
      <c r="E18" s="14" t="s">
        <v>266</v>
      </c>
      <c r="F18" s="20" t="s">
        <v>292</v>
      </c>
      <c r="G18" s="1" t="s">
        <v>293</v>
      </c>
      <c r="I18" s="19"/>
    </row>
    <row r="19" spans="2:9">
      <c r="B19" s="12" t="s">
        <v>294</v>
      </c>
      <c r="C19" s="12" t="s">
        <v>295</v>
      </c>
      <c r="D19" s="13">
        <v>6375222</v>
      </c>
      <c r="E19" s="14" t="s">
        <v>266</v>
      </c>
      <c r="F19" s="20" t="s">
        <v>296</v>
      </c>
      <c r="G19" s="1" t="s">
        <v>297</v>
      </c>
      <c r="I19" s="19"/>
    </row>
    <row r="20" spans="2:9">
      <c r="B20" s="12" t="s">
        <v>298</v>
      </c>
      <c r="C20" s="12" t="s">
        <v>299</v>
      </c>
      <c r="D20" s="13">
        <v>5464476</v>
      </c>
      <c r="E20" s="14" t="s">
        <v>266</v>
      </c>
      <c r="F20" s="20" t="s">
        <v>300</v>
      </c>
      <c r="G20" s="1" t="s">
        <v>301</v>
      </c>
      <c r="I20" s="19"/>
    </row>
    <row r="21" spans="2:9">
      <c r="B21" s="12" t="s">
        <v>302</v>
      </c>
      <c r="C21" s="12" t="s">
        <v>303</v>
      </c>
      <c r="D21" s="13">
        <v>4857310</v>
      </c>
      <c r="E21" s="14" t="s">
        <v>266</v>
      </c>
      <c r="F21" s="20" t="s">
        <v>304</v>
      </c>
      <c r="G21" s="1" t="s">
        <v>305</v>
      </c>
      <c r="I21" s="19"/>
    </row>
    <row r="22" spans="2:9">
      <c r="B22" s="12" t="s">
        <v>306</v>
      </c>
      <c r="C22" s="12" t="s">
        <v>307</v>
      </c>
      <c r="D22" s="13">
        <v>4401038</v>
      </c>
      <c r="E22" s="14" t="s">
        <v>266</v>
      </c>
      <c r="F22" s="20" t="s">
        <v>308</v>
      </c>
      <c r="G22" s="1" t="s">
        <v>309</v>
      </c>
      <c r="I22" s="19"/>
    </row>
    <row r="23" spans="2:9" ht="13.5" thickBot="1">
      <c r="B23" s="12" t="s">
        <v>310</v>
      </c>
      <c r="C23" s="12" t="s">
        <v>311</v>
      </c>
      <c r="D23" s="13">
        <v>3794773</v>
      </c>
      <c r="E23" s="14" t="s">
        <v>266</v>
      </c>
      <c r="F23" s="21"/>
      <c r="G23" s="22"/>
      <c r="H23" s="22"/>
      <c r="I23" s="23"/>
    </row>
    <row r="24" spans="2:9">
      <c r="B24" s="12" t="s">
        <v>312</v>
      </c>
      <c r="C24" s="12" t="s">
        <v>313</v>
      </c>
      <c r="D24" s="13">
        <v>3415296</v>
      </c>
      <c r="E24" s="12" t="s">
        <v>266</v>
      </c>
      <c r="F24" s="1"/>
    </row>
    <row r="25" spans="2:9">
      <c r="B25" s="12" t="s">
        <v>314</v>
      </c>
      <c r="C25" s="12" t="s">
        <v>315</v>
      </c>
      <c r="D25" s="13">
        <v>3035818</v>
      </c>
      <c r="E25" s="12" t="s">
        <v>266</v>
      </c>
      <c r="F25" s="1" t="s">
        <v>316</v>
      </c>
    </row>
    <row r="26" spans="2:9">
      <c r="B26" s="12" t="s">
        <v>317</v>
      </c>
      <c r="C26" s="12" t="s">
        <v>318</v>
      </c>
      <c r="D26" s="13">
        <v>2732236</v>
      </c>
      <c r="E26" s="12" t="s">
        <v>266</v>
      </c>
      <c r="F26" s="1"/>
    </row>
    <row r="27" spans="2:9">
      <c r="B27" s="12" t="s">
        <v>319</v>
      </c>
      <c r="C27" s="12" t="s">
        <v>320</v>
      </c>
      <c r="D27" s="13">
        <v>2428653</v>
      </c>
      <c r="E27" s="12" t="s">
        <v>266</v>
      </c>
      <c r="F27" s="1"/>
    </row>
    <row r="28" spans="2:9">
      <c r="B28" s="12" t="s">
        <v>321</v>
      </c>
      <c r="C28" s="12" t="s">
        <v>322</v>
      </c>
      <c r="D28" s="13">
        <v>2125072</v>
      </c>
      <c r="E28" s="12" t="s">
        <v>266</v>
      </c>
      <c r="F28" s="1"/>
    </row>
    <row r="29" spans="2:9">
      <c r="B29" s="12" t="s">
        <v>323</v>
      </c>
      <c r="C29" s="12" t="s">
        <v>324</v>
      </c>
      <c r="D29" s="13">
        <v>1821491</v>
      </c>
      <c r="E29" s="12" t="s">
        <v>266</v>
      </c>
      <c r="F29" s="1"/>
    </row>
    <row r="30" spans="2:9">
      <c r="B30" s="12" t="s">
        <v>325</v>
      </c>
      <c r="C30" s="12" t="s">
        <v>326</v>
      </c>
      <c r="D30" s="13">
        <v>1517908</v>
      </c>
      <c r="E30" s="12" t="s">
        <v>266</v>
      </c>
      <c r="F30" s="1"/>
    </row>
    <row r="31" spans="2:9">
      <c r="B31" s="12" t="s">
        <v>327</v>
      </c>
      <c r="C31" s="12" t="s">
        <v>328</v>
      </c>
      <c r="D31" s="13">
        <v>1214324</v>
      </c>
      <c r="E31" s="12" t="s">
        <v>266</v>
      </c>
      <c r="F31" s="1"/>
    </row>
    <row r="32" spans="2:9">
      <c r="B32" s="1" t="s">
        <v>329</v>
      </c>
      <c r="F32" s="1"/>
    </row>
    <row r="33" spans="2:7">
      <c r="B33" s="24" t="s">
        <v>76</v>
      </c>
      <c r="F33" s="1"/>
    </row>
    <row r="34" spans="2:7">
      <c r="B34" s="24"/>
      <c r="F34" s="1"/>
    </row>
    <row r="35" spans="2:7">
      <c r="B35" s="5" t="s">
        <v>77</v>
      </c>
      <c r="D35" s="25"/>
      <c r="F35" s="1"/>
    </row>
    <row r="36" spans="2:7">
      <c r="D36" s="25"/>
      <c r="F36" s="1"/>
    </row>
    <row r="37" spans="2:7">
      <c r="B37" s="8" t="s">
        <v>81</v>
      </c>
      <c r="D37" s="25"/>
      <c r="F37" s="1"/>
    </row>
    <row r="38" spans="2:7" ht="15">
      <c r="B38" s="610" t="s">
        <v>330</v>
      </c>
      <c r="C38" s="610"/>
      <c r="D38" s="610"/>
      <c r="E38" s="610"/>
      <c r="F38" s="611"/>
      <c r="G38" s="611"/>
    </row>
    <row r="39" spans="2:7">
      <c r="B39" s="10" t="s">
        <v>261</v>
      </c>
      <c r="C39" s="26" t="s">
        <v>13</v>
      </c>
      <c r="D39" s="27" t="s">
        <v>73</v>
      </c>
      <c r="E39" s="28" t="s">
        <v>262</v>
      </c>
      <c r="F39" s="10" t="s">
        <v>263</v>
      </c>
      <c r="G39" s="10" t="s">
        <v>331</v>
      </c>
    </row>
    <row r="40" spans="2:7">
      <c r="B40" s="12" t="s">
        <v>264</v>
      </c>
      <c r="C40" s="12" t="s">
        <v>265</v>
      </c>
      <c r="D40" s="29">
        <f t="shared" ref="D40:D63" si="0">D8</f>
        <v>17304178</v>
      </c>
      <c r="E40" s="30">
        <v>783825</v>
      </c>
      <c r="F40" s="12" t="s">
        <v>332</v>
      </c>
      <c r="G40" s="30">
        <f>E40*3.5</f>
        <v>2743387.5</v>
      </c>
    </row>
    <row r="41" spans="2:7">
      <c r="B41" s="12" t="s">
        <v>267</v>
      </c>
      <c r="C41" s="12" t="s">
        <v>268</v>
      </c>
      <c r="D41" s="29">
        <f t="shared" si="0"/>
        <v>15634476</v>
      </c>
      <c r="E41" s="30">
        <v>783825</v>
      </c>
      <c r="F41" s="12" t="s">
        <v>332</v>
      </c>
      <c r="G41" s="30">
        <f t="shared" ref="G41:G63" si="1">E41*3.5</f>
        <v>2743387.5</v>
      </c>
    </row>
    <row r="42" spans="2:7">
      <c r="B42" s="12" t="s">
        <v>269</v>
      </c>
      <c r="C42" s="12" t="s">
        <v>270</v>
      </c>
      <c r="D42" s="29">
        <f t="shared" si="0"/>
        <v>13964775</v>
      </c>
      <c r="E42" s="30">
        <f>D78</f>
        <v>783825</v>
      </c>
      <c r="F42" s="12" t="s">
        <v>332</v>
      </c>
      <c r="G42" s="30">
        <f t="shared" si="1"/>
        <v>2743387.5</v>
      </c>
    </row>
    <row r="43" spans="2:7">
      <c r="B43" s="12" t="s">
        <v>271</v>
      </c>
      <c r="C43" s="12" t="s">
        <v>272</v>
      </c>
      <c r="D43" s="29">
        <f t="shared" si="0"/>
        <v>12446862</v>
      </c>
      <c r="E43" s="30">
        <f>D77</f>
        <v>665583</v>
      </c>
      <c r="F43" s="12" t="s">
        <v>332</v>
      </c>
      <c r="G43" s="30">
        <f t="shared" si="1"/>
        <v>2329540.5</v>
      </c>
    </row>
    <row r="44" spans="2:7">
      <c r="B44" s="12" t="s">
        <v>273</v>
      </c>
      <c r="C44" s="12" t="s">
        <v>274</v>
      </c>
      <c r="D44" s="29">
        <f t="shared" si="0"/>
        <v>11080746</v>
      </c>
      <c r="E44" s="30">
        <f>D76</f>
        <v>550252</v>
      </c>
      <c r="F44" s="12" t="s">
        <v>332</v>
      </c>
      <c r="G44" s="30">
        <f t="shared" si="1"/>
        <v>1925882</v>
      </c>
    </row>
    <row r="45" spans="2:7">
      <c r="B45" s="12" t="s">
        <v>275</v>
      </c>
      <c r="C45" s="12" t="s">
        <v>276</v>
      </c>
      <c r="D45" s="29">
        <f t="shared" si="0"/>
        <v>10473580</v>
      </c>
      <c r="E45" s="30">
        <f>D76</f>
        <v>550252</v>
      </c>
      <c r="F45" s="12" t="s">
        <v>332</v>
      </c>
      <c r="G45" s="30">
        <f t="shared" si="1"/>
        <v>1925882</v>
      </c>
    </row>
    <row r="46" spans="2:7">
      <c r="B46" s="12" t="s">
        <v>277</v>
      </c>
      <c r="C46" s="12" t="s">
        <v>278</v>
      </c>
      <c r="D46" s="29">
        <f t="shared" si="0"/>
        <v>10018207</v>
      </c>
      <c r="E46" s="30">
        <f>D76</f>
        <v>550252</v>
      </c>
      <c r="F46" s="12" t="s">
        <v>332</v>
      </c>
      <c r="G46" s="30">
        <f t="shared" si="1"/>
        <v>1925882</v>
      </c>
    </row>
    <row r="47" spans="2:7">
      <c r="B47" s="12" t="s">
        <v>280</v>
      </c>
      <c r="C47" s="12" t="s">
        <v>281</v>
      </c>
      <c r="D47" s="29">
        <f t="shared" si="0"/>
        <v>9562834</v>
      </c>
      <c r="E47" s="30">
        <f>D76</f>
        <v>550252</v>
      </c>
      <c r="F47" s="12" t="s">
        <v>332</v>
      </c>
      <c r="G47" s="30">
        <f t="shared" si="1"/>
        <v>1925882</v>
      </c>
    </row>
    <row r="48" spans="2:7">
      <c r="B48" s="12" t="s">
        <v>282</v>
      </c>
      <c r="C48" s="12" t="s">
        <v>283</v>
      </c>
      <c r="D48" s="29">
        <f t="shared" si="0"/>
        <v>8652088</v>
      </c>
      <c r="E48" s="30">
        <f>D75</f>
        <v>423275</v>
      </c>
      <c r="F48" s="12" t="s">
        <v>332</v>
      </c>
      <c r="G48" s="30">
        <f t="shared" si="1"/>
        <v>1481462.5</v>
      </c>
    </row>
    <row r="49" spans="2:7">
      <c r="B49" s="12" t="s">
        <v>286</v>
      </c>
      <c r="C49" s="12" t="s">
        <v>287</v>
      </c>
      <c r="D49" s="29">
        <f t="shared" si="0"/>
        <v>7589549</v>
      </c>
      <c r="E49" s="30">
        <f>D75</f>
        <v>423275</v>
      </c>
      <c r="F49" s="12" t="s">
        <v>332</v>
      </c>
      <c r="G49" s="30">
        <f t="shared" si="1"/>
        <v>1481462.5</v>
      </c>
    </row>
    <row r="50" spans="2:7">
      <c r="B50" s="12" t="s">
        <v>290</v>
      </c>
      <c r="C50" s="12" t="s">
        <v>291</v>
      </c>
      <c r="D50" s="29">
        <f t="shared" si="0"/>
        <v>6982386</v>
      </c>
      <c r="E50" s="30">
        <f>D74</f>
        <v>313769</v>
      </c>
      <c r="F50" s="12" t="s">
        <v>332</v>
      </c>
      <c r="G50" s="30">
        <f t="shared" si="1"/>
        <v>1098191.5</v>
      </c>
    </row>
    <row r="51" spans="2:7">
      <c r="B51" s="12" t="s">
        <v>294</v>
      </c>
      <c r="C51" s="12" t="s">
        <v>295</v>
      </c>
      <c r="D51" s="29">
        <f t="shared" si="0"/>
        <v>6375222</v>
      </c>
      <c r="E51" s="30">
        <f>D74</f>
        <v>313769</v>
      </c>
      <c r="F51" s="12" t="s">
        <v>332</v>
      </c>
      <c r="G51" s="30">
        <f t="shared" si="1"/>
        <v>1098191.5</v>
      </c>
    </row>
    <row r="52" spans="2:7">
      <c r="B52" s="12" t="s">
        <v>298</v>
      </c>
      <c r="C52" s="12" t="s">
        <v>299</v>
      </c>
      <c r="D52" s="29">
        <f t="shared" si="0"/>
        <v>5464476</v>
      </c>
      <c r="E52" s="30">
        <f>D74</f>
        <v>313769</v>
      </c>
      <c r="F52" s="12" t="s">
        <v>332</v>
      </c>
      <c r="G52" s="30">
        <f t="shared" si="1"/>
        <v>1098191.5</v>
      </c>
    </row>
    <row r="53" spans="2:7">
      <c r="B53" s="12" t="s">
        <v>302</v>
      </c>
      <c r="C53" s="12" t="s">
        <v>303</v>
      </c>
      <c r="D53" s="29">
        <f t="shared" si="0"/>
        <v>4857310</v>
      </c>
      <c r="E53" s="30">
        <f>D73</f>
        <v>258320</v>
      </c>
      <c r="F53" s="12" t="s">
        <v>332</v>
      </c>
      <c r="G53" s="30">
        <f t="shared" si="1"/>
        <v>904120</v>
      </c>
    </row>
    <row r="54" spans="2:7">
      <c r="B54" s="12" t="s">
        <v>306</v>
      </c>
      <c r="C54" s="12" t="s">
        <v>307</v>
      </c>
      <c r="D54" s="29">
        <f t="shared" si="0"/>
        <v>4401038</v>
      </c>
      <c r="E54" s="30">
        <f>D73</f>
        <v>258320</v>
      </c>
      <c r="F54" s="12" t="s">
        <v>332</v>
      </c>
      <c r="G54" s="30">
        <f t="shared" si="1"/>
        <v>904120</v>
      </c>
    </row>
    <row r="55" spans="2:7">
      <c r="B55" s="12" t="s">
        <v>310</v>
      </c>
      <c r="C55" s="12" t="s">
        <v>311</v>
      </c>
      <c r="D55" s="29">
        <f t="shared" si="0"/>
        <v>3794773</v>
      </c>
      <c r="E55" s="30">
        <f>D73</f>
        <v>258320</v>
      </c>
      <c r="F55" s="12" t="s">
        <v>332</v>
      </c>
      <c r="G55" s="30">
        <f t="shared" si="1"/>
        <v>904120</v>
      </c>
    </row>
    <row r="56" spans="2:7">
      <c r="B56" s="12" t="s">
        <v>312</v>
      </c>
      <c r="C56" s="12" t="s">
        <v>313</v>
      </c>
      <c r="D56" s="29">
        <f t="shared" si="0"/>
        <v>3415296</v>
      </c>
      <c r="E56" s="30">
        <f>D72</f>
        <v>228866</v>
      </c>
      <c r="F56" s="12" t="s">
        <v>332</v>
      </c>
      <c r="G56" s="30">
        <f t="shared" si="1"/>
        <v>801031</v>
      </c>
    </row>
    <row r="57" spans="2:7">
      <c r="B57" s="12" t="s">
        <v>314</v>
      </c>
      <c r="C57" s="12" t="s">
        <v>315</v>
      </c>
      <c r="D57" s="29">
        <f t="shared" si="0"/>
        <v>3035818</v>
      </c>
      <c r="E57" s="30">
        <f>D72</f>
        <v>228866</v>
      </c>
      <c r="F57" s="12" t="s">
        <v>332</v>
      </c>
      <c r="G57" s="30">
        <f t="shared" si="1"/>
        <v>801031</v>
      </c>
    </row>
    <row r="58" spans="2:7">
      <c r="B58" s="12" t="s">
        <v>317</v>
      </c>
      <c r="C58" s="12" t="s">
        <v>318</v>
      </c>
      <c r="D58" s="29">
        <f t="shared" si="0"/>
        <v>2732236</v>
      </c>
      <c r="E58" s="30">
        <f>D71</f>
        <v>199306</v>
      </c>
      <c r="F58" s="12" t="s">
        <v>332</v>
      </c>
      <c r="G58" s="30">
        <f t="shared" si="1"/>
        <v>697571</v>
      </c>
    </row>
    <row r="59" spans="2:7">
      <c r="B59" s="12" t="s">
        <v>319</v>
      </c>
      <c r="C59" s="12" t="s">
        <v>320</v>
      </c>
      <c r="D59" s="29">
        <f t="shared" si="0"/>
        <v>2428653</v>
      </c>
      <c r="E59" s="30">
        <f>D71</f>
        <v>199306</v>
      </c>
      <c r="F59" s="12" t="s">
        <v>332</v>
      </c>
      <c r="G59" s="30">
        <f t="shared" si="1"/>
        <v>697571</v>
      </c>
    </row>
    <row r="60" spans="2:7">
      <c r="B60" s="12" t="s">
        <v>321</v>
      </c>
      <c r="C60" s="12" t="s">
        <v>322</v>
      </c>
      <c r="D60" s="29">
        <f t="shared" si="0"/>
        <v>2125072</v>
      </c>
      <c r="E60" s="30">
        <f>D70</f>
        <v>171283</v>
      </c>
      <c r="F60" s="12" t="s">
        <v>332</v>
      </c>
      <c r="G60" s="30">
        <f t="shared" si="1"/>
        <v>599490.5</v>
      </c>
    </row>
    <row r="61" spans="2:7">
      <c r="B61" s="12" t="s">
        <v>323</v>
      </c>
      <c r="C61" s="12" t="s">
        <v>324</v>
      </c>
      <c r="D61" s="29">
        <f t="shared" si="0"/>
        <v>1821491</v>
      </c>
      <c r="E61" s="30">
        <f>D70</f>
        <v>171283</v>
      </c>
      <c r="F61" s="12" t="s">
        <v>332</v>
      </c>
      <c r="G61" s="30">
        <f t="shared" si="1"/>
        <v>599490.5</v>
      </c>
    </row>
    <row r="62" spans="2:7">
      <c r="B62" s="12" t="s">
        <v>325</v>
      </c>
      <c r="C62" s="12" t="s">
        <v>326</v>
      </c>
      <c r="D62" s="29">
        <f t="shared" si="0"/>
        <v>1517908</v>
      </c>
      <c r="E62" s="30">
        <f>D69</f>
        <v>141166</v>
      </c>
      <c r="F62" s="12" t="s">
        <v>332</v>
      </c>
      <c r="G62" s="30">
        <f t="shared" si="1"/>
        <v>494081</v>
      </c>
    </row>
    <row r="63" spans="2:7">
      <c r="B63" s="12" t="s">
        <v>327</v>
      </c>
      <c r="C63" s="12" t="s">
        <v>328</v>
      </c>
      <c r="D63" s="29">
        <f t="shared" si="0"/>
        <v>1214324</v>
      </c>
      <c r="E63" s="30">
        <f>D68</f>
        <v>103291</v>
      </c>
      <c r="F63" s="12" t="s">
        <v>332</v>
      </c>
      <c r="G63" s="30">
        <f t="shared" si="1"/>
        <v>361518.5</v>
      </c>
    </row>
    <row r="64" spans="2:7">
      <c r="D64" s="31"/>
      <c r="E64" s="32"/>
      <c r="F64" s="1"/>
      <c r="G64" s="32"/>
    </row>
    <row r="65" spans="2:6">
      <c r="B65" s="8" t="s">
        <v>333</v>
      </c>
      <c r="D65" s="25"/>
      <c r="F65" s="1"/>
    </row>
    <row r="66" spans="2:6">
      <c r="B66" s="612" t="s">
        <v>334</v>
      </c>
      <c r="C66" s="613"/>
      <c r="D66" s="614"/>
      <c r="F66" s="1"/>
    </row>
    <row r="67" spans="2:6" ht="22.5">
      <c r="B67" s="33" t="s">
        <v>335</v>
      </c>
      <c r="C67" s="34" t="s">
        <v>336</v>
      </c>
      <c r="D67" s="35" t="s">
        <v>337</v>
      </c>
      <c r="F67" s="1"/>
    </row>
    <row r="68" spans="2:6">
      <c r="B68" s="36" t="s">
        <v>338</v>
      </c>
      <c r="C68" s="615" t="s">
        <v>339</v>
      </c>
      <c r="D68" s="37">
        <v>103291</v>
      </c>
      <c r="F68" s="1"/>
    </row>
    <row r="69" spans="2:6">
      <c r="B69" s="36" t="s">
        <v>340</v>
      </c>
      <c r="C69" s="616"/>
      <c r="D69" s="37">
        <v>141166</v>
      </c>
      <c r="F69" s="1"/>
    </row>
    <row r="70" spans="2:6">
      <c r="B70" s="36" t="s">
        <v>341</v>
      </c>
      <c r="C70" s="616"/>
      <c r="D70" s="37">
        <v>171283</v>
      </c>
      <c r="F70" s="1"/>
    </row>
    <row r="71" spans="2:6">
      <c r="B71" s="36" t="s">
        <v>342</v>
      </c>
      <c r="C71" s="616"/>
      <c r="D71" s="37">
        <v>199306</v>
      </c>
      <c r="F71" s="1"/>
    </row>
    <row r="72" spans="2:6">
      <c r="B72" s="36" t="s">
        <v>343</v>
      </c>
      <c r="C72" s="616"/>
      <c r="D72" s="37">
        <v>228866</v>
      </c>
      <c r="F72" s="1"/>
    </row>
    <row r="73" spans="2:6">
      <c r="B73" s="36" t="s">
        <v>344</v>
      </c>
      <c r="C73" s="616"/>
      <c r="D73" s="37">
        <v>258320</v>
      </c>
      <c r="F73" s="1"/>
    </row>
    <row r="74" spans="2:6">
      <c r="B74" s="36" t="s">
        <v>345</v>
      </c>
      <c r="C74" s="616"/>
      <c r="D74" s="37">
        <v>313769</v>
      </c>
      <c r="F74" s="1"/>
    </row>
    <row r="75" spans="2:6">
      <c r="B75" s="36" t="s">
        <v>346</v>
      </c>
      <c r="C75" s="616"/>
      <c r="D75" s="37">
        <v>423275</v>
      </c>
      <c r="F75" s="1"/>
    </row>
    <row r="76" spans="2:6">
      <c r="B76" s="36" t="s">
        <v>347</v>
      </c>
      <c r="C76" s="616"/>
      <c r="D76" s="37">
        <v>550252</v>
      </c>
      <c r="F76" s="1"/>
    </row>
    <row r="77" spans="2:6">
      <c r="B77" s="36" t="s">
        <v>348</v>
      </c>
      <c r="C77" s="616"/>
      <c r="D77" s="37">
        <v>665583</v>
      </c>
      <c r="F77" s="1"/>
    </row>
    <row r="78" spans="2:6">
      <c r="B78" s="36" t="s">
        <v>349</v>
      </c>
      <c r="C78" s="617"/>
      <c r="D78" s="37">
        <v>783825</v>
      </c>
      <c r="F78" s="1"/>
    </row>
    <row r="79" spans="2:6" ht="12.95" customHeight="1">
      <c r="B79" s="1" t="s">
        <v>350</v>
      </c>
      <c r="D79" s="25"/>
      <c r="F79" s="1"/>
    </row>
    <row r="80" spans="2:6">
      <c r="D80" s="25"/>
      <c r="F80" s="1"/>
    </row>
    <row r="81" spans="2:6">
      <c r="B81" s="8" t="s">
        <v>83</v>
      </c>
      <c r="D81" s="25"/>
      <c r="F81" s="1"/>
    </row>
    <row r="82" spans="2:6">
      <c r="B82" s="30" t="s">
        <v>351</v>
      </c>
      <c r="C82" s="30">
        <v>1000000</v>
      </c>
      <c r="D82" s="25"/>
      <c r="F82" s="1"/>
    </row>
    <row r="83" spans="2:6">
      <c r="B83" s="32" t="s">
        <v>352</v>
      </c>
      <c r="C83" s="32"/>
      <c r="D83" s="25"/>
      <c r="F83" s="1"/>
    </row>
    <row r="84" spans="2:6">
      <c r="D84" s="25"/>
      <c r="F84" s="1"/>
    </row>
    <row r="85" spans="2:6">
      <c r="B85" s="8" t="s">
        <v>353</v>
      </c>
      <c r="C85" s="38">
        <f>+AVERAGE(C89:C92)</f>
        <v>3875000</v>
      </c>
      <c r="D85" s="25"/>
      <c r="F85" s="1"/>
    </row>
    <row r="86" spans="2:6">
      <c r="B86" s="1" t="s">
        <v>351</v>
      </c>
      <c r="D86" s="25"/>
      <c r="F86" s="1"/>
    </row>
    <row r="87" spans="2:6">
      <c r="D87" s="25"/>
      <c r="F87" s="1"/>
    </row>
    <row r="88" spans="2:6">
      <c r="B88" s="39" t="s">
        <v>354</v>
      </c>
      <c r="C88" s="39" t="s">
        <v>355</v>
      </c>
      <c r="F88" s="1"/>
    </row>
    <row r="89" spans="2:6" ht="12.95" customHeight="1">
      <c r="B89" s="40" t="s">
        <v>356</v>
      </c>
      <c r="C89" s="41">
        <v>2900000</v>
      </c>
      <c r="F89" s="1"/>
    </row>
    <row r="90" spans="2:6" ht="12" customHeight="1">
      <c r="B90" s="40" t="s">
        <v>357</v>
      </c>
      <c r="C90" s="41">
        <v>2200000</v>
      </c>
      <c r="F90" s="1"/>
    </row>
    <row r="91" spans="2:6">
      <c r="B91" s="40" t="s">
        <v>358</v>
      </c>
      <c r="C91" s="41">
        <v>9000000</v>
      </c>
      <c r="F91" s="1"/>
    </row>
    <row r="92" spans="2:6">
      <c r="B92" s="40" t="s">
        <v>359</v>
      </c>
      <c r="C92" s="41">
        <v>1400000</v>
      </c>
      <c r="F92" s="1"/>
    </row>
    <row r="93" spans="2:6">
      <c r="B93" s="40"/>
      <c r="C93" s="41"/>
      <c r="F93" s="1"/>
    </row>
    <row r="94" spans="2:6">
      <c r="B94" s="32" t="s">
        <v>360</v>
      </c>
      <c r="F94" s="1"/>
    </row>
    <row r="95" spans="2:6">
      <c r="B95" s="32"/>
      <c r="F95" s="1"/>
    </row>
    <row r="96" spans="2:6">
      <c r="B96" s="8" t="s">
        <v>89</v>
      </c>
      <c r="C96" s="12"/>
      <c r="D96" s="42"/>
      <c r="F96" s="1"/>
    </row>
    <row r="97" spans="2:6">
      <c r="B97" s="12" t="s">
        <v>361</v>
      </c>
      <c r="C97" s="12" t="s">
        <v>362</v>
      </c>
      <c r="D97" s="13"/>
      <c r="F97" s="1"/>
    </row>
    <row r="98" spans="2:6">
      <c r="B98" s="12" t="s">
        <v>363</v>
      </c>
      <c r="C98" s="12" t="s">
        <v>364</v>
      </c>
      <c r="D98" s="13">
        <v>200000</v>
      </c>
      <c r="F98" s="1"/>
    </row>
    <row r="99" spans="2:6">
      <c r="B99" s="12" t="s">
        <v>365</v>
      </c>
      <c r="C99" s="12" t="s">
        <v>366</v>
      </c>
      <c r="D99" s="13">
        <v>400000</v>
      </c>
      <c r="F99" s="1"/>
    </row>
    <row r="100" spans="2:6">
      <c r="B100" s="12"/>
      <c r="C100" s="12" t="s">
        <v>367</v>
      </c>
      <c r="D100" s="13">
        <v>800000</v>
      </c>
      <c r="F100" s="1"/>
    </row>
    <row r="101" spans="2:6">
      <c r="B101" s="12"/>
      <c r="C101" s="12"/>
      <c r="D101" s="11">
        <f>AVERAGE(D98:D100)</f>
        <v>466666.66666666669</v>
      </c>
      <c r="F101" s="1"/>
    </row>
    <row r="102" spans="2:6">
      <c r="B102" s="8" t="s">
        <v>368</v>
      </c>
      <c r="C102" s="8" t="s">
        <v>369</v>
      </c>
      <c r="D102" s="43">
        <v>500000</v>
      </c>
      <c r="E102" s="44"/>
      <c r="F102" s="1"/>
    </row>
    <row r="103" spans="2:6" s="3" customFormat="1">
      <c r="B103" s="1"/>
      <c r="C103" s="1"/>
      <c r="D103" s="1"/>
      <c r="E103" s="45"/>
    </row>
    <row r="104" spans="2:6">
      <c r="B104" s="8" t="s">
        <v>370</v>
      </c>
      <c r="C104" s="43">
        <v>200000</v>
      </c>
      <c r="F104" s="1"/>
    </row>
    <row r="105" spans="2:6">
      <c r="B105" s="8" t="s">
        <v>371</v>
      </c>
      <c r="C105" s="43">
        <f>C104+D102</f>
        <v>700000</v>
      </c>
      <c r="F105" s="1"/>
    </row>
    <row r="106" spans="2:6">
      <c r="C106" s="6"/>
      <c r="F106" s="1"/>
    </row>
    <row r="107" spans="2:6">
      <c r="B107" s="8" t="s">
        <v>372</v>
      </c>
      <c r="C107" s="43">
        <f>200000</f>
        <v>200000</v>
      </c>
      <c r="F107" s="1"/>
    </row>
    <row r="108" spans="2:6">
      <c r="F108" s="1"/>
    </row>
    <row r="109" spans="2:6">
      <c r="B109" s="8" t="s">
        <v>373</v>
      </c>
      <c r="C109" s="8">
        <v>15</v>
      </c>
      <c r="F109" s="1"/>
    </row>
    <row r="110" spans="2:6">
      <c r="D110" s="1"/>
      <c r="F110" s="1"/>
    </row>
    <row r="111" spans="2:6">
      <c r="B111" s="8" t="s">
        <v>374</v>
      </c>
      <c r="C111" s="46" t="s">
        <v>262</v>
      </c>
      <c r="D111" s="1"/>
      <c r="F111" s="1"/>
    </row>
    <row r="112" spans="2:6">
      <c r="B112" s="12" t="s">
        <v>375</v>
      </c>
      <c r="C112" s="47">
        <v>38000</v>
      </c>
      <c r="D112" s="1"/>
      <c r="F112" s="1"/>
    </row>
    <row r="113" spans="2:6">
      <c r="B113" s="12" t="s">
        <v>376</v>
      </c>
      <c r="C113" s="47">
        <v>50000</v>
      </c>
      <c r="D113" s="1"/>
      <c r="F113" s="1"/>
    </row>
    <row r="114" spans="2:6">
      <c r="B114" s="46" t="s">
        <v>46</v>
      </c>
      <c r="C114" s="48">
        <f>SUM(C112:C113)</f>
        <v>88000</v>
      </c>
      <c r="D114" s="1"/>
      <c r="F114" s="1"/>
    </row>
    <row r="115" spans="2:6">
      <c r="D115" s="1"/>
      <c r="F115" s="1"/>
    </row>
    <row r="116" spans="2:6">
      <c r="B116" s="8" t="s">
        <v>377</v>
      </c>
      <c r="D116" s="25"/>
      <c r="F116" s="1"/>
    </row>
    <row r="117" spans="2:6">
      <c r="B117" s="12" t="s">
        <v>378</v>
      </c>
      <c r="C117" s="13">
        <v>126000</v>
      </c>
      <c r="F117" s="1"/>
    </row>
    <row r="118" spans="2:6">
      <c r="B118" s="12" t="s">
        <v>379</v>
      </c>
      <c r="C118" s="13">
        <v>617000</v>
      </c>
      <c r="F118" s="1"/>
    </row>
    <row r="119" spans="2:6">
      <c r="B119" s="12" t="s">
        <v>380</v>
      </c>
      <c r="C119" s="13">
        <v>1800000</v>
      </c>
      <c r="F119" s="1"/>
    </row>
    <row r="120" spans="2:6">
      <c r="B120" s="49" t="s">
        <v>381</v>
      </c>
      <c r="C120" s="6"/>
      <c r="F120" s="1"/>
    </row>
    <row r="121" spans="2:6" ht="15">
      <c r="B121" s="50"/>
      <c r="C121" s="51"/>
      <c r="D121" s="52"/>
      <c r="F121" s="1"/>
    </row>
    <row r="122" spans="2:6">
      <c r="B122" s="53" t="s">
        <v>99</v>
      </c>
    </row>
    <row r="123" spans="2:6">
      <c r="B123" s="12" t="str">
        <f>B136</f>
        <v>a. Talleres  y/o Eventos de divulgación Nacionales</v>
      </c>
      <c r="C123" s="47">
        <f>C141</f>
        <v>5000000</v>
      </c>
      <c r="D123" s="1"/>
    </row>
    <row r="124" spans="2:6">
      <c r="B124" s="54" t="str">
        <f>B150</f>
        <v>Talleres Regionales y/o eventos de divulgación regionales</v>
      </c>
      <c r="C124" s="47">
        <f>C196</f>
        <v>5700000</v>
      </c>
      <c r="D124" s="1"/>
    </row>
    <row r="125" spans="2:6">
      <c r="B125" s="12" t="str">
        <f>B143</f>
        <v>c. Mesas de trabajo</v>
      </c>
      <c r="C125" s="47">
        <f>C143</f>
        <v>1000000</v>
      </c>
      <c r="D125" s="1"/>
    </row>
    <row r="126" spans="2:6">
      <c r="B126" s="12" t="s">
        <v>107</v>
      </c>
      <c r="C126" s="47">
        <f>F146</f>
        <v>2882335</v>
      </c>
      <c r="D126" s="1"/>
    </row>
    <row r="127" spans="2:6">
      <c r="B127" s="12" t="str">
        <f>H136</f>
        <v>e. Visitas de Certificación</v>
      </c>
      <c r="C127" s="47">
        <f>I142</f>
        <v>652000</v>
      </c>
      <c r="D127" s="1"/>
    </row>
    <row r="128" spans="2:6">
      <c r="B128" s="12" t="str">
        <f>K136</f>
        <v>f. Formulación de planes sanitarios/predio</v>
      </c>
      <c r="C128" s="47">
        <f>L142</f>
        <v>655000</v>
      </c>
      <c r="D128" s="1"/>
    </row>
    <row r="129" spans="2:12">
      <c r="B129" s="12" t="str">
        <f>K146</f>
        <v>g. Predios demostrativos</v>
      </c>
      <c r="C129" s="47">
        <f>L162</f>
        <v>7000000</v>
      </c>
      <c r="D129" s="1"/>
    </row>
    <row r="130" spans="2:12">
      <c r="B130" s="12" t="str">
        <f>N146</f>
        <v>h. Días de campo/30 personas</v>
      </c>
      <c r="C130" s="47">
        <f>O156</f>
        <v>5100000</v>
      </c>
      <c r="D130" s="1"/>
    </row>
    <row r="131" spans="2:12">
      <c r="B131" s="12" t="str">
        <f>Q146</f>
        <v>i. Predios demostrativos/Investigación</v>
      </c>
      <c r="C131" s="47">
        <f>R161</f>
        <v>13000000</v>
      </c>
      <c r="D131" s="1"/>
    </row>
    <row r="132" spans="2:12">
      <c r="B132" s="12" t="str">
        <f>K169</f>
        <v>j. Talleres Prácticos/procesos 30personas</v>
      </c>
      <c r="C132" s="47">
        <f>L177</f>
        <v>6010000</v>
      </c>
      <c r="D132" s="1"/>
    </row>
    <row r="133" spans="2:12">
      <c r="B133" s="12" t="s">
        <v>382</v>
      </c>
      <c r="C133" s="47">
        <f>C125*10%</f>
        <v>100000</v>
      </c>
      <c r="D133" s="1"/>
    </row>
    <row r="134" spans="2:12">
      <c r="B134" s="12" t="s">
        <v>383</v>
      </c>
      <c r="C134" s="47">
        <f>C124*10%</f>
        <v>570000</v>
      </c>
      <c r="D134" s="1"/>
      <c r="E134" s="50"/>
    </row>
    <row r="135" spans="2:12">
      <c r="D135" s="1"/>
    </row>
    <row r="136" spans="2:12" ht="15">
      <c r="B136" s="618" t="s">
        <v>384</v>
      </c>
      <c r="C136" s="619"/>
      <c r="E136" s="618" t="s">
        <v>107</v>
      </c>
      <c r="F136" s="619"/>
      <c r="H136" s="55" t="s">
        <v>109</v>
      </c>
      <c r="K136" s="618" t="s">
        <v>111</v>
      </c>
      <c r="L136" s="611"/>
    </row>
    <row r="137" spans="2:12">
      <c r="B137" s="12" t="s">
        <v>385</v>
      </c>
      <c r="C137" s="47">
        <v>2000000</v>
      </c>
      <c r="D137" s="56"/>
      <c r="E137" s="12" t="s">
        <v>386</v>
      </c>
      <c r="F137" s="47">
        <v>300000</v>
      </c>
      <c r="H137" s="12" t="s">
        <v>387</v>
      </c>
      <c r="I137" s="47">
        <v>313769</v>
      </c>
      <c r="K137" s="12" t="s">
        <v>387</v>
      </c>
      <c r="L137" s="47">
        <v>313769</v>
      </c>
    </row>
    <row r="138" spans="2:12">
      <c r="B138" s="12" t="s">
        <v>388</v>
      </c>
      <c r="C138" s="47">
        <f>50*25000</f>
        <v>1250000</v>
      </c>
      <c r="E138" s="47" t="s">
        <v>388</v>
      </c>
      <c r="F138" s="47">
        <f>15000*30</f>
        <v>450000</v>
      </c>
      <c r="H138" s="12" t="s">
        <v>389</v>
      </c>
      <c r="I138" s="47">
        <f>C104</f>
        <v>200000</v>
      </c>
      <c r="K138" s="12" t="s">
        <v>389</v>
      </c>
      <c r="L138" s="47">
        <f>I138</f>
        <v>200000</v>
      </c>
    </row>
    <row r="139" spans="2:12">
      <c r="B139" s="40" t="s">
        <v>390</v>
      </c>
      <c r="C139" s="47">
        <v>1000000</v>
      </c>
      <c r="E139" s="57" t="s">
        <v>391</v>
      </c>
      <c r="F139" s="47">
        <v>50000</v>
      </c>
      <c r="H139" s="12" t="s">
        <v>392</v>
      </c>
      <c r="I139" s="47">
        <f>C255</f>
        <v>88000</v>
      </c>
      <c r="K139" s="12" t="s">
        <v>392</v>
      </c>
      <c r="L139" s="47">
        <f>I139</f>
        <v>88000</v>
      </c>
    </row>
    <row r="140" spans="2:12">
      <c r="B140" s="12" t="s">
        <v>393</v>
      </c>
      <c r="C140" s="47">
        <f>15000*50</f>
        <v>750000</v>
      </c>
      <c r="E140" s="12" t="s">
        <v>394</v>
      </c>
      <c r="F140" s="47">
        <f>15000*30</f>
        <v>450000</v>
      </c>
      <c r="H140" s="57" t="s">
        <v>391</v>
      </c>
      <c r="I140" s="47">
        <v>50000</v>
      </c>
      <c r="K140" s="57" t="s">
        <v>391</v>
      </c>
      <c r="L140" s="47">
        <v>50000</v>
      </c>
    </row>
    <row r="141" spans="2:12">
      <c r="B141" s="58" t="s">
        <v>395</v>
      </c>
      <c r="C141" s="59">
        <f>SUM(C137:C140)</f>
        <v>5000000</v>
      </c>
      <c r="E141" s="12" t="s">
        <v>396</v>
      </c>
      <c r="F141" s="47">
        <v>200000</v>
      </c>
      <c r="H141" s="12" t="s">
        <v>46</v>
      </c>
      <c r="I141" s="47">
        <f>SUM(I137:I140)</f>
        <v>651769</v>
      </c>
      <c r="K141" s="12"/>
      <c r="L141" s="60">
        <f>SUM(L137:L140)</f>
        <v>651769</v>
      </c>
    </row>
    <row r="142" spans="2:12">
      <c r="C142" s="7"/>
      <c r="E142" s="12" t="s">
        <v>387</v>
      </c>
      <c r="F142" s="47">
        <f>E52</f>
        <v>313769</v>
      </c>
      <c r="H142" s="55" t="s">
        <v>397</v>
      </c>
      <c r="I142" s="61">
        <v>652000</v>
      </c>
      <c r="K142" s="55" t="s">
        <v>398</v>
      </c>
      <c r="L142" s="61">
        <v>655000</v>
      </c>
    </row>
    <row r="143" spans="2:12">
      <c r="B143" s="58" t="s">
        <v>105</v>
      </c>
      <c r="C143" s="59">
        <f>SUM(C144:C145)</f>
        <v>1000000</v>
      </c>
      <c r="E143" s="12" t="s">
        <v>399</v>
      </c>
      <c r="F143" s="47">
        <f>E60*2</f>
        <v>342566</v>
      </c>
    </row>
    <row r="144" spans="2:12">
      <c r="B144" s="12" t="s">
        <v>388</v>
      </c>
      <c r="C144" s="47">
        <f>20*25000</f>
        <v>500000</v>
      </c>
      <c r="E144" s="12" t="s">
        <v>400</v>
      </c>
      <c r="F144" s="47">
        <f>C107*3</f>
        <v>600000</v>
      </c>
    </row>
    <row r="145" spans="1:22">
      <c r="B145" s="40" t="s">
        <v>385</v>
      </c>
      <c r="C145" s="47">
        <v>500000</v>
      </c>
      <c r="E145" s="12" t="s">
        <v>392</v>
      </c>
      <c r="F145" s="47">
        <f>C255*2</f>
        <v>176000</v>
      </c>
      <c r="Q145" s="1" t="s">
        <v>401</v>
      </c>
    </row>
    <row r="146" spans="1:22" ht="15">
      <c r="B146" s="40"/>
      <c r="C146" s="47"/>
      <c r="E146" s="62" t="s">
        <v>46</v>
      </c>
      <c r="F146" s="63">
        <f>SUM(F137:F145)</f>
        <v>2882335</v>
      </c>
      <c r="K146" s="618" t="s">
        <v>113</v>
      </c>
      <c r="L146" s="611"/>
      <c r="N146" s="620" t="s">
        <v>115</v>
      </c>
      <c r="O146" s="621"/>
      <c r="Q146" s="618" t="s">
        <v>117</v>
      </c>
      <c r="R146" s="611"/>
      <c r="S146" s="49" t="s">
        <v>402</v>
      </c>
    </row>
    <row r="147" spans="1:22">
      <c r="B147" s="58" t="str">
        <f>E136</f>
        <v>d. Brigadas Institucionales</v>
      </c>
      <c r="C147" s="59">
        <f>F146</f>
        <v>2882335</v>
      </c>
      <c r="F147" s="1"/>
      <c r="K147" s="12" t="s">
        <v>387</v>
      </c>
      <c r="L147" s="47">
        <v>313769</v>
      </c>
      <c r="N147" s="47" t="s">
        <v>403</v>
      </c>
      <c r="O147" s="47">
        <v>900000</v>
      </c>
      <c r="Q147" s="47" t="s">
        <v>387</v>
      </c>
      <c r="R147" s="47">
        <f>E47</f>
        <v>550252</v>
      </c>
      <c r="S147" s="605" t="s">
        <v>404</v>
      </c>
      <c r="T147" s="606"/>
      <c r="U147" s="606"/>
      <c r="V147" s="606"/>
    </row>
    <row r="148" spans="1:22">
      <c r="B148" s="6"/>
      <c r="C148" s="6"/>
      <c r="F148" s="1"/>
      <c r="K148" s="12" t="s">
        <v>389</v>
      </c>
      <c r="L148" s="47">
        <f>L138*5</f>
        <v>1000000</v>
      </c>
      <c r="N148" s="47" t="s">
        <v>388</v>
      </c>
      <c r="O148" s="47">
        <f>15000*30</f>
        <v>450000</v>
      </c>
      <c r="Q148" s="47" t="s">
        <v>405</v>
      </c>
      <c r="R148" s="57">
        <f>R147*5</f>
        <v>2751260</v>
      </c>
      <c r="S148" s="605"/>
      <c r="T148" s="606"/>
      <c r="U148" s="606"/>
      <c r="V148" s="606"/>
    </row>
    <row r="149" spans="1:22">
      <c r="B149" s="6"/>
      <c r="C149" s="6"/>
      <c r="F149" s="1"/>
      <c r="N149" s="47" t="s">
        <v>391</v>
      </c>
      <c r="O149" s="47">
        <v>50000</v>
      </c>
      <c r="Q149" s="47" t="s">
        <v>406</v>
      </c>
      <c r="R149" s="47">
        <v>1500000</v>
      </c>
      <c r="S149" s="605"/>
      <c r="T149" s="606"/>
      <c r="U149" s="606"/>
      <c r="V149" s="606"/>
    </row>
    <row r="150" spans="1:22">
      <c r="B150" s="607" t="s">
        <v>407</v>
      </c>
      <c r="C150" s="608"/>
      <c r="D150" s="1"/>
      <c r="F150" s="1"/>
      <c r="N150" s="47" t="s">
        <v>394</v>
      </c>
      <c r="O150" s="47">
        <v>450000</v>
      </c>
      <c r="Q150" s="47" t="s">
        <v>392</v>
      </c>
      <c r="R150" s="47">
        <f>O154</f>
        <v>0</v>
      </c>
      <c r="S150" s="64"/>
      <c r="T150" s="64"/>
      <c r="U150" s="64"/>
      <c r="V150" s="64"/>
    </row>
    <row r="151" spans="1:22" s="67" customFormat="1" ht="14.45" customHeight="1">
      <c r="A151" s="65"/>
      <c r="B151" s="66" t="s">
        <v>408</v>
      </c>
      <c r="C151" s="66"/>
      <c r="D151" s="12" t="s">
        <v>409</v>
      </c>
      <c r="E151" s="59">
        <v>10</v>
      </c>
      <c r="F151" s="1"/>
      <c r="G151" s="1"/>
      <c r="H151" s="1"/>
      <c r="I151" s="1"/>
      <c r="J151" s="1"/>
      <c r="K151" s="1"/>
      <c r="L151" s="1"/>
      <c r="M151" s="1"/>
      <c r="N151" s="47" t="s">
        <v>410</v>
      </c>
      <c r="O151" s="47">
        <v>1200000</v>
      </c>
      <c r="Q151" s="47" t="s">
        <v>411</v>
      </c>
      <c r="R151" s="47">
        <v>1200000</v>
      </c>
    </row>
    <row r="152" spans="1:22" s="67" customFormat="1" ht="14.25">
      <c r="A152" s="65"/>
      <c r="B152" s="622" t="s">
        <v>412</v>
      </c>
      <c r="C152" s="623"/>
      <c r="D152" s="12" t="s">
        <v>413</v>
      </c>
      <c r="E152" s="59">
        <v>30</v>
      </c>
      <c r="F152" s="1"/>
      <c r="G152" s="1"/>
      <c r="H152" s="1"/>
      <c r="I152" s="1"/>
      <c r="J152" s="1"/>
      <c r="K152" s="1"/>
      <c r="L152" s="1"/>
      <c r="M152" s="1"/>
      <c r="N152" s="47" t="s">
        <v>411</v>
      </c>
      <c r="O152" s="47">
        <v>1200000</v>
      </c>
      <c r="Q152" s="47" t="s">
        <v>410</v>
      </c>
      <c r="R152" s="47">
        <v>4000000</v>
      </c>
    </row>
    <row r="153" spans="1:22">
      <c r="D153" s="1"/>
      <c r="F153" s="1"/>
      <c r="K153" s="12"/>
      <c r="L153" s="47"/>
      <c r="N153" s="47" t="s">
        <v>414</v>
      </c>
      <c r="O153" s="47">
        <f>3*200000</f>
        <v>600000</v>
      </c>
      <c r="Q153" s="47" t="s">
        <v>415</v>
      </c>
      <c r="R153" s="47">
        <v>50000</v>
      </c>
    </row>
    <row r="154" spans="1:22">
      <c r="B154" s="607"/>
      <c r="C154" s="608"/>
      <c r="F154" s="1"/>
      <c r="K154" s="12"/>
      <c r="L154" s="47"/>
      <c r="N154" s="47" t="s">
        <v>392</v>
      </c>
      <c r="O154" s="47">
        <f>L149</f>
        <v>0</v>
      </c>
      <c r="Q154" s="47" t="s">
        <v>388</v>
      </c>
      <c r="R154" s="47">
        <f>20000*10</f>
        <v>200000</v>
      </c>
    </row>
    <row r="155" spans="1:22">
      <c r="A155" s="68" t="s">
        <v>416</v>
      </c>
      <c r="B155" s="69" t="s">
        <v>417</v>
      </c>
      <c r="C155" s="69" t="s">
        <v>418</v>
      </c>
      <c r="D155" s="25"/>
      <c r="E155" s="70" t="str">
        <f>A156</f>
        <v>Talleres Altiplano Cundiboyacense</v>
      </c>
      <c r="F155" s="70" t="str">
        <f>A171</f>
        <v>Talleres Eje Cafetero</v>
      </c>
      <c r="H155" s="70" t="str">
        <f>A184</f>
        <v>Talleres Orinoquía</v>
      </c>
      <c r="K155" s="57" t="s">
        <v>415</v>
      </c>
      <c r="L155" s="47">
        <v>50000</v>
      </c>
      <c r="N155" s="12" t="s">
        <v>419</v>
      </c>
      <c r="O155" s="47">
        <f>SUM(O147:O152)</f>
        <v>4250000</v>
      </c>
      <c r="Q155" s="47" t="s">
        <v>396</v>
      </c>
      <c r="R155" s="47">
        <v>400000</v>
      </c>
    </row>
    <row r="156" spans="1:22">
      <c r="A156" s="624" t="s">
        <v>420</v>
      </c>
      <c r="B156" s="71" t="s">
        <v>421</v>
      </c>
      <c r="C156" s="625">
        <f>F165</f>
        <v>5563769</v>
      </c>
      <c r="D156" s="25"/>
      <c r="E156" s="607" t="s">
        <v>422</v>
      </c>
      <c r="F156" s="608"/>
      <c r="H156" s="618" t="s">
        <v>422</v>
      </c>
      <c r="I156" s="619"/>
      <c r="K156" s="12" t="s">
        <v>423</v>
      </c>
      <c r="L156" s="57">
        <f>E55</f>
        <v>258320</v>
      </c>
      <c r="N156" s="55" t="s">
        <v>424</v>
      </c>
      <c r="O156" s="61">
        <v>5100000</v>
      </c>
      <c r="Q156" s="47" t="s">
        <v>425</v>
      </c>
      <c r="R156" s="47">
        <f>E53</f>
        <v>258320</v>
      </c>
    </row>
    <row r="157" spans="1:22">
      <c r="A157" s="624"/>
      <c r="B157" s="71" t="s">
        <v>426</v>
      </c>
      <c r="C157" s="626"/>
      <c r="D157" s="25"/>
      <c r="E157" s="12" t="s">
        <v>385</v>
      </c>
      <c r="F157" s="47">
        <v>2000000</v>
      </c>
      <c r="H157" s="12" t="s">
        <v>385</v>
      </c>
      <c r="I157" s="47">
        <v>1500000</v>
      </c>
      <c r="K157" s="12" t="s">
        <v>403</v>
      </c>
      <c r="L157" s="47">
        <v>1500000</v>
      </c>
      <c r="Q157" s="47" t="s">
        <v>427</v>
      </c>
      <c r="R157" s="47">
        <v>2000000</v>
      </c>
    </row>
    <row r="158" spans="1:22">
      <c r="A158" s="624"/>
      <c r="B158" s="71" t="s">
        <v>428</v>
      </c>
      <c r="C158" s="626"/>
      <c r="D158" s="25"/>
      <c r="E158" s="40" t="s">
        <v>403</v>
      </c>
      <c r="F158" s="47">
        <f>30*30000</f>
        <v>900000</v>
      </c>
      <c r="H158" s="40" t="s">
        <v>403</v>
      </c>
      <c r="I158" s="47">
        <f>30*50000</f>
        <v>1500000</v>
      </c>
      <c r="K158" s="12" t="s">
        <v>388</v>
      </c>
      <c r="L158" s="47">
        <f>20000*30</f>
        <v>600000</v>
      </c>
      <c r="Q158" s="55" t="s">
        <v>262</v>
      </c>
      <c r="R158" s="61">
        <f>SUM(R147:R157)</f>
        <v>12909832</v>
      </c>
    </row>
    <row r="159" spans="1:22">
      <c r="A159" s="624"/>
      <c r="B159" s="71" t="s">
        <v>429</v>
      </c>
      <c r="C159" s="626"/>
      <c r="D159" s="25"/>
      <c r="E159" s="47" t="s">
        <v>388</v>
      </c>
      <c r="F159" s="47">
        <f>15000*30</f>
        <v>450000</v>
      </c>
      <c r="H159" s="47" t="s">
        <v>388</v>
      </c>
      <c r="I159" s="47">
        <f>20000*30</f>
        <v>600000</v>
      </c>
      <c r="K159" s="12" t="s">
        <v>396</v>
      </c>
      <c r="L159" s="47">
        <v>400000</v>
      </c>
    </row>
    <row r="160" spans="1:22">
      <c r="A160" s="624"/>
      <c r="B160" s="72" t="s">
        <v>430</v>
      </c>
      <c r="C160" s="627"/>
      <c r="D160" s="25"/>
      <c r="E160" s="47" t="s">
        <v>431</v>
      </c>
      <c r="F160" s="47">
        <f>E50</f>
        <v>313769</v>
      </c>
      <c r="H160" s="12" t="s">
        <v>432</v>
      </c>
      <c r="I160" s="47">
        <f>35000*30</f>
        <v>1050000</v>
      </c>
      <c r="K160" s="12" t="s">
        <v>414</v>
      </c>
      <c r="L160" s="47">
        <f>200000*3</f>
        <v>600000</v>
      </c>
    </row>
    <row r="161" spans="1:18" ht="12.95" customHeight="1">
      <c r="A161" s="624" t="s">
        <v>433</v>
      </c>
      <c r="B161" s="71" t="s">
        <v>434</v>
      </c>
      <c r="C161" s="628">
        <f>F178</f>
        <v>5163769</v>
      </c>
      <c r="D161" s="25"/>
      <c r="E161" s="12" t="s">
        <v>396</v>
      </c>
      <c r="F161" s="47">
        <v>200000</v>
      </c>
      <c r="H161" s="47" t="s">
        <v>431</v>
      </c>
      <c r="I161" s="47">
        <f>F160</f>
        <v>313769</v>
      </c>
      <c r="K161" s="12" t="s">
        <v>419</v>
      </c>
      <c r="L161" s="47">
        <f>SUM(L147:L160)</f>
        <v>4722089</v>
      </c>
      <c r="Q161" s="55" t="s">
        <v>424</v>
      </c>
      <c r="R161" s="61">
        <f>13000000</f>
        <v>13000000</v>
      </c>
    </row>
    <row r="162" spans="1:18" ht="12.95" customHeight="1">
      <c r="A162" s="624"/>
      <c r="B162" s="71" t="s">
        <v>435</v>
      </c>
      <c r="C162" s="626"/>
      <c r="D162" s="25"/>
      <c r="E162" s="57" t="s">
        <v>391</v>
      </c>
      <c r="F162" s="47">
        <v>50000</v>
      </c>
      <c r="H162" s="12" t="s">
        <v>396</v>
      </c>
      <c r="I162" s="47">
        <v>400000</v>
      </c>
      <c r="K162" s="55" t="s">
        <v>424</v>
      </c>
      <c r="L162" s="61">
        <v>7000000</v>
      </c>
    </row>
    <row r="163" spans="1:18" ht="12.95" customHeight="1">
      <c r="A163" s="624"/>
      <c r="B163" s="71" t="s">
        <v>436</v>
      </c>
      <c r="C163" s="626"/>
      <c r="D163" s="25"/>
      <c r="E163" s="12" t="s">
        <v>394</v>
      </c>
      <c r="F163" s="47">
        <f>15000*30</f>
        <v>450000</v>
      </c>
      <c r="H163" s="57" t="s">
        <v>391</v>
      </c>
      <c r="I163" s="47">
        <v>50000</v>
      </c>
      <c r="K163" s="1" t="s">
        <v>437</v>
      </c>
      <c r="M163" s="38"/>
    </row>
    <row r="164" spans="1:18">
      <c r="A164" s="624"/>
      <c r="B164" s="71" t="s">
        <v>438</v>
      </c>
      <c r="C164" s="626"/>
      <c r="D164" s="25"/>
      <c r="E164" s="12" t="s">
        <v>410</v>
      </c>
      <c r="F164" s="47">
        <v>1200000</v>
      </c>
      <c r="H164" s="12" t="s">
        <v>394</v>
      </c>
      <c r="I164" s="47">
        <f>15000*30</f>
        <v>450000</v>
      </c>
      <c r="K164" s="629" t="s">
        <v>439</v>
      </c>
      <c r="L164" s="630"/>
    </row>
    <row r="165" spans="1:18">
      <c r="A165" s="624"/>
      <c r="B165" s="71" t="s">
        <v>440</v>
      </c>
      <c r="C165" s="626"/>
      <c r="D165" s="25"/>
      <c r="E165" s="63" t="s">
        <v>419</v>
      </c>
      <c r="F165" s="63">
        <f>SUM(F157:F164)</f>
        <v>5563769</v>
      </c>
      <c r="H165" s="12" t="s">
        <v>410</v>
      </c>
      <c r="I165" s="47">
        <v>1200000</v>
      </c>
      <c r="K165" s="630"/>
      <c r="L165" s="630"/>
    </row>
    <row r="166" spans="1:18">
      <c r="A166" s="624"/>
      <c r="B166" s="72" t="s">
        <v>430</v>
      </c>
      <c r="C166" s="627"/>
      <c r="D166" s="25"/>
      <c r="F166" s="1"/>
      <c r="H166" s="63" t="s">
        <v>419</v>
      </c>
      <c r="I166" s="63">
        <f>SUM(I157:I165)</f>
        <v>7063769</v>
      </c>
    </row>
    <row r="167" spans="1:18">
      <c r="A167" s="624" t="s">
        <v>441</v>
      </c>
      <c r="B167" s="71" t="s">
        <v>442</v>
      </c>
      <c r="C167" s="631">
        <f>F178</f>
        <v>5163769</v>
      </c>
      <c r="D167" s="25"/>
    </row>
    <row r="168" spans="1:18">
      <c r="A168" s="624"/>
      <c r="B168" s="71" t="s">
        <v>443</v>
      </c>
      <c r="C168" s="624"/>
      <c r="D168" s="25"/>
      <c r="E168" s="70" t="str">
        <f>A161</f>
        <v>Talleres Caribe Húmedo</v>
      </c>
      <c r="F168" s="70" t="str">
        <f>A167</f>
        <v>Talleres Caribe Seco</v>
      </c>
      <c r="H168" s="70" t="str">
        <f>A177</f>
        <v>Talleres Nororiente</v>
      </c>
      <c r="K168" s="70"/>
    </row>
    <row r="169" spans="1:18">
      <c r="A169" s="624"/>
      <c r="B169" s="71" t="s">
        <v>444</v>
      </c>
      <c r="C169" s="624"/>
      <c r="D169" s="25"/>
      <c r="E169" s="607" t="s">
        <v>422</v>
      </c>
      <c r="F169" s="632"/>
      <c r="H169" s="633" t="s">
        <v>422</v>
      </c>
      <c r="I169" s="634"/>
      <c r="K169" s="607" t="s">
        <v>119</v>
      </c>
      <c r="L169" s="632"/>
    </row>
    <row r="170" spans="1:18" ht="12.95" customHeight="1">
      <c r="A170" s="624"/>
      <c r="B170" s="72" t="s">
        <v>430</v>
      </c>
      <c r="C170" s="624"/>
      <c r="D170" s="25"/>
      <c r="E170" s="12" t="s">
        <v>385</v>
      </c>
      <c r="F170" s="47">
        <v>1000000</v>
      </c>
      <c r="H170" s="12" t="s">
        <v>385</v>
      </c>
      <c r="I170" s="47">
        <v>1500000</v>
      </c>
      <c r="K170" s="73" t="s">
        <v>385</v>
      </c>
      <c r="L170" s="74">
        <f>30*50000</f>
        <v>1500000</v>
      </c>
    </row>
    <row r="171" spans="1:18" ht="12.95" customHeight="1">
      <c r="A171" s="624" t="s">
        <v>445</v>
      </c>
      <c r="B171" s="71" t="s">
        <v>446</v>
      </c>
      <c r="C171" s="631">
        <f>F165</f>
        <v>5563769</v>
      </c>
      <c r="D171" s="25"/>
      <c r="E171" s="40" t="s">
        <v>403</v>
      </c>
      <c r="F171" s="47">
        <f>30*50000</f>
        <v>1500000</v>
      </c>
      <c r="H171" s="40" t="s">
        <v>403</v>
      </c>
      <c r="I171" s="47">
        <f>30*30000</f>
        <v>900000</v>
      </c>
      <c r="K171" s="74" t="s">
        <v>388</v>
      </c>
      <c r="L171" s="74">
        <f>20000*30</f>
        <v>600000</v>
      </c>
    </row>
    <row r="172" spans="1:18">
      <c r="A172" s="624"/>
      <c r="B172" s="71" t="s">
        <v>447</v>
      </c>
      <c r="C172" s="624"/>
      <c r="D172" s="25"/>
      <c r="E172" s="47" t="s">
        <v>388</v>
      </c>
      <c r="F172" s="47">
        <f>15000*30</f>
        <v>450000</v>
      </c>
      <c r="H172" s="47" t="s">
        <v>388</v>
      </c>
      <c r="I172" s="47">
        <f>15000*30</f>
        <v>450000</v>
      </c>
      <c r="K172" s="75" t="s">
        <v>432</v>
      </c>
      <c r="L172" s="74">
        <f>35000*30</f>
        <v>1050000</v>
      </c>
    </row>
    <row r="173" spans="1:18">
      <c r="A173" s="624"/>
      <c r="B173" s="72" t="s">
        <v>430</v>
      </c>
      <c r="C173" s="624"/>
      <c r="D173" s="25"/>
      <c r="E173" s="47" t="s">
        <v>431</v>
      </c>
      <c r="F173" s="47">
        <f>F160</f>
        <v>313769</v>
      </c>
      <c r="H173" s="47" t="s">
        <v>431</v>
      </c>
      <c r="I173" s="47">
        <f>I161</f>
        <v>313769</v>
      </c>
      <c r="K173" s="74" t="s">
        <v>431</v>
      </c>
      <c r="L173" s="74">
        <v>908526</v>
      </c>
      <c r="M173" s="1" t="s">
        <v>448</v>
      </c>
    </row>
    <row r="174" spans="1:18">
      <c r="A174" s="624" t="s">
        <v>449</v>
      </c>
      <c r="B174" s="71" t="s">
        <v>450</v>
      </c>
      <c r="C174" s="631">
        <f>F178</f>
        <v>5163769</v>
      </c>
      <c r="D174" s="25"/>
      <c r="E174" s="12" t="s">
        <v>396</v>
      </c>
      <c r="F174" s="47">
        <v>200000</v>
      </c>
      <c r="H174" s="12" t="s">
        <v>396</v>
      </c>
      <c r="I174" s="47">
        <v>200000</v>
      </c>
      <c r="K174" s="74" t="s">
        <v>394</v>
      </c>
      <c r="L174" s="74">
        <f>15000*30</f>
        <v>450000</v>
      </c>
    </row>
    <row r="175" spans="1:18">
      <c r="A175" s="624"/>
      <c r="B175" s="71" t="s">
        <v>451</v>
      </c>
      <c r="C175" s="624"/>
      <c r="D175" s="25"/>
      <c r="E175" s="57" t="s">
        <v>391</v>
      </c>
      <c r="F175" s="47">
        <v>50000</v>
      </c>
      <c r="H175" s="57" t="s">
        <v>391</v>
      </c>
      <c r="I175" s="47">
        <v>50000</v>
      </c>
      <c r="K175" s="74" t="s">
        <v>410</v>
      </c>
      <c r="L175" s="74">
        <v>1500000</v>
      </c>
    </row>
    <row r="176" spans="1:18">
      <c r="A176" s="624"/>
      <c r="B176" s="72" t="s">
        <v>430</v>
      </c>
      <c r="C176" s="624"/>
      <c r="D176" s="25"/>
      <c r="E176" s="12" t="s">
        <v>394</v>
      </c>
      <c r="F176" s="47">
        <f>15000*30</f>
        <v>450000</v>
      </c>
      <c r="H176" s="12" t="s">
        <v>394</v>
      </c>
      <c r="I176" s="47">
        <f>15000*30</f>
        <v>450000</v>
      </c>
      <c r="K176" s="74" t="s">
        <v>419</v>
      </c>
      <c r="L176" s="74">
        <f>SUM(L170:L175)</f>
        <v>6008526</v>
      </c>
    </row>
    <row r="177" spans="1:12">
      <c r="A177" s="635" t="s">
        <v>452</v>
      </c>
      <c r="B177" s="71" t="s">
        <v>453</v>
      </c>
      <c r="C177" s="638">
        <f>I178</f>
        <v>5063769</v>
      </c>
      <c r="D177" s="25"/>
      <c r="E177" s="12" t="s">
        <v>410</v>
      </c>
      <c r="F177" s="47">
        <v>1200000</v>
      </c>
      <c r="H177" s="12" t="s">
        <v>410</v>
      </c>
      <c r="I177" s="47">
        <v>1200000</v>
      </c>
      <c r="K177" s="63" t="s">
        <v>424</v>
      </c>
      <c r="L177" s="61">
        <v>6010000</v>
      </c>
    </row>
    <row r="178" spans="1:12">
      <c r="A178" s="636"/>
      <c r="B178" s="71" t="s">
        <v>454</v>
      </c>
      <c r="C178" s="636"/>
      <c r="D178" s="25"/>
      <c r="E178" s="63" t="s">
        <v>419</v>
      </c>
      <c r="F178" s="61">
        <f>SUM(F170:F177)</f>
        <v>5163769</v>
      </c>
      <c r="H178" s="63" t="s">
        <v>419</v>
      </c>
      <c r="I178" s="61">
        <f>SUM(I170:I177)</f>
        <v>5063769</v>
      </c>
    </row>
    <row r="179" spans="1:12">
      <c r="A179" s="636"/>
      <c r="B179" s="71" t="s">
        <v>455</v>
      </c>
      <c r="C179" s="636"/>
      <c r="D179" s="25"/>
    </row>
    <row r="180" spans="1:12">
      <c r="A180" s="637"/>
      <c r="B180" s="72" t="s">
        <v>430</v>
      </c>
      <c r="C180" s="637"/>
      <c r="D180" s="25"/>
    </row>
    <row r="181" spans="1:12">
      <c r="A181" s="639" t="s">
        <v>456</v>
      </c>
      <c r="B181" s="71" t="s">
        <v>457</v>
      </c>
      <c r="C181" s="640">
        <f>F165</f>
        <v>5563769</v>
      </c>
      <c r="D181" s="25"/>
    </row>
    <row r="182" spans="1:12">
      <c r="A182" s="639"/>
      <c r="B182" s="71" t="s">
        <v>458</v>
      </c>
      <c r="C182" s="639"/>
      <c r="D182" s="25"/>
    </row>
    <row r="183" spans="1:12">
      <c r="A183" s="639"/>
      <c r="B183" s="72" t="s">
        <v>430</v>
      </c>
      <c r="C183" s="639"/>
      <c r="D183" s="25"/>
    </row>
    <row r="184" spans="1:12">
      <c r="A184" s="639" t="s">
        <v>459</v>
      </c>
      <c r="B184" s="71" t="s">
        <v>460</v>
      </c>
      <c r="C184" s="640">
        <f>I166</f>
        <v>7063769</v>
      </c>
      <c r="D184" s="25"/>
    </row>
    <row r="185" spans="1:12">
      <c r="A185" s="639"/>
      <c r="B185" s="71" t="s">
        <v>461</v>
      </c>
      <c r="C185" s="639"/>
      <c r="D185" s="25"/>
    </row>
    <row r="186" spans="1:12">
      <c r="A186" s="639"/>
      <c r="B186" s="72" t="s">
        <v>430</v>
      </c>
      <c r="C186" s="639"/>
      <c r="D186" s="25"/>
    </row>
    <row r="187" spans="1:12">
      <c r="A187" s="641" t="s">
        <v>462</v>
      </c>
      <c r="B187" s="71" t="s">
        <v>463</v>
      </c>
      <c r="C187" s="642">
        <f>I166</f>
        <v>7063769</v>
      </c>
      <c r="D187" s="25"/>
    </row>
    <row r="188" spans="1:12">
      <c r="A188" s="641"/>
      <c r="B188" s="71" t="s">
        <v>464</v>
      </c>
      <c r="C188" s="641"/>
      <c r="D188" s="25"/>
      <c r="F188" s="1"/>
    </row>
    <row r="189" spans="1:12">
      <c r="A189" s="641"/>
      <c r="B189" s="71" t="s">
        <v>465</v>
      </c>
      <c r="C189" s="641"/>
      <c r="D189" s="25"/>
    </row>
    <row r="190" spans="1:12">
      <c r="A190" s="641"/>
      <c r="B190" s="72" t="s">
        <v>430</v>
      </c>
      <c r="C190" s="641"/>
      <c r="D190" s="25"/>
    </row>
    <row r="191" spans="1:12">
      <c r="A191" s="641" t="s">
        <v>466</v>
      </c>
      <c r="B191" s="71" t="s">
        <v>467</v>
      </c>
      <c r="C191" s="643">
        <f>F178</f>
        <v>5163769</v>
      </c>
      <c r="D191" s="25"/>
    </row>
    <row r="192" spans="1:12">
      <c r="A192" s="641"/>
      <c r="B192" s="71" t="s">
        <v>468</v>
      </c>
      <c r="C192" s="644"/>
      <c r="D192" s="25"/>
    </row>
    <row r="193" spans="1:11">
      <c r="A193" s="641"/>
      <c r="B193" s="71" t="s">
        <v>469</v>
      </c>
      <c r="C193" s="644"/>
      <c r="D193" s="25"/>
    </row>
    <row r="194" spans="1:11">
      <c r="A194" s="641"/>
      <c r="B194" s="71" t="s">
        <v>470</v>
      </c>
      <c r="C194" s="644"/>
      <c r="D194" s="25"/>
    </row>
    <row r="195" spans="1:11">
      <c r="A195" s="641"/>
      <c r="B195" s="72" t="s">
        <v>430</v>
      </c>
      <c r="C195" s="645"/>
      <c r="D195" s="25"/>
    </row>
    <row r="196" spans="1:11" ht="15">
      <c r="A196" s="646" t="s">
        <v>471</v>
      </c>
      <c r="B196" s="647"/>
      <c r="C196" s="76">
        <v>5700000</v>
      </c>
      <c r="D196" s="25"/>
    </row>
    <row r="197" spans="1:11">
      <c r="C197" s="38">
        <f>AVERAGE(C156:C195)</f>
        <v>5653769</v>
      </c>
      <c r="D197" s="25"/>
    </row>
    <row r="198" spans="1:11">
      <c r="B198" s="77" t="s">
        <v>125</v>
      </c>
      <c r="D198" s="25"/>
    </row>
    <row r="199" spans="1:11">
      <c r="B199" s="76" t="s">
        <v>126</v>
      </c>
      <c r="C199" s="78" t="s">
        <v>128</v>
      </c>
      <c r="D199" s="78" t="s">
        <v>130</v>
      </c>
    </row>
    <row r="200" spans="1:11">
      <c r="B200" s="79">
        <v>2021</v>
      </c>
      <c r="C200" s="80">
        <v>3523.02</v>
      </c>
      <c r="D200" s="81">
        <v>4279.09</v>
      </c>
      <c r="F200" s="1"/>
    </row>
    <row r="201" spans="1:11">
      <c r="B201" s="79">
        <v>2020</v>
      </c>
      <c r="C201" s="47">
        <v>3693.36</v>
      </c>
      <c r="D201" s="81">
        <v>4214.03</v>
      </c>
      <c r="F201" s="1"/>
    </row>
    <row r="202" spans="1:11">
      <c r="B202" s="82" t="s">
        <v>472</v>
      </c>
      <c r="C202" s="83">
        <f>AVERAGE(C200:C201)</f>
        <v>3608.19</v>
      </c>
      <c r="D202" s="83">
        <f>AVERAGE(D200:D201)</f>
        <v>4246.5599999999995</v>
      </c>
      <c r="F202" s="1"/>
    </row>
    <row r="203" spans="1:11">
      <c r="D203" s="1"/>
      <c r="F203" s="1"/>
    </row>
    <row r="204" spans="1:11">
      <c r="B204" s="50"/>
      <c r="C204" s="84"/>
      <c r="D204" s="85"/>
      <c r="E204" s="38"/>
      <c r="F204" s="1"/>
      <c r="I204" s="38"/>
    </row>
    <row r="205" spans="1:11">
      <c r="B205" s="77" t="s">
        <v>132</v>
      </c>
      <c r="C205" s="85"/>
      <c r="D205" s="85"/>
      <c r="F205" s="1"/>
    </row>
    <row r="206" spans="1:11" ht="15">
      <c r="A206" s="25"/>
      <c r="B206" s="86" t="s">
        <v>473</v>
      </c>
      <c r="C206" s="87" t="s">
        <v>262</v>
      </c>
      <c r="E206" s="648" t="s">
        <v>133</v>
      </c>
      <c r="F206" s="649"/>
      <c r="G206" s="649"/>
      <c r="H206" s="649"/>
      <c r="I206" s="649"/>
      <c r="J206" s="649"/>
    </row>
    <row r="207" spans="1:11">
      <c r="A207" s="25"/>
      <c r="B207" s="12" t="s">
        <v>133</v>
      </c>
      <c r="C207" s="60">
        <f>K211</f>
        <v>6300000</v>
      </c>
      <c r="E207" s="88"/>
      <c r="F207" s="88" t="s">
        <v>262</v>
      </c>
      <c r="G207" s="88" t="s">
        <v>474</v>
      </c>
      <c r="H207" s="88" t="s">
        <v>262</v>
      </c>
      <c r="I207" s="89" t="s">
        <v>475</v>
      </c>
      <c r="J207" s="89" t="s">
        <v>262</v>
      </c>
    </row>
    <row r="208" spans="1:11" ht="15" customHeight="1">
      <c r="A208" s="25"/>
      <c r="B208" s="12" t="s">
        <v>135</v>
      </c>
      <c r="C208" s="60">
        <f>F220</f>
        <v>500000</v>
      </c>
      <c r="E208" s="12" t="s">
        <v>476</v>
      </c>
      <c r="F208" s="47">
        <v>3700000</v>
      </c>
      <c r="G208" s="12" t="s">
        <v>476</v>
      </c>
      <c r="H208" s="47">
        <v>4800000</v>
      </c>
      <c r="I208" s="12" t="s">
        <v>476</v>
      </c>
      <c r="J208" s="47">
        <v>2750000</v>
      </c>
      <c r="K208" s="5" t="s">
        <v>477</v>
      </c>
    </row>
    <row r="209" spans="1:12">
      <c r="A209" s="25"/>
      <c r="B209" s="12" t="s">
        <v>137</v>
      </c>
      <c r="C209" s="60">
        <f>F230</f>
        <v>25000000</v>
      </c>
      <c r="E209" s="12" t="s">
        <v>478</v>
      </c>
      <c r="F209" s="47">
        <v>6900000</v>
      </c>
      <c r="G209" s="12" t="s">
        <v>478</v>
      </c>
      <c r="H209" s="47">
        <v>5100000</v>
      </c>
      <c r="I209" s="12" t="s">
        <v>478</v>
      </c>
      <c r="J209" s="47">
        <v>2750000</v>
      </c>
      <c r="K209" s="90">
        <f>(F211+H211+J211)/3</f>
        <v>6255555.555555555</v>
      </c>
    </row>
    <row r="210" spans="1:12">
      <c r="A210" s="25"/>
      <c r="B210" s="12" t="s">
        <v>139</v>
      </c>
      <c r="C210" s="60">
        <f>F231</f>
        <v>15000000</v>
      </c>
      <c r="E210" s="12" t="s">
        <v>479</v>
      </c>
      <c r="F210" s="47">
        <v>9600000</v>
      </c>
      <c r="G210" s="12" t="s">
        <v>479</v>
      </c>
      <c r="H210" s="47">
        <v>12400000</v>
      </c>
      <c r="I210" s="12" t="s">
        <v>479</v>
      </c>
      <c r="J210" s="47">
        <v>8300000</v>
      </c>
      <c r="K210" s="5" t="s">
        <v>480</v>
      </c>
    </row>
    <row r="211" spans="1:12" ht="14.1" customHeight="1">
      <c r="A211" s="25"/>
      <c r="B211" s="91" t="s">
        <v>141</v>
      </c>
      <c r="C211" s="92">
        <v>10000000</v>
      </c>
      <c r="E211" s="5" t="s">
        <v>477</v>
      </c>
      <c r="F211" s="90">
        <f>AVERAGE(F208:F210)</f>
        <v>6733333.333333333</v>
      </c>
      <c r="G211" s="5" t="s">
        <v>477</v>
      </c>
      <c r="H211" s="90">
        <f>AVERAGE(H208:H210)</f>
        <v>7433333.333333333</v>
      </c>
      <c r="I211" s="5" t="s">
        <v>477</v>
      </c>
      <c r="J211" s="90">
        <f>AVERAGE(J208:J210)</f>
        <v>4600000</v>
      </c>
      <c r="K211" s="90">
        <v>6300000</v>
      </c>
    </row>
    <row r="212" spans="1:12">
      <c r="A212" s="25"/>
      <c r="B212" s="91" t="s">
        <v>143</v>
      </c>
      <c r="C212" s="92">
        <v>4000000</v>
      </c>
      <c r="E212" s="49" t="s">
        <v>481</v>
      </c>
    </row>
    <row r="213" spans="1:12">
      <c r="A213" s="25"/>
      <c r="B213" s="91" t="s">
        <v>145</v>
      </c>
      <c r="C213" s="93">
        <v>900000</v>
      </c>
    </row>
    <row r="214" spans="1:12" ht="15">
      <c r="A214" s="25"/>
      <c r="B214" s="91" t="s">
        <v>147</v>
      </c>
      <c r="C214" s="57">
        <f>H245</f>
        <v>113300000</v>
      </c>
      <c r="E214" s="648" t="s">
        <v>482</v>
      </c>
      <c r="F214" s="650"/>
    </row>
    <row r="215" spans="1:12">
      <c r="A215" s="25"/>
      <c r="B215" s="91" t="s">
        <v>149</v>
      </c>
      <c r="C215" s="60">
        <f>H255</f>
        <v>49500000</v>
      </c>
      <c r="E215" s="89" t="s">
        <v>483</v>
      </c>
      <c r="F215" s="89" t="s">
        <v>262</v>
      </c>
      <c r="G215" s="94" t="s">
        <v>484</v>
      </c>
      <c r="H215" s="95"/>
    </row>
    <row r="216" spans="1:12">
      <c r="A216" s="25"/>
      <c r="B216" s="12" t="s">
        <v>151</v>
      </c>
      <c r="C216" s="60">
        <f>M258</f>
        <v>87500000</v>
      </c>
      <c r="E216" s="91" t="s">
        <v>485</v>
      </c>
      <c r="F216" s="92">
        <v>130000</v>
      </c>
      <c r="G216" s="96" t="s">
        <v>486</v>
      </c>
      <c r="H216" s="97" t="s">
        <v>487</v>
      </c>
    </row>
    <row r="217" spans="1:12">
      <c r="A217" s="25"/>
      <c r="B217" s="12" t="s">
        <v>153</v>
      </c>
      <c r="C217" s="60">
        <v>4500000000</v>
      </c>
      <c r="E217" s="12" t="s">
        <v>488</v>
      </c>
      <c r="F217" s="60">
        <v>200000</v>
      </c>
      <c r="G217" s="96" t="s">
        <v>489</v>
      </c>
      <c r="H217" s="97" t="s">
        <v>490</v>
      </c>
    </row>
    <row r="218" spans="1:12">
      <c r="A218" s="25"/>
      <c r="B218" s="91" t="s">
        <v>155</v>
      </c>
      <c r="C218" s="92">
        <v>18000000</v>
      </c>
      <c r="E218" s="12" t="s">
        <v>491</v>
      </c>
      <c r="F218" s="60">
        <v>1100000</v>
      </c>
      <c r="G218" s="96" t="s">
        <v>492</v>
      </c>
      <c r="H218" s="97" t="s">
        <v>493</v>
      </c>
    </row>
    <row r="219" spans="1:12">
      <c r="A219" s="25"/>
      <c r="B219" s="91" t="s">
        <v>157</v>
      </c>
      <c r="C219" s="60">
        <v>9000000</v>
      </c>
      <c r="E219" s="98" t="s">
        <v>477</v>
      </c>
      <c r="F219" s="99">
        <f>AVERAGE(F216:F218)</f>
        <v>476666.66666666669</v>
      </c>
      <c r="G219" s="100" t="s">
        <v>494</v>
      </c>
      <c r="H219" s="101" t="s">
        <v>495</v>
      </c>
    </row>
    <row r="220" spans="1:12">
      <c r="A220" s="25"/>
      <c r="B220" s="12" t="s">
        <v>159</v>
      </c>
      <c r="C220" s="60">
        <f>M264</f>
        <v>21000000</v>
      </c>
      <c r="E220" s="5" t="s">
        <v>496</v>
      </c>
      <c r="F220" s="102">
        <v>500000</v>
      </c>
    </row>
    <row r="221" spans="1:12" ht="12.95" customHeight="1">
      <c r="A221" s="25"/>
      <c r="B221" s="12" t="s">
        <v>161</v>
      </c>
      <c r="C221" s="60">
        <f>M274</f>
        <v>13500000</v>
      </c>
      <c r="E221" s="49" t="s">
        <v>497</v>
      </c>
      <c r="F221" s="1"/>
    </row>
    <row r="222" spans="1:12" ht="12.95" customHeight="1">
      <c r="A222" s="25"/>
      <c r="B222" s="91" t="s">
        <v>498</v>
      </c>
      <c r="C222" s="60">
        <f>F263</f>
        <v>4500000</v>
      </c>
      <c r="E222" s="652" t="s">
        <v>499</v>
      </c>
      <c r="F222" s="630"/>
      <c r="G222" s="630"/>
      <c r="H222" s="630"/>
    </row>
    <row r="223" spans="1:12" ht="12.95" customHeight="1">
      <c r="B223" s="12" t="s">
        <v>500</v>
      </c>
      <c r="C223" s="57">
        <f>H264</f>
        <v>3000000</v>
      </c>
      <c r="E223" s="630"/>
      <c r="F223" s="630"/>
      <c r="G223" s="630"/>
      <c r="H223" s="630"/>
      <c r="I223" s="59" t="s">
        <v>483</v>
      </c>
      <c r="J223" s="59" t="s">
        <v>262</v>
      </c>
      <c r="K223" s="620" t="s">
        <v>501</v>
      </c>
      <c r="L223" s="651"/>
    </row>
    <row r="224" spans="1:12" ht="12.95" customHeight="1">
      <c r="B224" s="12" t="s">
        <v>502</v>
      </c>
      <c r="C224" s="57">
        <f>N240</f>
        <v>18000000</v>
      </c>
      <c r="E224" s="51"/>
      <c r="F224" s="51"/>
      <c r="G224" s="51"/>
      <c r="H224" s="103"/>
      <c r="I224" s="59"/>
      <c r="J224" s="59"/>
      <c r="K224" s="61"/>
      <c r="L224" s="104"/>
    </row>
    <row r="225" spans="2:14" ht="129" customHeight="1">
      <c r="E225" s="652"/>
      <c r="F225" s="652"/>
      <c r="G225" s="652"/>
      <c r="H225" s="652"/>
      <c r="I225" s="105" t="s">
        <v>503</v>
      </c>
      <c r="J225" s="106">
        <v>4500000000</v>
      </c>
      <c r="K225" s="653" t="s">
        <v>504</v>
      </c>
      <c r="L225" s="654"/>
    </row>
    <row r="226" spans="2:14" ht="27.6" customHeight="1">
      <c r="B226" s="107" t="s">
        <v>163</v>
      </c>
      <c r="E226" s="652" t="s">
        <v>505</v>
      </c>
      <c r="F226" s="652"/>
      <c r="G226" s="652"/>
      <c r="H226" s="652"/>
      <c r="I226" s="50"/>
    </row>
    <row r="227" spans="2:14">
      <c r="B227" s="12" t="s">
        <v>164</v>
      </c>
      <c r="C227" s="47">
        <f>C235</f>
        <v>40000000</v>
      </c>
      <c r="I227" s="50"/>
    </row>
    <row r="228" spans="2:14" ht="15">
      <c r="B228" s="12" t="s">
        <v>166</v>
      </c>
      <c r="C228" s="57">
        <f>C242</f>
        <v>21000000</v>
      </c>
      <c r="I228" s="50"/>
      <c r="L228" s="51"/>
    </row>
    <row r="229" spans="2:14">
      <c r="B229" s="12" t="s">
        <v>168</v>
      </c>
      <c r="C229" s="57">
        <f>C249</f>
        <v>31520000</v>
      </c>
      <c r="E229" s="108" t="s">
        <v>483</v>
      </c>
      <c r="F229" s="108" t="s">
        <v>262</v>
      </c>
      <c r="H229" s="108" t="s">
        <v>483</v>
      </c>
      <c r="I229" s="108" t="s">
        <v>262</v>
      </c>
      <c r="K229" s="58" t="s">
        <v>483</v>
      </c>
      <c r="L229" s="109" t="s">
        <v>262</v>
      </c>
    </row>
    <row r="230" spans="2:14" ht="12.95" customHeight="1">
      <c r="E230" s="12" t="s">
        <v>506</v>
      </c>
      <c r="F230" s="41">
        <v>25000000</v>
      </c>
      <c r="H230" s="91" t="s">
        <v>141</v>
      </c>
      <c r="I230" s="92">
        <v>10000000</v>
      </c>
      <c r="K230" s="30" t="s">
        <v>507</v>
      </c>
      <c r="L230" s="47">
        <v>1800000</v>
      </c>
    </row>
    <row r="231" spans="2:14" ht="12.95" customHeight="1">
      <c r="B231" s="107" t="s">
        <v>508</v>
      </c>
      <c r="C231" s="7"/>
      <c r="E231" s="12" t="s">
        <v>509</v>
      </c>
      <c r="F231" s="41">
        <v>15000000</v>
      </c>
      <c r="H231" s="91" t="s">
        <v>143</v>
      </c>
      <c r="I231" s="92">
        <v>4000000</v>
      </c>
      <c r="K231" s="12" t="s">
        <v>510</v>
      </c>
      <c r="L231" s="47">
        <v>9000000</v>
      </c>
    </row>
    <row r="232" spans="2:14" ht="24" customHeight="1">
      <c r="B232" s="12" t="s">
        <v>511</v>
      </c>
      <c r="C232" s="47">
        <f>1000000*30</f>
        <v>30000000</v>
      </c>
      <c r="E232" s="655" t="s">
        <v>512</v>
      </c>
      <c r="F232" s="655"/>
      <c r="G232" s="51"/>
      <c r="H232" s="656" t="s">
        <v>513</v>
      </c>
      <c r="I232" s="656"/>
      <c r="K232" s="657" t="s">
        <v>514</v>
      </c>
      <c r="L232" s="658"/>
    </row>
    <row r="233" spans="2:14" ht="15">
      <c r="B233" s="12" t="s">
        <v>515</v>
      </c>
      <c r="C233" s="47">
        <v>4000000</v>
      </c>
      <c r="E233" s="661" t="s">
        <v>516</v>
      </c>
      <c r="F233" s="661"/>
      <c r="G233" s="50"/>
      <c r="H233" s="110"/>
      <c r="I233" s="110"/>
      <c r="K233" s="51"/>
      <c r="L233" s="51"/>
    </row>
    <row r="234" spans="2:14" ht="29.1" customHeight="1">
      <c r="B234" s="12" t="s">
        <v>517</v>
      </c>
      <c r="C234" s="47">
        <f>30*200000</f>
        <v>6000000</v>
      </c>
      <c r="E234" s="661"/>
      <c r="F234" s="661"/>
      <c r="G234" s="50"/>
      <c r="H234" s="51"/>
    </row>
    <row r="235" spans="2:14" ht="14.45" customHeight="1">
      <c r="B235" s="111" t="s">
        <v>518</v>
      </c>
      <c r="C235" s="112">
        <f>SUM(C232:C234)</f>
        <v>40000000</v>
      </c>
      <c r="E235" s="629"/>
      <c r="F235" s="630"/>
      <c r="G235" s="630"/>
      <c r="H235" s="113"/>
    </row>
    <row r="236" spans="2:14" ht="14.45" customHeight="1">
      <c r="B236" s="662" t="s">
        <v>519</v>
      </c>
      <c r="C236" s="662"/>
      <c r="H236" s="113"/>
      <c r="I236" s="629"/>
      <c r="J236" s="630"/>
    </row>
    <row r="237" spans="2:14">
      <c r="I237" s="630"/>
      <c r="J237" s="630"/>
    </row>
    <row r="238" spans="2:14" ht="15">
      <c r="B238" s="107" t="s">
        <v>520</v>
      </c>
      <c r="C238" s="7"/>
      <c r="E238" s="58" t="s">
        <v>521</v>
      </c>
      <c r="F238" s="109" t="s">
        <v>522</v>
      </c>
      <c r="G238" s="109" t="s">
        <v>262</v>
      </c>
      <c r="H238" s="109" t="s">
        <v>46</v>
      </c>
      <c r="J238" s="51"/>
      <c r="K238" s="1" t="s">
        <v>523</v>
      </c>
    </row>
    <row r="239" spans="2:14" ht="15">
      <c r="B239" s="12" t="s">
        <v>511</v>
      </c>
      <c r="C239" s="47">
        <f>2000000*5</f>
        <v>10000000</v>
      </c>
      <c r="E239" s="47" t="s">
        <v>524</v>
      </c>
      <c r="F239" s="47">
        <v>1000</v>
      </c>
      <c r="G239" s="47">
        <v>500</v>
      </c>
      <c r="H239" s="47">
        <f t="shared" ref="H239" si="2">F239*G239</f>
        <v>500000</v>
      </c>
      <c r="J239" s="51"/>
      <c r="K239" s="58" t="s">
        <v>525</v>
      </c>
      <c r="L239" s="109" t="s">
        <v>522</v>
      </c>
      <c r="M239" s="109" t="s">
        <v>262</v>
      </c>
      <c r="N239" s="109" t="s">
        <v>46</v>
      </c>
    </row>
    <row r="240" spans="2:14">
      <c r="B240" s="12" t="s">
        <v>526</v>
      </c>
      <c r="C240" s="47">
        <f>200000*5</f>
        <v>1000000</v>
      </c>
      <c r="E240" s="47" t="s">
        <v>527</v>
      </c>
      <c r="F240" s="47">
        <v>6</v>
      </c>
      <c r="G240" s="47">
        <f>C207</f>
        <v>6300000</v>
      </c>
      <c r="H240" s="47">
        <f>F240*G240</f>
        <v>37800000</v>
      </c>
      <c r="K240" s="47" t="s">
        <v>525</v>
      </c>
      <c r="L240" s="47">
        <v>3000</v>
      </c>
      <c r="M240" s="47">
        <v>6000</v>
      </c>
      <c r="N240" s="47">
        <f>L240*M240</f>
        <v>18000000</v>
      </c>
    </row>
    <row r="241" spans="2:13">
      <c r="B241" s="12" t="s">
        <v>528</v>
      </c>
      <c r="C241" s="47">
        <v>10000000</v>
      </c>
      <c r="E241" s="47" t="s">
        <v>525</v>
      </c>
      <c r="F241" s="47">
        <v>2000</v>
      </c>
      <c r="G241" s="47">
        <v>5000</v>
      </c>
      <c r="H241" s="47">
        <f>F241*G241</f>
        <v>10000000</v>
      </c>
    </row>
    <row r="242" spans="2:13">
      <c r="B242" s="111" t="s">
        <v>529</v>
      </c>
      <c r="C242" s="114">
        <f>SUM(C239:C241)</f>
        <v>21000000</v>
      </c>
      <c r="E242" s="47" t="s">
        <v>530</v>
      </c>
      <c r="F242" s="47">
        <v>4</v>
      </c>
      <c r="G242" s="47">
        <f>C211</f>
        <v>10000000</v>
      </c>
      <c r="H242" s="47">
        <f>F242*G242</f>
        <v>40000000</v>
      </c>
    </row>
    <row r="243" spans="2:13">
      <c r="B243" s="49" t="s">
        <v>531</v>
      </c>
      <c r="E243" s="47" t="s">
        <v>532</v>
      </c>
      <c r="F243" s="47">
        <v>1</v>
      </c>
      <c r="G243" s="47">
        <v>5000000</v>
      </c>
      <c r="H243" s="47">
        <f>F243*G243</f>
        <v>5000000</v>
      </c>
    </row>
    <row r="244" spans="2:13">
      <c r="E244" s="12" t="s">
        <v>533</v>
      </c>
      <c r="F244" s="47">
        <v>20000</v>
      </c>
      <c r="G244" s="47">
        <v>1000</v>
      </c>
      <c r="H244" s="47">
        <f>F244*G244</f>
        <v>20000000</v>
      </c>
    </row>
    <row r="245" spans="2:13">
      <c r="B245" s="107" t="s">
        <v>534</v>
      </c>
      <c r="C245" s="7"/>
      <c r="E245" s="115" t="s">
        <v>535</v>
      </c>
      <c r="F245" s="107"/>
      <c r="G245" s="107"/>
      <c r="H245" s="116">
        <f>SUM(H239:H244)</f>
        <v>113300000</v>
      </c>
    </row>
    <row r="246" spans="2:13">
      <c r="B246" s="12" t="s">
        <v>536</v>
      </c>
      <c r="C246" s="47">
        <f>2500000*5</f>
        <v>12500000</v>
      </c>
      <c r="D246" s="1"/>
      <c r="F246" s="1"/>
    </row>
    <row r="247" spans="2:13">
      <c r="B247" s="12" t="s">
        <v>526</v>
      </c>
      <c r="C247" s="47">
        <f>500*5*3608</f>
        <v>9020000</v>
      </c>
      <c r="D247" s="1"/>
    </row>
    <row r="248" spans="2:13">
      <c r="B248" s="12" t="s">
        <v>528</v>
      </c>
      <c r="C248" s="47">
        <v>10000000</v>
      </c>
      <c r="D248" s="1"/>
      <c r="E248" s="58" t="s">
        <v>537</v>
      </c>
      <c r="F248" s="109" t="s">
        <v>522</v>
      </c>
      <c r="G248" s="109" t="s">
        <v>262</v>
      </c>
      <c r="H248" s="109" t="s">
        <v>46</v>
      </c>
    </row>
    <row r="249" spans="2:13" ht="15">
      <c r="B249" s="111" t="s">
        <v>529</v>
      </c>
      <c r="C249" s="114">
        <f>SUM(C246:C248)</f>
        <v>31520000</v>
      </c>
      <c r="D249" s="1"/>
      <c r="E249" s="47" t="s">
        <v>524</v>
      </c>
      <c r="F249" s="47">
        <v>1000</v>
      </c>
      <c r="G249" s="47">
        <v>500</v>
      </c>
      <c r="H249" s="47">
        <f t="shared" ref="H249:H254" si="3">F249*G249</f>
        <v>500000</v>
      </c>
      <c r="J249" s="618" t="s">
        <v>538</v>
      </c>
      <c r="K249" s="651"/>
    </row>
    <row r="250" spans="2:13">
      <c r="B250" s="49" t="s">
        <v>539</v>
      </c>
      <c r="D250" s="1"/>
      <c r="E250" s="47" t="s">
        <v>484</v>
      </c>
      <c r="F250" s="47">
        <v>10</v>
      </c>
      <c r="G250" s="47">
        <f>C208</f>
        <v>500000</v>
      </c>
      <c r="H250" s="47">
        <f t="shared" si="3"/>
        <v>5000000</v>
      </c>
      <c r="J250" s="107" t="s">
        <v>473</v>
      </c>
      <c r="K250" s="117" t="s">
        <v>522</v>
      </c>
      <c r="L250" s="117" t="s">
        <v>262</v>
      </c>
      <c r="M250" s="117" t="s">
        <v>46</v>
      </c>
    </row>
    <row r="251" spans="2:13">
      <c r="D251" s="1"/>
      <c r="E251" s="12" t="s">
        <v>525</v>
      </c>
      <c r="F251" s="47">
        <v>2000</v>
      </c>
      <c r="G251" s="47">
        <v>5000</v>
      </c>
      <c r="H251" s="47">
        <f t="shared" si="3"/>
        <v>10000000</v>
      </c>
      <c r="J251" s="47" t="s">
        <v>524</v>
      </c>
      <c r="K251" s="47">
        <v>1000</v>
      </c>
      <c r="L251" s="47">
        <v>500</v>
      </c>
      <c r="M251" s="47">
        <v>500000</v>
      </c>
    </row>
    <row r="252" spans="2:13">
      <c r="B252" s="117" t="s">
        <v>540</v>
      </c>
      <c r="C252" s="117" t="s">
        <v>262</v>
      </c>
      <c r="D252" s="1"/>
      <c r="E252" s="47" t="s">
        <v>532</v>
      </c>
      <c r="F252" s="47">
        <v>1</v>
      </c>
      <c r="G252" s="47">
        <v>3000000</v>
      </c>
      <c r="H252" s="47">
        <f t="shared" si="3"/>
        <v>3000000</v>
      </c>
      <c r="J252" s="47" t="s">
        <v>541</v>
      </c>
      <c r="K252" s="47">
        <v>10</v>
      </c>
      <c r="L252" s="47">
        <v>500000</v>
      </c>
      <c r="M252" s="47">
        <v>5000000</v>
      </c>
    </row>
    <row r="253" spans="2:13" ht="15">
      <c r="B253" s="12" t="s">
        <v>375</v>
      </c>
      <c r="C253" s="47">
        <v>38000</v>
      </c>
      <c r="D253" s="1"/>
      <c r="E253" s="47" t="s">
        <v>542</v>
      </c>
      <c r="F253" s="47">
        <v>4</v>
      </c>
      <c r="G253" s="47">
        <f>C212</f>
        <v>4000000</v>
      </c>
      <c r="H253" s="47">
        <f t="shared" si="3"/>
        <v>16000000</v>
      </c>
      <c r="I253" s="51"/>
      <c r="J253" s="12" t="s">
        <v>525</v>
      </c>
      <c r="K253" s="47">
        <v>2000</v>
      </c>
      <c r="L253" s="47">
        <v>5000</v>
      </c>
      <c r="M253" s="47">
        <v>10000000</v>
      </c>
    </row>
    <row r="254" spans="2:13" ht="15">
      <c r="B254" s="12" t="s">
        <v>376</v>
      </c>
      <c r="C254" s="47">
        <v>50000</v>
      </c>
      <c r="D254" s="1"/>
      <c r="E254" s="12" t="s">
        <v>533</v>
      </c>
      <c r="F254" s="47">
        <v>15000</v>
      </c>
      <c r="G254" s="12">
        <v>1000</v>
      </c>
      <c r="H254" s="47">
        <f t="shared" si="3"/>
        <v>15000000</v>
      </c>
      <c r="I254" s="51"/>
      <c r="J254" s="47" t="s">
        <v>532</v>
      </c>
      <c r="K254" s="47">
        <v>1</v>
      </c>
      <c r="L254" s="47">
        <v>3000000</v>
      </c>
      <c r="M254" s="47">
        <v>3000000</v>
      </c>
    </row>
    <row r="255" spans="2:13" ht="15">
      <c r="B255" s="12" t="s">
        <v>46</v>
      </c>
      <c r="C255" s="114">
        <f>SUM(C253:C254)</f>
        <v>88000</v>
      </c>
      <c r="D255" s="1"/>
      <c r="E255" s="107" t="s">
        <v>543</v>
      </c>
      <c r="F255" s="107"/>
      <c r="G255" s="107"/>
      <c r="H255" s="116">
        <f>SUM(H249:H254)</f>
        <v>49500000</v>
      </c>
      <c r="I255" s="51"/>
      <c r="J255" s="47" t="s">
        <v>542</v>
      </c>
      <c r="K255" s="47">
        <v>4</v>
      </c>
      <c r="L255" s="47">
        <v>4000000</v>
      </c>
      <c r="M255" s="47">
        <v>24000000</v>
      </c>
    </row>
    <row r="256" spans="2:13" ht="15">
      <c r="D256" s="1"/>
      <c r="E256" s="51"/>
      <c r="F256" s="51"/>
      <c r="G256" s="51"/>
      <c r="H256" s="51"/>
      <c r="I256" s="51"/>
      <c r="J256" s="12" t="s">
        <v>533</v>
      </c>
      <c r="K256" s="47">
        <v>15000</v>
      </c>
      <c r="L256" s="12">
        <v>1000</v>
      </c>
      <c r="M256" s="47">
        <v>15000000</v>
      </c>
    </row>
    <row r="257" spans="1:13" ht="15">
      <c r="D257" s="1"/>
      <c r="E257" s="50"/>
      <c r="F257" s="51"/>
      <c r="J257" s="12" t="s">
        <v>544</v>
      </c>
      <c r="K257" s="12">
        <v>2</v>
      </c>
      <c r="L257" s="54">
        <f>C210</f>
        <v>15000000</v>
      </c>
      <c r="M257" s="47">
        <f>K257*L257</f>
        <v>30000000</v>
      </c>
    </row>
    <row r="258" spans="1:13" ht="12.95" customHeight="1">
      <c r="D258" s="1"/>
      <c r="E258" s="648" t="s">
        <v>545</v>
      </c>
      <c r="F258" s="649"/>
      <c r="G258" s="648" t="s">
        <v>546</v>
      </c>
      <c r="H258" s="649"/>
      <c r="J258" s="107" t="s">
        <v>547</v>
      </c>
      <c r="K258" s="107"/>
      <c r="L258" s="107"/>
      <c r="M258" s="116">
        <f>SUM(M251:M257)</f>
        <v>87500000</v>
      </c>
    </row>
    <row r="259" spans="1:13" ht="12.95" customHeight="1">
      <c r="D259" s="1"/>
      <c r="E259" s="12" t="s">
        <v>385</v>
      </c>
      <c r="F259" s="47">
        <v>2000000</v>
      </c>
      <c r="G259" s="12" t="s">
        <v>385</v>
      </c>
      <c r="H259" s="47">
        <v>1000000</v>
      </c>
    </row>
    <row r="260" spans="1:13" ht="12.6" customHeight="1">
      <c r="D260" s="1"/>
      <c r="E260" s="12" t="s">
        <v>388</v>
      </c>
      <c r="F260" s="47">
        <f>30000*50</f>
        <v>1500000</v>
      </c>
      <c r="G260" s="12" t="s">
        <v>388</v>
      </c>
      <c r="H260" s="47">
        <f>15000*50</f>
        <v>750000</v>
      </c>
      <c r="J260" s="618" t="s">
        <v>159</v>
      </c>
      <c r="K260" s="651"/>
    </row>
    <row r="261" spans="1:13">
      <c r="A261" s="118"/>
      <c r="D261" s="1"/>
      <c r="E261" s="12" t="s">
        <v>393</v>
      </c>
      <c r="F261" s="47">
        <f>20000*50</f>
        <v>1000000</v>
      </c>
      <c r="G261" s="12" t="s">
        <v>393</v>
      </c>
      <c r="H261" s="47">
        <f>15000*50</f>
        <v>750000</v>
      </c>
      <c r="J261" s="107" t="s">
        <v>548</v>
      </c>
      <c r="K261" s="117" t="s">
        <v>522</v>
      </c>
      <c r="L261" s="117" t="s">
        <v>262</v>
      </c>
      <c r="M261" s="117" t="s">
        <v>46</v>
      </c>
    </row>
    <row r="262" spans="1:13" ht="14.45" customHeight="1">
      <c r="D262" s="1"/>
      <c r="E262" s="12"/>
      <c r="F262" s="47"/>
      <c r="G262" s="12" t="s">
        <v>431</v>
      </c>
      <c r="H262" s="47">
        <f>E49</f>
        <v>423275</v>
      </c>
      <c r="J262" s="47" t="s">
        <v>541</v>
      </c>
      <c r="K262" s="47">
        <v>36</v>
      </c>
      <c r="L262" s="47">
        <v>500000</v>
      </c>
      <c r="M262" s="47">
        <f>K262*L262</f>
        <v>18000000</v>
      </c>
    </row>
    <row r="263" spans="1:13">
      <c r="D263" s="1"/>
      <c r="E263" s="107" t="s">
        <v>549</v>
      </c>
      <c r="F263" s="114">
        <f>SUM(F259:F262)</f>
        <v>4500000</v>
      </c>
      <c r="G263" s="107" t="s">
        <v>550</v>
      </c>
      <c r="H263" s="114">
        <f>SUM(H259:H262)</f>
        <v>2923275</v>
      </c>
      <c r="J263" s="47" t="s">
        <v>532</v>
      </c>
      <c r="K263" s="47">
        <v>1</v>
      </c>
      <c r="L263" s="47">
        <v>3000000</v>
      </c>
      <c r="M263" s="47">
        <v>3000000</v>
      </c>
    </row>
    <row r="264" spans="1:13">
      <c r="E264" s="7"/>
      <c r="G264" s="107" t="s">
        <v>398</v>
      </c>
      <c r="H264" s="114">
        <f>3000000</f>
        <v>3000000</v>
      </c>
      <c r="J264" s="107" t="s">
        <v>551</v>
      </c>
      <c r="M264" s="116">
        <f>SUM(M262:M263)</f>
        <v>21000000</v>
      </c>
    </row>
    <row r="265" spans="1:13">
      <c r="B265" s="119" t="s">
        <v>170</v>
      </c>
      <c r="E265" s="7"/>
      <c r="F265" s="1"/>
    </row>
    <row r="266" spans="1:13">
      <c r="B266" s="120" t="s">
        <v>171</v>
      </c>
      <c r="C266" s="120" t="s">
        <v>552</v>
      </c>
      <c r="E266" s="7"/>
      <c r="F266" s="1"/>
    </row>
    <row r="267" spans="1:13">
      <c r="B267" s="12" t="s">
        <v>553</v>
      </c>
      <c r="C267" s="47">
        <v>6662518</v>
      </c>
    </row>
    <row r="268" spans="1:13">
      <c r="B268" s="121" t="s">
        <v>554</v>
      </c>
      <c r="C268" s="122">
        <v>7911877</v>
      </c>
    </row>
    <row r="269" spans="1:13" ht="15">
      <c r="B269" s="12" t="s">
        <v>477</v>
      </c>
      <c r="C269" s="57">
        <f>AVERAGE(C267:C268)</f>
        <v>7287197.5</v>
      </c>
      <c r="D269" s="1"/>
      <c r="J269" s="618" t="s">
        <v>555</v>
      </c>
      <c r="K269" s="651"/>
    </row>
    <row r="270" spans="1:13">
      <c r="B270" s="120" t="s">
        <v>556</v>
      </c>
      <c r="C270" s="123">
        <f>7300000</f>
        <v>7300000</v>
      </c>
      <c r="D270" s="1"/>
      <c r="J270" s="107" t="s">
        <v>548</v>
      </c>
      <c r="K270" s="117" t="s">
        <v>522</v>
      </c>
      <c r="L270" s="117" t="s">
        <v>262</v>
      </c>
      <c r="M270" s="117" t="s">
        <v>46</v>
      </c>
    </row>
    <row r="271" spans="1:13">
      <c r="A271" s="49"/>
      <c r="B271" s="49" t="s">
        <v>557</v>
      </c>
      <c r="D271" s="1"/>
      <c r="J271" s="30" t="s">
        <v>524</v>
      </c>
      <c r="K271" s="47">
        <v>1000</v>
      </c>
      <c r="L271" s="47">
        <v>500</v>
      </c>
      <c r="M271" s="47">
        <v>500000</v>
      </c>
    </row>
    <row r="272" spans="1:13">
      <c r="A272" s="49"/>
      <c r="B272" s="124" t="s">
        <v>558</v>
      </c>
      <c r="D272" s="1"/>
      <c r="J272" s="12" t="s">
        <v>525</v>
      </c>
      <c r="K272" s="47">
        <v>2000</v>
      </c>
      <c r="L272" s="47">
        <v>5000</v>
      </c>
      <c r="M272" s="47">
        <v>10000000</v>
      </c>
    </row>
    <row r="273" spans="2:13">
      <c r="D273" s="1"/>
      <c r="J273" s="30" t="s">
        <v>532</v>
      </c>
      <c r="K273" s="47">
        <v>1</v>
      </c>
      <c r="L273" s="47">
        <v>3000000</v>
      </c>
      <c r="M273" s="47">
        <v>3000000</v>
      </c>
    </row>
    <row r="274" spans="2:13">
      <c r="B274" s="119" t="s">
        <v>173</v>
      </c>
      <c r="D274" s="1"/>
      <c r="J274" s="107" t="s">
        <v>559</v>
      </c>
      <c r="M274" s="116">
        <f>SUM(M271:M273)</f>
        <v>13500000</v>
      </c>
    </row>
    <row r="275" spans="2:13" ht="33.75">
      <c r="B275" s="79" t="s">
        <v>174</v>
      </c>
      <c r="C275" s="125" t="s">
        <v>560</v>
      </c>
      <c r="D275" s="57">
        <f>300000*30</f>
        <v>9000000</v>
      </c>
      <c r="F275" s="1"/>
    </row>
    <row r="276" spans="2:13">
      <c r="B276" s="79" t="s">
        <v>176</v>
      </c>
      <c r="C276" s="12" t="s">
        <v>561</v>
      </c>
      <c r="D276" s="57">
        <v>1500000</v>
      </c>
      <c r="F276" s="1"/>
    </row>
    <row r="277" spans="2:13">
      <c r="B277" s="79" t="s">
        <v>178</v>
      </c>
      <c r="C277" s="12" t="s">
        <v>561</v>
      </c>
      <c r="D277" s="57">
        <v>3000000</v>
      </c>
      <c r="F277" s="1"/>
    </row>
    <row r="278" spans="2:13">
      <c r="B278" s="79" t="s">
        <v>180</v>
      </c>
      <c r="C278" s="12" t="s">
        <v>561</v>
      </c>
      <c r="D278" s="57">
        <v>45000000</v>
      </c>
      <c r="F278" s="1"/>
    </row>
    <row r="279" spans="2:13">
      <c r="B279" s="79" t="s">
        <v>182</v>
      </c>
      <c r="C279" s="12" t="s">
        <v>561</v>
      </c>
      <c r="D279" s="57">
        <v>100000000</v>
      </c>
      <c r="F279" s="1"/>
    </row>
    <row r="280" spans="2:13">
      <c r="B280" s="79" t="s">
        <v>562</v>
      </c>
      <c r="C280" s="125" t="s">
        <v>561</v>
      </c>
      <c r="D280" s="57">
        <f>D276*10%</f>
        <v>150000</v>
      </c>
      <c r="F280" s="1"/>
    </row>
    <row r="281" spans="2:13">
      <c r="B281" s="79" t="s">
        <v>563</v>
      </c>
      <c r="C281" s="125" t="s">
        <v>561</v>
      </c>
      <c r="D281" s="57">
        <f>D277*10%</f>
        <v>300000</v>
      </c>
      <c r="F281" s="1"/>
    </row>
    <row r="282" spans="2:13">
      <c r="B282" s="79"/>
      <c r="C282" s="125"/>
      <c r="D282" s="57"/>
      <c r="F282" s="1"/>
    </row>
    <row r="283" spans="2:13">
      <c r="B283" s="126"/>
      <c r="C283" s="172"/>
      <c r="D283" s="38"/>
      <c r="F283" s="1"/>
    </row>
    <row r="284" spans="2:13">
      <c r="J284" s="12" t="s">
        <v>533</v>
      </c>
      <c r="K284" s="47">
        <v>15000</v>
      </c>
      <c r="L284" s="12">
        <v>1000</v>
      </c>
      <c r="M284" s="47">
        <v>15000000</v>
      </c>
    </row>
    <row r="285" spans="2:13">
      <c r="B285" s="119" t="s">
        <v>564</v>
      </c>
      <c r="J285" s="107" t="s">
        <v>565</v>
      </c>
      <c r="K285" s="107"/>
      <c r="L285" s="107"/>
      <c r="M285" s="116">
        <f>SUM(M271:M284)</f>
        <v>42000000</v>
      </c>
    </row>
    <row r="286" spans="2:13">
      <c r="B286" s="127" t="s">
        <v>566</v>
      </c>
      <c r="C286" s="128"/>
      <c r="E286" s="7"/>
    </row>
    <row r="287" spans="2:13">
      <c r="B287" s="12" t="s">
        <v>567</v>
      </c>
      <c r="C287" s="129">
        <v>191000000</v>
      </c>
    </row>
    <row r="288" spans="2:13">
      <c r="B288" s="12" t="s">
        <v>568</v>
      </c>
      <c r="C288" s="129">
        <v>350000000</v>
      </c>
      <c r="E288" s="7"/>
    </row>
    <row r="289" spans="1:22">
      <c r="B289" s="12" t="s">
        <v>569</v>
      </c>
      <c r="C289" s="129">
        <v>700000000</v>
      </c>
      <c r="E289" s="7"/>
    </row>
    <row r="290" spans="1:22">
      <c r="B290" s="1" t="s">
        <v>570</v>
      </c>
      <c r="E290" s="7"/>
    </row>
    <row r="291" spans="1:22" ht="15">
      <c r="B291" s="130"/>
    </row>
    <row r="292" spans="1:22" s="7" customFormat="1">
      <c r="A292" s="1"/>
      <c r="B292" s="120" t="s">
        <v>187</v>
      </c>
      <c r="C292" s="120"/>
      <c r="D292" s="6"/>
      <c r="E292" s="1"/>
      <c r="G292" s="1"/>
      <c r="H292" s="1"/>
      <c r="I292" s="1"/>
      <c r="J292" s="1"/>
      <c r="K292" s="1"/>
      <c r="L292" s="1"/>
      <c r="M292" s="1"/>
      <c r="N292" s="1"/>
      <c r="O292" s="1"/>
      <c r="P292" s="1"/>
      <c r="Q292" s="1"/>
      <c r="R292" s="1"/>
      <c r="S292" s="1"/>
      <c r="T292" s="1"/>
      <c r="U292" s="1"/>
      <c r="V292" s="1"/>
    </row>
    <row r="293" spans="1:22" s="7" customFormat="1">
      <c r="A293" s="1"/>
      <c r="B293" s="12" t="s">
        <v>571</v>
      </c>
      <c r="C293" s="47">
        <v>26000000</v>
      </c>
      <c r="D293" s="6"/>
      <c r="E293" s="1"/>
      <c r="G293" s="1"/>
      <c r="H293" s="1"/>
      <c r="I293" s="1"/>
      <c r="J293" s="1"/>
      <c r="K293" s="1"/>
      <c r="L293" s="1"/>
      <c r="M293" s="1"/>
      <c r="N293" s="1"/>
      <c r="O293" s="1"/>
      <c r="P293" s="1"/>
      <c r="Q293" s="1"/>
      <c r="R293" s="1"/>
      <c r="S293" s="1"/>
      <c r="T293" s="1"/>
      <c r="U293" s="1"/>
      <c r="V293" s="1"/>
    </row>
    <row r="294" spans="1:22" s="7" customFormat="1">
      <c r="A294" s="1"/>
      <c r="B294" s="12" t="s">
        <v>572</v>
      </c>
      <c r="C294" s="47">
        <v>17000000</v>
      </c>
      <c r="D294" s="6"/>
      <c r="E294" s="1"/>
      <c r="G294" s="1"/>
      <c r="H294" s="1"/>
      <c r="I294" s="1"/>
      <c r="J294" s="1"/>
      <c r="K294" s="1"/>
      <c r="L294" s="1"/>
      <c r="M294" s="1"/>
      <c r="N294" s="1"/>
      <c r="O294" s="1"/>
      <c r="P294" s="1"/>
      <c r="Q294" s="1"/>
      <c r="R294" s="1"/>
      <c r="S294" s="1"/>
      <c r="T294" s="1"/>
      <c r="U294" s="1"/>
      <c r="V294" s="1"/>
    </row>
    <row r="295" spans="1:22" s="7" customFormat="1">
      <c r="A295" s="1"/>
      <c r="B295" s="120" t="s">
        <v>573</v>
      </c>
      <c r="C295" s="123">
        <f>SUM(C293:C294)</f>
        <v>43000000</v>
      </c>
      <c r="D295" s="6"/>
      <c r="E295" s="1"/>
      <c r="G295" s="1"/>
      <c r="H295" s="1"/>
      <c r="I295" s="1"/>
      <c r="J295" s="1"/>
      <c r="K295" s="1"/>
      <c r="L295" s="1"/>
      <c r="M295" s="1"/>
      <c r="N295" s="1"/>
      <c r="O295" s="1"/>
      <c r="P295" s="1"/>
      <c r="Q295" s="1"/>
      <c r="R295" s="1"/>
      <c r="S295" s="1"/>
      <c r="T295" s="1"/>
      <c r="U295" s="1"/>
      <c r="V295" s="1"/>
    </row>
    <row r="296" spans="1:22" s="7" customFormat="1">
      <c r="A296" s="1"/>
      <c r="B296" s="1" t="s">
        <v>574</v>
      </c>
      <c r="C296" s="1"/>
      <c r="D296" s="1"/>
      <c r="E296" s="1"/>
      <c r="G296" s="1"/>
      <c r="H296" s="1"/>
      <c r="I296" s="1"/>
      <c r="J296" s="1"/>
      <c r="K296" s="1"/>
      <c r="L296" s="1"/>
      <c r="M296" s="1"/>
      <c r="N296" s="1"/>
      <c r="O296" s="1"/>
      <c r="P296" s="1"/>
      <c r="Q296" s="1"/>
      <c r="R296" s="1"/>
      <c r="S296" s="1"/>
      <c r="T296" s="1"/>
      <c r="U296" s="1"/>
      <c r="V296" s="1"/>
    </row>
    <row r="297" spans="1:22" s="7" customFormat="1">
      <c r="A297" s="1"/>
      <c r="B297" s="1"/>
      <c r="C297" s="1"/>
      <c r="D297" s="1"/>
      <c r="E297" s="1"/>
      <c r="G297" s="1"/>
      <c r="H297" s="1"/>
      <c r="I297" s="1"/>
      <c r="J297" s="1"/>
      <c r="K297" s="1"/>
      <c r="L297" s="1"/>
      <c r="M297" s="1"/>
      <c r="N297" s="1"/>
      <c r="O297" s="1"/>
      <c r="P297" s="1"/>
      <c r="Q297" s="1"/>
      <c r="R297" s="1"/>
      <c r="S297" s="1"/>
      <c r="T297" s="1"/>
      <c r="U297" s="1"/>
      <c r="V297" s="1"/>
    </row>
    <row r="298" spans="1:22" s="7" customFormat="1">
      <c r="A298" s="1"/>
      <c r="B298" s="120" t="s">
        <v>189</v>
      </c>
      <c r="C298" s="1"/>
      <c r="D298" s="1"/>
      <c r="E298" s="1"/>
      <c r="G298" s="1"/>
      <c r="H298" s="1"/>
      <c r="I298" s="1"/>
      <c r="J298" s="1"/>
      <c r="K298" s="1"/>
      <c r="L298" s="1"/>
      <c r="M298" s="1"/>
      <c r="N298" s="1"/>
      <c r="O298" s="1"/>
      <c r="P298" s="1"/>
      <c r="Q298" s="1"/>
      <c r="R298" s="1"/>
      <c r="S298" s="1"/>
      <c r="T298" s="1"/>
      <c r="U298" s="1"/>
      <c r="V298" s="1"/>
    </row>
    <row r="299" spans="1:22" s="7" customFormat="1">
      <c r="A299" s="1"/>
      <c r="B299" s="12" t="s">
        <v>575</v>
      </c>
      <c r="C299" s="129">
        <v>3700000</v>
      </c>
      <c r="D299" s="1"/>
      <c r="E299" s="1"/>
      <c r="G299" s="1"/>
      <c r="H299" s="1"/>
      <c r="I299" s="1"/>
      <c r="J299" s="1"/>
      <c r="K299" s="1"/>
      <c r="L299" s="1"/>
      <c r="M299" s="1"/>
      <c r="N299" s="1"/>
      <c r="O299" s="1"/>
      <c r="P299" s="1"/>
      <c r="Q299" s="1"/>
      <c r="R299" s="1"/>
      <c r="S299" s="1"/>
      <c r="T299" s="1"/>
      <c r="U299" s="1"/>
      <c r="V299" s="1"/>
    </row>
    <row r="300" spans="1:22" s="7" customFormat="1">
      <c r="A300" s="1"/>
      <c r="B300" s="1" t="s">
        <v>576</v>
      </c>
      <c r="C300" s="128"/>
      <c r="D300" s="1"/>
      <c r="E300" s="1"/>
      <c r="G300" s="1"/>
      <c r="H300" s="1"/>
      <c r="I300" s="1"/>
      <c r="J300" s="1"/>
      <c r="K300" s="1"/>
      <c r="L300" s="1"/>
      <c r="M300" s="1"/>
      <c r="N300" s="1"/>
      <c r="O300" s="1"/>
      <c r="P300" s="1"/>
      <c r="Q300" s="1"/>
      <c r="R300" s="1"/>
      <c r="S300" s="1"/>
      <c r="T300" s="1"/>
      <c r="U300" s="1"/>
      <c r="V300" s="1"/>
    </row>
    <row r="301" spans="1:22" s="7" customFormat="1">
      <c r="A301" s="1"/>
      <c r="B301" s="1"/>
      <c r="C301" s="128"/>
      <c r="D301" s="1"/>
      <c r="E301" s="1"/>
      <c r="G301" s="1"/>
      <c r="H301" s="1"/>
      <c r="I301" s="1"/>
      <c r="J301" s="1"/>
      <c r="K301" s="1"/>
      <c r="L301" s="1"/>
      <c r="M301" s="1"/>
      <c r="N301" s="1"/>
      <c r="O301" s="1"/>
      <c r="P301" s="1"/>
      <c r="Q301" s="1"/>
      <c r="R301" s="1"/>
      <c r="S301" s="1"/>
      <c r="T301" s="1"/>
      <c r="U301" s="1"/>
      <c r="V301" s="1"/>
    </row>
    <row r="302" spans="1:22" s="7" customFormat="1">
      <c r="A302" s="1"/>
      <c r="B302" s="119" t="s">
        <v>191</v>
      </c>
      <c r="C302" s="117" t="s">
        <v>501</v>
      </c>
      <c r="D302" s="117" t="s">
        <v>262</v>
      </c>
      <c r="E302" s="117" t="s">
        <v>577</v>
      </c>
      <c r="G302" s="1"/>
      <c r="H302" s="1"/>
      <c r="I302" s="1"/>
      <c r="J302" s="1"/>
      <c r="K302" s="1"/>
      <c r="L302" s="1"/>
      <c r="M302" s="1"/>
      <c r="N302" s="1"/>
      <c r="O302" s="1"/>
      <c r="P302" s="1"/>
      <c r="Q302" s="1"/>
      <c r="R302" s="1"/>
      <c r="S302" s="1"/>
      <c r="T302" s="1"/>
      <c r="U302" s="1"/>
      <c r="V302" s="1"/>
    </row>
    <row r="303" spans="1:22" s="7" customFormat="1" ht="38.25">
      <c r="A303" s="1"/>
      <c r="B303" s="131" t="s">
        <v>192</v>
      </c>
      <c r="C303" s="41" t="s">
        <v>578</v>
      </c>
      <c r="D303" s="60">
        <v>10400</v>
      </c>
      <c r="E303" s="41" t="s">
        <v>579</v>
      </c>
      <c r="G303" s="1"/>
      <c r="H303" s="1"/>
      <c r="I303" s="1"/>
      <c r="J303" s="1"/>
      <c r="K303" s="1"/>
      <c r="L303" s="1"/>
      <c r="M303" s="1"/>
      <c r="N303" s="1"/>
      <c r="O303" s="1"/>
      <c r="P303" s="1"/>
      <c r="Q303" s="1"/>
      <c r="R303" s="1"/>
      <c r="S303" s="1"/>
      <c r="T303" s="1"/>
      <c r="U303" s="1"/>
      <c r="V303" s="1"/>
    </row>
    <row r="304" spans="1:22" s="7" customFormat="1" ht="25.5">
      <c r="A304" s="1"/>
      <c r="B304" s="132" t="s">
        <v>194</v>
      </c>
      <c r="C304" s="41" t="s">
        <v>580</v>
      </c>
      <c r="D304" s="133">
        <v>1800000</v>
      </c>
      <c r="E304" s="41" t="s">
        <v>581</v>
      </c>
      <c r="G304" s="1"/>
      <c r="H304" s="1"/>
      <c r="I304" s="1"/>
      <c r="J304" s="1"/>
      <c r="K304" s="1"/>
      <c r="L304" s="1"/>
      <c r="M304" s="1"/>
      <c r="N304" s="1"/>
      <c r="O304" s="1"/>
      <c r="P304" s="1"/>
      <c r="Q304" s="1"/>
      <c r="R304" s="1"/>
      <c r="S304" s="1"/>
      <c r="T304" s="1"/>
      <c r="U304" s="1"/>
      <c r="V304" s="1"/>
    </row>
    <row r="305" spans="1:22" s="7" customFormat="1">
      <c r="A305" s="1"/>
      <c r="B305" s="131" t="s">
        <v>196</v>
      </c>
      <c r="C305" s="40" t="s">
        <v>582</v>
      </c>
      <c r="D305" s="133">
        <v>350000</v>
      </c>
      <c r="E305" s="41" t="s">
        <v>581</v>
      </c>
      <c r="G305" s="1"/>
      <c r="H305" s="1"/>
      <c r="I305" s="1"/>
      <c r="J305" s="1"/>
      <c r="K305" s="1"/>
      <c r="L305" s="1"/>
      <c r="M305" s="1"/>
      <c r="N305" s="1"/>
      <c r="O305" s="1"/>
      <c r="P305" s="1"/>
      <c r="Q305" s="1"/>
      <c r="R305" s="1"/>
      <c r="S305" s="1"/>
      <c r="T305" s="1"/>
      <c r="U305" s="1"/>
      <c r="V305" s="1"/>
    </row>
    <row r="306" spans="1:22" s="7" customFormat="1">
      <c r="A306" s="1"/>
      <c r="B306" s="131" t="s">
        <v>198</v>
      </c>
      <c r="C306" s="40" t="s">
        <v>583</v>
      </c>
      <c r="D306" s="60">
        <v>3500000</v>
      </c>
      <c r="E306" s="41" t="s">
        <v>581</v>
      </c>
      <c r="G306" s="1"/>
      <c r="H306" s="1"/>
      <c r="I306" s="1"/>
      <c r="J306" s="1"/>
      <c r="K306" s="1"/>
      <c r="L306" s="1"/>
      <c r="M306" s="1"/>
      <c r="N306" s="1"/>
      <c r="O306" s="1"/>
      <c r="P306" s="1"/>
      <c r="Q306" s="1"/>
      <c r="R306" s="1"/>
      <c r="S306" s="1"/>
      <c r="T306" s="1"/>
      <c r="U306" s="1"/>
      <c r="V306" s="1"/>
    </row>
    <row r="307" spans="1:22" s="7" customFormat="1" ht="25.5">
      <c r="A307" s="1"/>
      <c r="B307" s="131" t="s">
        <v>200</v>
      </c>
      <c r="C307" s="40" t="s">
        <v>584</v>
      </c>
      <c r="D307" s="60">
        <f>3500000+1800000</f>
        <v>5300000</v>
      </c>
      <c r="E307" s="41" t="s">
        <v>581</v>
      </c>
      <c r="G307" s="1"/>
      <c r="H307" s="1"/>
      <c r="I307" s="1"/>
      <c r="J307" s="1"/>
      <c r="K307" s="1"/>
      <c r="L307" s="1"/>
      <c r="M307" s="1"/>
      <c r="N307" s="1"/>
      <c r="O307" s="1"/>
      <c r="P307" s="1"/>
      <c r="Q307" s="1"/>
      <c r="R307" s="1"/>
      <c r="S307" s="1"/>
      <c r="T307" s="1"/>
      <c r="U307" s="1"/>
      <c r="V307" s="1"/>
    </row>
    <row r="308" spans="1:22" ht="25.5">
      <c r="B308" s="131" t="s">
        <v>202</v>
      </c>
      <c r="C308" s="40" t="s">
        <v>585</v>
      </c>
      <c r="D308" s="60">
        <f>D305+D307</f>
        <v>5650000</v>
      </c>
      <c r="E308" s="41" t="s">
        <v>581</v>
      </c>
    </row>
    <row r="309" spans="1:22">
      <c r="C309" s="50"/>
      <c r="D309" s="134"/>
      <c r="E309" s="135"/>
    </row>
    <row r="310" spans="1:22">
      <c r="D310" s="1"/>
    </row>
    <row r="311" spans="1:22">
      <c r="B311" s="119" t="s">
        <v>204</v>
      </c>
      <c r="D311" s="1"/>
    </row>
    <row r="312" spans="1:22">
      <c r="B312" s="120" t="s">
        <v>205</v>
      </c>
      <c r="C312" s="136" t="s">
        <v>586</v>
      </c>
      <c r="D312" s="136" t="s">
        <v>587</v>
      </c>
    </row>
    <row r="313" spans="1:22">
      <c r="A313" s="118"/>
      <c r="B313" s="12" t="s">
        <v>588</v>
      </c>
      <c r="C313" s="60">
        <v>128000000</v>
      </c>
      <c r="D313" s="137">
        <v>450000000</v>
      </c>
      <c r="K313" s="3"/>
      <c r="L313" s="3"/>
      <c r="N313" s="3"/>
      <c r="O313" s="3"/>
    </row>
    <row r="314" spans="1:22" ht="15">
      <c r="A314" s="118"/>
      <c r="B314" s="629" t="s">
        <v>589</v>
      </c>
      <c r="C314" s="630"/>
      <c r="D314" s="630"/>
      <c r="N314" s="3"/>
      <c r="O314" s="3"/>
      <c r="Q314" s="3"/>
      <c r="R314" s="3"/>
    </row>
    <row r="315" spans="1:22" s="3" customFormat="1">
      <c r="B315" s="3" t="s">
        <v>590</v>
      </c>
      <c r="F315" s="138"/>
      <c r="J315" s="1"/>
      <c r="K315" s="1"/>
      <c r="L315" s="1"/>
      <c r="M315" s="1"/>
      <c r="N315" s="1"/>
      <c r="O315" s="1"/>
      <c r="Q315" s="1"/>
      <c r="R315" s="1"/>
    </row>
    <row r="316" spans="1:22" ht="15">
      <c r="B316" s="51"/>
      <c r="C316" s="51"/>
      <c r="D316" s="51"/>
      <c r="I316" s="3"/>
    </row>
    <row r="317" spans="1:22">
      <c r="B317" s="120" t="s">
        <v>207</v>
      </c>
      <c r="C317" s="109" t="s">
        <v>522</v>
      </c>
      <c r="D317" s="109" t="s">
        <v>262</v>
      </c>
      <c r="E317" s="109" t="s">
        <v>46</v>
      </c>
      <c r="F317" s="109" t="s">
        <v>591</v>
      </c>
    </row>
    <row r="318" spans="1:22">
      <c r="A318" s="118"/>
      <c r="B318" s="47" t="s">
        <v>592</v>
      </c>
      <c r="C318" s="47">
        <v>750</v>
      </c>
      <c r="D318" s="47">
        <v>750000</v>
      </c>
      <c r="E318" s="47">
        <f>C318*D318</f>
        <v>562500000</v>
      </c>
      <c r="F318" s="139">
        <v>0.2</v>
      </c>
    </row>
    <row r="319" spans="1:22">
      <c r="A319" s="118"/>
      <c r="B319" s="41" t="s">
        <v>593</v>
      </c>
      <c r="C319" s="47"/>
      <c r="D319" s="47"/>
      <c r="E319" s="47">
        <f t="shared" ref="E319:E325" si="4">C319*D319</f>
        <v>0</v>
      </c>
      <c r="F319" s="1"/>
    </row>
    <row r="320" spans="1:22">
      <c r="B320" s="12" t="s">
        <v>594</v>
      </c>
      <c r="C320" s="12">
        <v>4</v>
      </c>
      <c r="D320" s="13">
        <v>50000000</v>
      </c>
      <c r="E320" s="47">
        <f t="shared" si="4"/>
        <v>200000000</v>
      </c>
      <c r="F320" s="1"/>
    </row>
    <row r="321" spans="1:6">
      <c r="B321" s="12" t="s">
        <v>595</v>
      </c>
      <c r="C321" s="12">
        <v>6</v>
      </c>
      <c r="D321" s="13">
        <v>10000000</v>
      </c>
      <c r="E321" s="47">
        <f t="shared" si="4"/>
        <v>60000000</v>
      </c>
      <c r="F321" s="1"/>
    </row>
    <row r="322" spans="1:6">
      <c r="B322" s="12" t="s">
        <v>596</v>
      </c>
      <c r="C322" s="12">
        <v>4</v>
      </c>
      <c r="D322" s="13">
        <v>31000000</v>
      </c>
      <c r="E322" s="47">
        <f t="shared" si="4"/>
        <v>124000000</v>
      </c>
      <c r="F322" s="1"/>
    </row>
    <row r="323" spans="1:6">
      <c r="B323" s="12" t="s">
        <v>597</v>
      </c>
      <c r="C323" s="12">
        <v>4</v>
      </c>
      <c r="D323" s="13">
        <v>180000000</v>
      </c>
      <c r="E323" s="47">
        <f t="shared" si="4"/>
        <v>720000000</v>
      </c>
      <c r="F323" s="1"/>
    </row>
    <row r="324" spans="1:6">
      <c r="B324" s="140" t="s">
        <v>598</v>
      </c>
      <c r="C324" s="12">
        <v>2</v>
      </c>
      <c r="D324" s="13">
        <v>130000000</v>
      </c>
      <c r="E324" s="47">
        <f t="shared" si="4"/>
        <v>260000000</v>
      </c>
      <c r="F324" s="1"/>
    </row>
    <row r="325" spans="1:6">
      <c r="B325" s="140" t="s">
        <v>599</v>
      </c>
      <c r="C325" s="12">
        <v>4</v>
      </c>
      <c r="D325" s="13">
        <v>27750000</v>
      </c>
      <c r="E325" s="47">
        <f t="shared" si="4"/>
        <v>111000000</v>
      </c>
      <c r="F325" s="1"/>
    </row>
    <row r="326" spans="1:6">
      <c r="B326" s="141" t="s">
        <v>46</v>
      </c>
      <c r="C326" s="109"/>
      <c r="D326" s="109"/>
      <c r="E326" s="142">
        <f>SUM(E318:E325)</f>
        <v>2037500000</v>
      </c>
      <c r="F326" s="142">
        <f>E326*F318</f>
        <v>407500000</v>
      </c>
    </row>
    <row r="327" spans="1:6">
      <c r="B327" s="12" t="s">
        <v>600</v>
      </c>
      <c r="C327" s="47">
        <v>180000000</v>
      </c>
    </row>
    <row r="328" spans="1:6">
      <c r="B328" s="143" t="s">
        <v>601</v>
      </c>
      <c r="C328" s="144"/>
      <c r="D328" s="145"/>
      <c r="E328" s="49"/>
    </row>
    <row r="329" spans="1:6">
      <c r="B329" s="663" t="s">
        <v>602</v>
      </c>
      <c r="C329" s="652"/>
      <c r="D329" s="652"/>
      <c r="E329" s="652"/>
    </row>
    <row r="330" spans="1:6">
      <c r="B330" s="652"/>
      <c r="C330" s="652"/>
      <c r="D330" s="652"/>
      <c r="E330" s="652"/>
    </row>
    <row r="331" spans="1:6">
      <c r="C331" s="7"/>
    </row>
    <row r="332" spans="1:6">
      <c r="B332" s="58" t="s">
        <v>209</v>
      </c>
      <c r="C332" s="109" t="s">
        <v>603</v>
      </c>
      <c r="D332" s="109" t="s">
        <v>604</v>
      </c>
      <c r="E332" s="109" t="s">
        <v>46</v>
      </c>
    </row>
    <row r="333" spans="1:6" ht="38.25">
      <c r="A333" s="118"/>
      <c r="B333" s="40" t="s">
        <v>605</v>
      </c>
      <c r="C333" s="13">
        <v>1084000</v>
      </c>
      <c r="D333" s="47">
        <f>C200</f>
        <v>3523.02</v>
      </c>
      <c r="E333" s="47">
        <f>C333*D333</f>
        <v>3818953680</v>
      </c>
    </row>
    <row r="334" spans="1:6" ht="38.25">
      <c r="B334" s="40" t="s">
        <v>606</v>
      </c>
      <c r="C334" s="146">
        <v>1345000</v>
      </c>
      <c r="D334" s="47">
        <f>D333</f>
        <v>3523.02</v>
      </c>
      <c r="E334" s="47">
        <f>C334*D334</f>
        <v>4738461900</v>
      </c>
    </row>
    <row r="335" spans="1:6" ht="15">
      <c r="B335" s="664" t="s">
        <v>607</v>
      </c>
      <c r="C335" s="658"/>
      <c r="E335" s="7"/>
    </row>
    <row r="336" spans="1:6" ht="15">
      <c r="B336" s="147"/>
      <c r="C336" s="51"/>
      <c r="E336" s="7"/>
    </row>
    <row r="337" spans="2:6">
      <c r="B337" s="58" t="s">
        <v>211</v>
      </c>
      <c r="C337" s="58" t="s">
        <v>262</v>
      </c>
      <c r="D337" s="58"/>
      <c r="E337" s="7"/>
      <c r="F337" s="148"/>
    </row>
    <row r="338" spans="2:6">
      <c r="B338" s="659" t="s">
        <v>608</v>
      </c>
      <c r="C338" s="58" t="s">
        <v>609</v>
      </c>
      <c r="D338" s="58" t="s">
        <v>610</v>
      </c>
      <c r="F338" s="1"/>
    </row>
    <row r="339" spans="2:6">
      <c r="B339" s="660"/>
      <c r="C339" s="47">
        <v>150000000</v>
      </c>
      <c r="D339" s="47">
        <v>185000000</v>
      </c>
    </row>
    <row r="340" spans="2:6">
      <c r="B340" s="149" t="s">
        <v>611</v>
      </c>
      <c r="F340" s="1"/>
    </row>
    <row r="341" spans="2:6">
      <c r="B341" s="149"/>
      <c r="F341" s="1"/>
    </row>
    <row r="342" spans="2:6">
      <c r="B342" s="58" t="s">
        <v>213</v>
      </c>
      <c r="D342" s="1"/>
    </row>
    <row r="343" spans="2:6">
      <c r="B343" s="119" t="s">
        <v>473</v>
      </c>
      <c r="C343" s="117" t="s">
        <v>612</v>
      </c>
      <c r="D343" s="117" t="s">
        <v>262</v>
      </c>
    </row>
    <row r="344" spans="2:6" ht="25.5">
      <c r="B344" s="41" t="s">
        <v>613</v>
      </c>
      <c r="C344" s="41" t="s">
        <v>614</v>
      </c>
      <c r="D344" s="41">
        <v>80000000</v>
      </c>
    </row>
    <row r="345" spans="2:6">
      <c r="B345" s="41" t="s">
        <v>615</v>
      </c>
      <c r="C345" s="41"/>
      <c r="D345" s="41">
        <v>8400000</v>
      </c>
    </row>
    <row r="346" spans="2:6">
      <c r="B346" s="41" t="s">
        <v>616</v>
      </c>
      <c r="C346" s="41"/>
      <c r="D346" s="41">
        <v>36000000</v>
      </c>
    </row>
    <row r="347" spans="2:6">
      <c r="B347" s="41" t="s">
        <v>617</v>
      </c>
      <c r="C347" s="41"/>
      <c r="D347" s="41">
        <v>5000000</v>
      </c>
    </row>
    <row r="348" spans="2:6">
      <c r="B348" s="12" t="s">
        <v>618</v>
      </c>
      <c r="C348" s="12"/>
      <c r="D348" s="13">
        <v>41000000</v>
      </c>
    </row>
    <row r="349" spans="2:6">
      <c r="B349" s="117" t="s">
        <v>46</v>
      </c>
      <c r="C349" s="117"/>
      <c r="D349" s="150">
        <f>SUM(D344:D348)</f>
        <v>170400000</v>
      </c>
    </row>
    <row r="350" spans="2:6">
      <c r="B350" s="49" t="s">
        <v>619</v>
      </c>
    </row>
    <row r="352" spans="2:6">
      <c r="B352" s="58" t="s">
        <v>620</v>
      </c>
    </row>
    <row r="353" spans="2:6">
      <c r="B353" s="119" t="s">
        <v>473</v>
      </c>
      <c r="C353" s="117" t="s">
        <v>612</v>
      </c>
      <c r="D353" s="117" t="s">
        <v>262</v>
      </c>
      <c r="F353" s="1"/>
    </row>
    <row r="354" spans="2:6">
      <c r="B354" s="12" t="s">
        <v>621</v>
      </c>
      <c r="C354" s="12"/>
      <c r="D354" s="13">
        <v>25000000</v>
      </c>
    </row>
    <row r="355" spans="2:6">
      <c r="B355" s="12" t="s">
        <v>622</v>
      </c>
      <c r="C355" s="12"/>
      <c r="D355" s="13">
        <v>83000000</v>
      </c>
    </row>
    <row r="356" spans="2:6">
      <c r="B356" s="12" t="s">
        <v>623</v>
      </c>
      <c r="C356" s="12"/>
      <c r="D356" s="13">
        <f>D325</f>
        <v>27750000</v>
      </c>
    </row>
    <row r="357" spans="2:6">
      <c r="B357" s="12" t="s">
        <v>624</v>
      </c>
      <c r="C357" s="12"/>
      <c r="D357" s="13">
        <v>42000000</v>
      </c>
      <c r="F357" s="1"/>
    </row>
    <row r="358" spans="2:6">
      <c r="B358" s="12" t="s">
        <v>625</v>
      </c>
      <c r="C358" s="12"/>
      <c r="D358" s="13">
        <v>120000000</v>
      </c>
      <c r="F358" s="1"/>
    </row>
    <row r="359" spans="2:6">
      <c r="B359" s="12" t="s">
        <v>626</v>
      </c>
      <c r="C359" s="12"/>
      <c r="D359" s="57">
        <f>D320</f>
        <v>50000000</v>
      </c>
      <c r="F359" s="1"/>
    </row>
    <row r="360" spans="2:6">
      <c r="B360" s="151" t="s">
        <v>627</v>
      </c>
      <c r="D360" s="150">
        <f>SUM(D354:D359)</f>
        <v>347750000</v>
      </c>
      <c r="F360" s="1"/>
    </row>
    <row r="361" spans="2:6">
      <c r="D361" s="1"/>
      <c r="F361" s="1"/>
    </row>
    <row r="362" spans="2:6">
      <c r="B362" s="119" t="s">
        <v>628</v>
      </c>
      <c r="C362" s="117" t="s">
        <v>629</v>
      </c>
      <c r="D362" s="117" t="s">
        <v>630</v>
      </c>
      <c r="E362" s="117" t="s">
        <v>631</v>
      </c>
      <c r="F362" s="1"/>
    </row>
    <row r="363" spans="2:6">
      <c r="B363" s="667" t="s">
        <v>632</v>
      </c>
      <c r="C363" s="152">
        <v>400</v>
      </c>
      <c r="D363" s="47">
        <v>750000</v>
      </c>
      <c r="E363" s="60">
        <f>C363*D363</f>
        <v>300000000</v>
      </c>
      <c r="F363" s="1"/>
    </row>
    <row r="364" spans="2:6">
      <c r="B364" s="611"/>
      <c r="C364" s="7"/>
      <c r="D364" s="7"/>
      <c r="E364" s="134"/>
      <c r="F364" s="1"/>
    </row>
    <row r="365" spans="2:6">
      <c r="D365" s="1"/>
      <c r="F365" s="1"/>
    </row>
    <row r="366" spans="2:6">
      <c r="B366" s="58" t="s">
        <v>633</v>
      </c>
      <c r="F366" s="1"/>
    </row>
    <row r="367" spans="2:6">
      <c r="B367" s="119" t="s">
        <v>46</v>
      </c>
      <c r="C367" s="117" t="s">
        <v>634</v>
      </c>
      <c r="D367" s="153">
        <f>+D360+E363</f>
        <v>647750000</v>
      </c>
      <c r="F367" s="1"/>
    </row>
    <row r="368" spans="2:6">
      <c r="D368" s="1"/>
      <c r="F368" s="1"/>
    </row>
    <row r="369" spans="2:6">
      <c r="D369" s="1"/>
      <c r="F369" s="1"/>
    </row>
    <row r="370" spans="2:6">
      <c r="B370" s="5" t="s">
        <v>635</v>
      </c>
      <c r="C370" s="154"/>
    </row>
    <row r="371" spans="2:6" s="3" customFormat="1" ht="18.95" customHeight="1">
      <c r="B371" s="155" t="s">
        <v>636</v>
      </c>
      <c r="D371" s="156"/>
      <c r="F371" s="138"/>
    </row>
    <row r="372" spans="2:6">
      <c r="B372" s="40" t="s">
        <v>637</v>
      </c>
      <c r="C372" s="47">
        <v>36308</v>
      </c>
    </row>
    <row r="373" spans="2:6">
      <c r="B373" s="157" t="s">
        <v>638</v>
      </c>
      <c r="C373" s="157" t="s">
        <v>639</v>
      </c>
    </row>
    <row r="374" spans="2:6">
      <c r="B374" s="158" t="s">
        <v>640</v>
      </c>
      <c r="C374" s="13">
        <v>23563</v>
      </c>
    </row>
    <row r="375" spans="2:6">
      <c r="B375" s="79" t="s">
        <v>641</v>
      </c>
      <c r="C375" s="13">
        <v>204995</v>
      </c>
    </row>
    <row r="376" spans="2:6">
      <c r="B376" s="158" t="s">
        <v>642</v>
      </c>
      <c r="C376" s="13">
        <v>1736565</v>
      </c>
    </row>
    <row r="377" spans="2:6">
      <c r="B377" s="159"/>
      <c r="C377" s="6"/>
    </row>
    <row r="378" spans="2:6">
      <c r="B378" s="160" t="s">
        <v>643</v>
      </c>
      <c r="C378" s="6"/>
    </row>
    <row r="379" spans="2:6">
      <c r="B379" s="78" t="s">
        <v>644</v>
      </c>
      <c r="C379" s="78" t="s">
        <v>522</v>
      </c>
      <c r="D379" s="78" t="s">
        <v>645</v>
      </c>
      <c r="E379" s="78" t="s">
        <v>522</v>
      </c>
      <c r="F379" s="78" t="s">
        <v>646</v>
      </c>
    </row>
    <row r="380" spans="2:6">
      <c r="B380" s="12" t="s">
        <v>647</v>
      </c>
      <c r="C380" s="12">
        <v>250</v>
      </c>
      <c r="D380" s="13">
        <f>C380/10</f>
        <v>25</v>
      </c>
      <c r="E380" s="12">
        <v>150</v>
      </c>
      <c r="F380" s="13">
        <f>E380/8</f>
        <v>18.75</v>
      </c>
    </row>
    <row r="381" spans="2:6">
      <c r="B381" s="12" t="s">
        <v>648</v>
      </c>
      <c r="C381" s="12">
        <v>150</v>
      </c>
      <c r="D381" s="13">
        <f t="shared" ref="D381:D382" si="5">C381/10</f>
        <v>15</v>
      </c>
      <c r="E381" s="12">
        <v>75</v>
      </c>
      <c r="F381" s="13">
        <f>E381/8</f>
        <v>9.375</v>
      </c>
    </row>
    <row r="382" spans="2:6">
      <c r="B382" s="12" t="s">
        <v>649</v>
      </c>
      <c r="C382" s="12">
        <v>100</v>
      </c>
      <c r="D382" s="13">
        <f t="shared" si="5"/>
        <v>10</v>
      </c>
      <c r="E382" s="12">
        <v>25</v>
      </c>
      <c r="F382" s="13">
        <f>E382/8</f>
        <v>3.125</v>
      </c>
    </row>
    <row r="383" spans="2:6">
      <c r="B383" s="5" t="s">
        <v>46</v>
      </c>
      <c r="C383" s="5">
        <f>SUM(C380:C382)</f>
        <v>500</v>
      </c>
      <c r="D383" s="5">
        <f>SUM(D380:D382)</f>
        <v>50</v>
      </c>
      <c r="E383" s="5">
        <f>SUM(E380:E382)</f>
        <v>250</v>
      </c>
      <c r="F383" s="5">
        <f>SUM(F380:F382)</f>
        <v>31.25</v>
      </c>
    </row>
    <row r="384" spans="2:6">
      <c r="B384" s="159"/>
      <c r="C384" s="6"/>
    </row>
    <row r="385" spans="2:9">
      <c r="B385" s="160" t="s">
        <v>650</v>
      </c>
      <c r="C385" s="6"/>
    </row>
    <row r="386" spans="2:9" ht="38.25">
      <c r="B386" s="87" t="s">
        <v>651</v>
      </c>
      <c r="C386" s="87" t="s">
        <v>652</v>
      </c>
      <c r="D386" s="87" t="s">
        <v>34</v>
      </c>
      <c r="E386" s="87" t="s">
        <v>653</v>
      </c>
      <c r="F386" s="87" t="s">
        <v>654</v>
      </c>
      <c r="G386" s="157" t="s">
        <v>655</v>
      </c>
      <c r="H386" s="157" t="s">
        <v>398</v>
      </c>
    </row>
    <row r="387" spans="2:9">
      <c r="B387" s="12" t="s">
        <v>656</v>
      </c>
      <c r="C387" s="12">
        <v>10</v>
      </c>
      <c r="D387" s="161">
        <v>0.8</v>
      </c>
      <c r="E387" s="57">
        <f>D387*E389</f>
        <v>160000</v>
      </c>
      <c r="F387" s="162">
        <v>0.5</v>
      </c>
      <c r="G387" s="162"/>
      <c r="H387" s="12"/>
    </row>
    <row r="388" spans="2:9">
      <c r="B388" s="12" t="s">
        <v>657</v>
      </c>
      <c r="C388" s="12">
        <v>40</v>
      </c>
      <c r="D388" s="161">
        <v>0.2</v>
      </c>
      <c r="E388" s="57">
        <f>D388*E389</f>
        <v>40000</v>
      </c>
      <c r="F388" s="57">
        <f>E387*F387</f>
        <v>80000</v>
      </c>
      <c r="G388" s="57">
        <f>F388/20</f>
        <v>4000</v>
      </c>
      <c r="H388" s="12">
        <v>4000</v>
      </c>
    </row>
    <row r="389" spans="2:9">
      <c r="B389" s="49" t="s">
        <v>658</v>
      </c>
      <c r="C389" s="7"/>
      <c r="D389" s="7"/>
      <c r="E389" s="47">
        <v>200000</v>
      </c>
      <c r="F389" s="47">
        <f>E388*F387</f>
        <v>20000</v>
      </c>
      <c r="G389" s="57">
        <f>F389/20</f>
        <v>1000</v>
      </c>
      <c r="H389" s="12">
        <v>1000</v>
      </c>
    </row>
    <row r="390" spans="2:9">
      <c r="D390" s="7"/>
      <c r="F390" s="102">
        <f>SUM(F388:F389)</f>
        <v>100000</v>
      </c>
    </row>
    <row r="391" spans="2:9">
      <c r="D391" s="1"/>
      <c r="F391" s="1"/>
    </row>
    <row r="392" spans="2:9">
      <c r="B392" s="58" t="s">
        <v>216</v>
      </c>
    </row>
    <row r="393" spans="2:9">
      <c r="B393" s="58" t="s">
        <v>548</v>
      </c>
      <c r="C393" s="58" t="s">
        <v>659</v>
      </c>
      <c r="D393" s="58" t="s">
        <v>660</v>
      </c>
      <c r="E393" s="58" t="s">
        <v>661</v>
      </c>
      <c r="F393" s="58" t="s">
        <v>662</v>
      </c>
    </row>
    <row r="394" spans="2:9">
      <c r="B394" s="12" t="s">
        <v>663</v>
      </c>
      <c r="C394" s="12" t="s">
        <v>664</v>
      </c>
      <c r="D394" s="47">
        <v>20000000</v>
      </c>
      <c r="E394" s="161">
        <v>0.3</v>
      </c>
      <c r="F394" s="57">
        <f>D394*E394</f>
        <v>6000000</v>
      </c>
    </row>
    <row r="395" spans="2:9">
      <c r="B395" s="12" t="s">
        <v>665</v>
      </c>
      <c r="C395" s="12" t="s">
        <v>666</v>
      </c>
      <c r="D395" s="47">
        <v>50000000</v>
      </c>
      <c r="E395" s="161">
        <v>0.1</v>
      </c>
      <c r="F395" s="57">
        <f>D395*E395</f>
        <v>5000000</v>
      </c>
    </row>
    <row r="397" spans="2:9">
      <c r="D397" s="1"/>
      <c r="F397" s="1"/>
    </row>
    <row r="398" spans="2:9">
      <c r="B398" s="58" t="s">
        <v>218</v>
      </c>
      <c r="D398" s="1"/>
    </row>
    <row r="399" spans="2:9">
      <c r="B399" s="40" t="s">
        <v>637</v>
      </c>
      <c r="C399" s="47">
        <v>36308</v>
      </c>
      <c r="D399" s="1"/>
    </row>
    <row r="400" spans="2:9" ht="38.25">
      <c r="B400" s="12" t="s">
        <v>638</v>
      </c>
      <c r="C400" s="157" t="s">
        <v>639</v>
      </c>
      <c r="D400" s="157" t="s">
        <v>667</v>
      </c>
      <c r="E400" s="157" t="s">
        <v>668</v>
      </c>
      <c r="F400" s="157" t="s">
        <v>669</v>
      </c>
      <c r="G400" s="157" t="s">
        <v>670</v>
      </c>
      <c r="H400" s="157" t="s">
        <v>671</v>
      </c>
      <c r="I400" s="157" t="s">
        <v>672</v>
      </c>
    </row>
    <row r="401" spans="2:10">
      <c r="B401" s="158" t="s">
        <v>640</v>
      </c>
      <c r="C401" s="13">
        <v>23563</v>
      </c>
      <c r="D401" s="29">
        <f>C399*C401</f>
        <v>855525404</v>
      </c>
      <c r="E401" s="161">
        <v>0.2</v>
      </c>
      <c r="F401" s="47">
        <f>D401*E401</f>
        <v>171105080.80000001</v>
      </c>
      <c r="G401" s="161">
        <v>0.2</v>
      </c>
      <c r="H401" s="57">
        <f>F401*G401</f>
        <v>34221016.160000004</v>
      </c>
      <c r="I401" s="57">
        <f>D380</f>
        <v>25</v>
      </c>
    </row>
    <row r="402" spans="2:10">
      <c r="B402" s="79" t="s">
        <v>641</v>
      </c>
      <c r="C402" s="13">
        <v>204995</v>
      </c>
      <c r="D402" s="29">
        <f>C402*C399</f>
        <v>7442958460</v>
      </c>
      <c r="E402" s="161">
        <v>0.1</v>
      </c>
      <c r="F402" s="47">
        <f t="shared" ref="F402:F403" si="6">D402*E402</f>
        <v>744295846</v>
      </c>
      <c r="G402" s="161">
        <v>0.1</v>
      </c>
      <c r="H402" s="57">
        <f t="shared" ref="H402:H403" si="7">F402*G402</f>
        <v>74429584.600000009</v>
      </c>
      <c r="I402" s="57">
        <f>D381</f>
        <v>15</v>
      </c>
    </row>
    <row r="403" spans="2:10">
      <c r="B403" s="158" t="s">
        <v>642</v>
      </c>
      <c r="C403" s="13">
        <v>1736565</v>
      </c>
      <c r="D403" s="29">
        <f>C403*C399</f>
        <v>63051202020</v>
      </c>
      <c r="E403" s="161">
        <v>0.1</v>
      </c>
      <c r="F403" s="47">
        <f t="shared" si="6"/>
        <v>6305120202</v>
      </c>
      <c r="G403" s="161">
        <v>0.05</v>
      </c>
      <c r="H403" s="57">
        <f t="shared" si="7"/>
        <v>315256010.10000002</v>
      </c>
      <c r="I403" s="57">
        <f>D382</f>
        <v>10</v>
      </c>
    </row>
    <row r="404" spans="2:10" ht="15">
      <c r="B404" s="668"/>
      <c r="C404" s="658"/>
      <c r="D404" s="658"/>
      <c r="E404" s="658"/>
      <c r="F404" s="658"/>
      <c r="G404" s="658"/>
      <c r="H404" s="658"/>
      <c r="I404" s="658"/>
      <c r="J404" s="658"/>
    </row>
    <row r="405" spans="2:10">
      <c r="B405" s="58" t="s">
        <v>220</v>
      </c>
      <c r="C405" s="98"/>
      <c r="D405" s="1"/>
    </row>
    <row r="406" spans="2:10" ht="15">
      <c r="B406" s="40" t="s">
        <v>637</v>
      </c>
      <c r="C406" s="47">
        <v>36308</v>
      </c>
      <c r="D406" s="1"/>
      <c r="I406" s="51"/>
      <c r="J406" s="51"/>
    </row>
    <row r="407" spans="2:10" ht="25.5">
      <c r="B407" s="12" t="s">
        <v>638</v>
      </c>
      <c r="C407" s="157" t="s">
        <v>639</v>
      </c>
      <c r="D407" s="157" t="s">
        <v>667</v>
      </c>
      <c r="E407" s="157" t="s">
        <v>673</v>
      </c>
      <c r="F407" s="157" t="s">
        <v>674</v>
      </c>
      <c r="G407" s="157" t="s">
        <v>675</v>
      </c>
      <c r="H407" s="157" t="s">
        <v>676</v>
      </c>
      <c r="I407" s="157" t="s">
        <v>675</v>
      </c>
      <c r="J407" s="157" t="s">
        <v>676</v>
      </c>
    </row>
    <row r="408" spans="2:10" ht="15">
      <c r="B408" s="158" t="s">
        <v>640</v>
      </c>
      <c r="C408" s="13">
        <v>23563</v>
      </c>
      <c r="D408" s="29">
        <f>C406*C408</f>
        <v>855525404</v>
      </c>
      <c r="E408" s="161">
        <v>0.1</v>
      </c>
      <c r="F408" s="47">
        <f>D408*E408</f>
        <v>85552540.400000006</v>
      </c>
      <c r="G408" s="162">
        <v>0.2</v>
      </c>
      <c r="H408" s="57">
        <f>F408*G408</f>
        <v>17110508.080000002</v>
      </c>
      <c r="I408" s="163">
        <v>0.1</v>
      </c>
      <c r="J408" s="164">
        <f>F408*I408</f>
        <v>8555254.040000001</v>
      </c>
    </row>
    <row r="409" spans="2:10" ht="15">
      <c r="B409" s="79" t="s">
        <v>641</v>
      </c>
      <c r="C409" s="13">
        <v>204995</v>
      </c>
      <c r="D409" s="29">
        <f>C409*C406</f>
        <v>7442958460</v>
      </c>
      <c r="E409" s="161"/>
      <c r="F409" s="47">
        <f t="shared" ref="F409:F410" si="8">D409*E409</f>
        <v>0</v>
      </c>
      <c r="G409" s="12"/>
      <c r="H409" s="12"/>
      <c r="I409" s="165"/>
      <c r="J409" s="165"/>
    </row>
    <row r="410" spans="2:10" ht="15">
      <c r="B410" s="158" t="s">
        <v>642</v>
      </c>
      <c r="C410" s="13">
        <v>1736565</v>
      </c>
      <c r="D410" s="29">
        <f>C410*C406</f>
        <v>63051202020</v>
      </c>
      <c r="E410" s="161"/>
      <c r="F410" s="47">
        <f t="shared" si="8"/>
        <v>0</v>
      </c>
      <c r="G410" s="12"/>
      <c r="H410" s="12"/>
      <c r="I410" s="165"/>
      <c r="J410" s="165"/>
    </row>
    <row r="411" spans="2:10" ht="15">
      <c r="B411" s="159"/>
      <c r="C411" s="51"/>
      <c r="D411" s="51"/>
      <c r="E411" s="51"/>
      <c r="F411" s="51"/>
      <c r="G411" s="51"/>
      <c r="H411" s="51"/>
      <c r="I411" s="51"/>
      <c r="J411" s="51"/>
    </row>
    <row r="412" spans="2:10" ht="14.45" customHeight="1">
      <c r="B412" s="669"/>
      <c r="C412" s="630"/>
      <c r="D412" s="630"/>
      <c r="E412" s="630"/>
      <c r="F412" s="630"/>
      <c r="G412" s="630"/>
      <c r="H412" s="630"/>
      <c r="I412" s="630"/>
      <c r="J412" s="630"/>
    </row>
    <row r="413" spans="2:10">
      <c r="B413" s="58" t="s">
        <v>677</v>
      </c>
      <c r="C413" s="98"/>
      <c r="D413" s="1"/>
    </row>
    <row r="414" spans="2:10">
      <c r="B414" s="40" t="s">
        <v>637</v>
      </c>
      <c r="C414" s="47">
        <v>36308</v>
      </c>
      <c r="D414" s="1"/>
    </row>
    <row r="415" spans="2:10" ht="25.5">
      <c r="B415" s="12" t="s">
        <v>638</v>
      </c>
      <c r="C415" s="157" t="s">
        <v>639</v>
      </c>
      <c r="D415" s="157" t="s">
        <v>667</v>
      </c>
      <c r="E415" s="157" t="s">
        <v>678</v>
      </c>
      <c r="F415" s="157" t="s">
        <v>679</v>
      </c>
      <c r="G415" s="157" t="s">
        <v>680</v>
      </c>
      <c r="H415" s="157" t="s">
        <v>681</v>
      </c>
      <c r="I415" s="157" t="s">
        <v>682</v>
      </c>
      <c r="J415" s="157" t="s">
        <v>682</v>
      </c>
    </row>
    <row r="416" spans="2:10">
      <c r="B416" s="158" t="s">
        <v>640</v>
      </c>
      <c r="C416" s="13">
        <v>23563</v>
      </c>
      <c r="D416" s="29">
        <f>C414*C416</f>
        <v>855525404</v>
      </c>
      <c r="E416" s="161">
        <v>0.1</v>
      </c>
      <c r="F416" s="47">
        <f>D416*E416</f>
        <v>85552540.400000006</v>
      </c>
      <c r="G416" s="162">
        <v>0.2</v>
      </c>
      <c r="H416" s="57">
        <f>F416*G416</f>
        <v>17110508.080000002</v>
      </c>
      <c r="I416" s="57">
        <f>F416*5%</f>
        <v>4277627.0200000005</v>
      </c>
      <c r="J416" s="57">
        <f>F416*20%</f>
        <v>17110508.080000002</v>
      </c>
    </row>
    <row r="417" spans="2:11">
      <c r="B417" s="79" t="s">
        <v>641</v>
      </c>
      <c r="C417" s="13">
        <v>204995</v>
      </c>
      <c r="D417" s="29">
        <f>C417*C414</f>
        <v>7442958460</v>
      </c>
      <c r="E417" s="161"/>
      <c r="F417" s="47">
        <f t="shared" ref="F417:F418" si="9">D417*E417</f>
        <v>0</v>
      </c>
      <c r="G417" s="12"/>
      <c r="H417" s="12"/>
      <c r="I417" s="12"/>
      <c r="J417" s="12"/>
    </row>
    <row r="418" spans="2:11">
      <c r="B418" s="158" t="s">
        <v>642</v>
      </c>
      <c r="C418" s="13">
        <v>1736565</v>
      </c>
      <c r="D418" s="29">
        <f>C418*C414</f>
        <v>63051202020</v>
      </c>
      <c r="E418" s="161"/>
      <c r="F418" s="47">
        <f t="shared" si="9"/>
        <v>0</v>
      </c>
      <c r="G418" s="12"/>
      <c r="H418" s="12"/>
      <c r="I418" s="12"/>
      <c r="J418" s="12"/>
    </row>
    <row r="419" spans="2:11">
      <c r="B419" s="49" t="s">
        <v>683</v>
      </c>
    </row>
    <row r="420" spans="2:11">
      <c r="B420" s="49" t="s">
        <v>684</v>
      </c>
    </row>
    <row r="421" spans="2:11" ht="14.45" customHeight="1">
      <c r="B421" s="159"/>
      <c r="C421" s="51"/>
      <c r="D421" s="51"/>
      <c r="E421" s="51"/>
      <c r="F421" s="51"/>
      <c r="G421" s="51"/>
      <c r="H421" s="51"/>
      <c r="I421" s="51"/>
      <c r="J421" s="51"/>
    </row>
    <row r="422" spans="2:11" ht="14.45" customHeight="1">
      <c r="B422" s="58" t="s">
        <v>224</v>
      </c>
      <c r="C422" s="51"/>
      <c r="D422" s="51"/>
      <c r="E422" s="51"/>
      <c r="F422" s="51"/>
      <c r="G422" s="51"/>
      <c r="H422" s="51"/>
      <c r="I422" s="51"/>
      <c r="J422" s="51"/>
    </row>
    <row r="423" spans="2:11">
      <c r="B423" s="5" t="s">
        <v>651</v>
      </c>
      <c r="C423" s="5" t="s">
        <v>652</v>
      </c>
      <c r="D423" s="5" t="s">
        <v>685</v>
      </c>
      <c r="E423" s="5"/>
      <c r="F423" s="5" t="s">
        <v>686</v>
      </c>
      <c r="G423" s="5" t="s">
        <v>687</v>
      </c>
      <c r="H423" s="5" t="s">
        <v>688</v>
      </c>
      <c r="I423" s="5" t="s">
        <v>34</v>
      </c>
      <c r="J423" s="78" t="s">
        <v>689</v>
      </c>
      <c r="K423" s="5" t="s">
        <v>690</v>
      </c>
    </row>
    <row r="424" spans="2:11">
      <c r="B424" s="12" t="s">
        <v>656</v>
      </c>
      <c r="C424" s="12">
        <v>10</v>
      </c>
      <c r="D424" s="13">
        <v>5000000</v>
      </c>
      <c r="E424" s="47">
        <f>C424*D424</f>
        <v>50000000</v>
      </c>
      <c r="F424" s="47">
        <f>E424*70%</f>
        <v>35000000</v>
      </c>
      <c r="G424" s="162">
        <v>0.2</v>
      </c>
      <c r="H424" s="47">
        <f>F424*G424</f>
        <v>7000000</v>
      </c>
      <c r="I424" s="47">
        <f>F424*5%</f>
        <v>1750000</v>
      </c>
      <c r="J424" s="161">
        <v>0.1</v>
      </c>
      <c r="K424" s="57">
        <f>E424*J424</f>
        <v>5000000</v>
      </c>
    </row>
    <row r="425" spans="2:11">
      <c r="B425" s="12" t="s">
        <v>657</v>
      </c>
      <c r="C425" s="12">
        <v>40</v>
      </c>
      <c r="D425" s="13">
        <v>4000000</v>
      </c>
      <c r="E425" s="47">
        <f>C425*D425</f>
        <v>160000000</v>
      </c>
      <c r="F425" s="47">
        <f>E425*70%</f>
        <v>112000000</v>
      </c>
      <c r="G425" s="162">
        <v>0.1</v>
      </c>
      <c r="H425" s="47">
        <f>F425*G425</f>
        <v>11200000</v>
      </c>
      <c r="I425" s="47">
        <f>F425*5%</f>
        <v>5600000</v>
      </c>
      <c r="J425" s="161">
        <v>0.05</v>
      </c>
      <c r="K425" s="57">
        <f>E425*J425</f>
        <v>8000000</v>
      </c>
    </row>
    <row r="426" spans="2:11" ht="67.5">
      <c r="B426" s="166" t="s">
        <v>691</v>
      </c>
      <c r="C426" s="50"/>
      <c r="D426" s="167"/>
      <c r="E426" s="135"/>
      <c r="G426" s="168"/>
      <c r="H426" s="7"/>
      <c r="I426" s="7"/>
    </row>
    <row r="427" spans="2:11">
      <c r="B427" s="169"/>
      <c r="C427" s="50"/>
      <c r="D427" s="167"/>
      <c r="E427" s="135"/>
      <c r="G427" s="168"/>
      <c r="H427" s="7"/>
      <c r="I427" s="7"/>
    </row>
    <row r="428" spans="2:11">
      <c r="B428" s="58" t="s">
        <v>226</v>
      </c>
      <c r="D428" s="1"/>
    </row>
    <row r="429" spans="2:11">
      <c r="B429" s="40" t="s">
        <v>637</v>
      </c>
      <c r="C429" s="47">
        <v>36308</v>
      </c>
      <c r="D429" s="1"/>
    </row>
    <row r="430" spans="2:11" ht="38.25">
      <c r="B430" s="12" t="s">
        <v>638</v>
      </c>
      <c r="C430" s="157" t="s">
        <v>639</v>
      </c>
      <c r="D430" s="157" t="s">
        <v>667</v>
      </c>
      <c r="E430" s="157" t="s">
        <v>692</v>
      </c>
      <c r="F430" s="157" t="s">
        <v>693</v>
      </c>
      <c r="G430" s="157" t="s">
        <v>670</v>
      </c>
      <c r="H430" s="157" t="s">
        <v>671</v>
      </c>
    </row>
    <row r="431" spans="2:11">
      <c r="B431" s="158" t="s">
        <v>640</v>
      </c>
      <c r="C431" s="13">
        <v>23563</v>
      </c>
      <c r="D431" s="29">
        <f>D408</f>
        <v>855525404</v>
      </c>
      <c r="E431" s="161">
        <v>0.2</v>
      </c>
      <c r="F431" s="47">
        <f>D431*E431</f>
        <v>171105080.80000001</v>
      </c>
      <c r="G431" s="161">
        <v>0.2</v>
      </c>
      <c r="H431" s="57">
        <f>F431*G431</f>
        <v>34221016.160000004</v>
      </c>
    </row>
    <row r="432" spans="2:11">
      <c r="B432" s="79" t="s">
        <v>641</v>
      </c>
      <c r="C432" s="13">
        <v>204995</v>
      </c>
      <c r="D432" s="29">
        <f>D417</f>
        <v>7442958460</v>
      </c>
      <c r="E432" s="161">
        <v>0.1</v>
      </c>
      <c r="F432" s="47">
        <f t="shared" ref="F432:F433" si="10">D432*E432</f>
        <v>744295846</v>
      </c>
      <c r="G432" s="161">
        <v>0.15</v>
      </c>
      <c r="H432" s="57">
        <f t="shared" ref="H432" si="11">F432*G432</f>
        <v>111644376.89999999</v>
      </c>
    </row>
    <row r="433" spans="2:10">
      <c r="B433" s="158" t="s">
        <v>642</v>
      </c>
      <c r="C433" s="13">
        <v>1736565</v>
      </c>
      <c r="D433" s="29">
        <f>D418</f>
        <v>63051202020</v>
      </c>
      <c r="E433" s="161">
        <v>0.05</v>
      </c>
      <c r="F433" s="47">
        <f t="shared" si="10"/>
        <v>3152560101</v>
      </c>
      <c r="G433" s="161"/>
      <c r="H433" s="57"/>
    </row>
    <row r="434" spans="2:10">
      <c r="B434" s="169"/>
      <c r="C434" s="50"/>
      <c r="D434" s="167"/>
      <c r="E434" s="135"/>
      <c r="G434" s="168"/>
      <c r="H434" s="7"/>
    </row>
    <row r="435" spans="2:10">
      <c r="B435" s="58" t="s">
        <v>694</v>
      </c>
      <c r="D435" s="1"/>
    </row>
    <row r="436" spans="2:10">
      <c r="B436" s="40" t="s">
        <v>637</v>
      </c>
      <c r="C436" s="47">
        <v>36308</v>
      </c>
      <c r="D436" s="1"/>
    </row>
    <row r="437" spans="2:10" ht="38.25">
      <c r="B437" s="12" t="s">
        <v>638</v>
      </c>
      <c r="C437" s="157" t="s">
        <v>639</v>
      </c>
      <c r="D437" s="157" t="s">
        <v>667</v>
      </c>
      <c r="E437" s="157" t="s">
        <v>695</v>
      </c>
      <c r="F437" s="157" t="s">
        <v>696</v>
      </c>
      <c r="G437" s="157" t="s">
        <v>670</v>
      </c>
      <c r="H437" s="157" t="s">
        <v>671</v>
      </c>
    </row>
    <row r="438" spans="2:10">
      <c r="B438" s="158" t="s">
        <v>640</v>
      </c>
      <c r="C438" s="13">
        <v>23563</v>
      </c>
      <c r="D438" s="29">
        <f>C436*C438</f>
        <v>855525404</v>
      </c>
      <c r="E438" s="161">
        <v>0.2</v>
      </c>
      <c r="F438" s="47">
        <f>D438*E438</f>
        <v>171105080.80000001</v>
      </c>
      <c r="G438" s="161">
        <v>0.1</v>
      </c>
      <c r="H438" s="57">
        <f>F438*G438</f>
        <v>17110508.080000002</v>
      </c>
    </row>
    <row r="439" spans="2:10">
      <c r="B439" s="79" t="s">
        <v>641</v>
      </c>
      <c r="C439" s="13">
        <v>204995</v>
      </c>
      <c r="D439" s="29">
        <f>C436*C439</f>
        <v>7442958460</v>
      </c>
      <c r="E439" s="161">
        <v>0.1</v>
      </c>
      <c r="F439" s="47">
        <f t="shared" ref="F439:F440" si="12">D439*E439</f>
        <v>744295846</v>
      </c>
      <c r="G439" s="161">
        <v>0.05</v>
      </c>
      <c r="H439" s="57">
        <f t="shared" ref="H439:H440" si="13">F439*G439</f>
        <v>37214792.300000004</v>
      </c>
    </row>
    <row r="440" spans="2:10">
      <c r="B440" s="158" t="s">
        <v>642</v>
      </c>
      <c r="C440" s="13">
        <v>1736565</v>
      </c>
      <c r="D440" s="29">
        <f>C436*C440</f>
        <v>63051202020</v>
      </c>
      <c r="E440" s="161">
        <v>0.1</v>
      </c>
      <c r="F440" s="47">
        <f t="shared" si="12"/>
        <v>6305120202</v>
      </c>
      <c r="G440" s="161">
        <v>0.02</v>
      </c>
      <c r="H440" s="57">
        <f t="shared" si="13"/>
        <v>126102404.04000001</v>
      </c>
    </row>
    <row r="441" spans="2:10" ht="14.45" customHeight="1">
      <c r="B441" s="668"/>
      <c r="C441" s="668"/>
      <c r="D441" s="668"/>
      <c r="E441" s="668"/>
      <c r="F441" s="668"/>
      <c r="G441" s="668"/>
      <c r="H441" s="668"/>
      <c r="I441" s="669"/>
      <c r="J441" s="669"/>
    </row>
    <row r="442" spans="2:10">
      <c r="B442" s="58" t="s">
        <v>697</v>
      </c>
      <c r="D442" s="1"/>
    </row>
    <row r="443" spans="2:10">
      <c r="B443" s="40" t="s">
        <v>637</v>
      </c>
      <c r="C443" s="47">
        <v>36308</v>
      </c>
      <c r="D443" s="1"/>
    </row>
    <row r="444" spans="2:10" ht="38.25">
      <c r="B444" s="12" t="s">
        <v>638</v>
      </c>
      <c r="C444" s="157" t="s">
        <v>639</v>
      </c>
      <c r="D444" s="157" t="s">
        <v>667</v>
      </c>
      <c r="E444" s="157" t="s">
        <v>695</v>
      </c>
      <c r="F444" s="157" t="s">
        <v>696</v>
      </c>
      <c r="G444" s="157" t="s">
        <v>670</v>
      </c>
      <c r="H444" s="157" t="s">
        <v>671</v>
      </c>
    </row>
    <row r="445" spans="2:10">
      <c r="B445" s="158" t="s">
        <v>640</v>
      </c>
      <c r="C445" s="13">
        <v>23563</v>
      </c>
      <c r="D445" s="29">
        <f>C443*C445</f>
        <v>855525404</v>
      </c>
      <c r="E445" s="161">
        <v>0.2</v>
      </c>
      <c r="F445" s="47">
        <f>D445*E445</f>
        <v>171105080.80000001</v>
      </c>
      <c r="G445" s="161">
        <v>0.1</v>
      </c>
      <c r="H445" s="57">
        <f>F445*G445</f>
        <v>17110508.080000002</v>
      </c>
    </row>
    <row r="446" spans="2:10">
      <c r="B446" s="79" t="s">
        <v>641</v>
      </c>
      <c r="C446" s="13">
        <v>204995</v>
      </c>
      <c r="D446" s="29">
        <f>C443*C446</f>
        <v>7442958460</v>
      </c>
      <c r="E446" s="161">
        <v>0.1</v>
      </c>
      <c r="F446" s="47">
        <f t="shared" ref="F446:F447" si="14">D446*E446</f>
        <v>744295846</v>
      </c>
      <c r="G446" s="161">
        <v>0.05</v>
      </c>
      <c r="H446" s="57">
        <f t="shared" ref="H446:H447" si="15">F446*G446</f>
        <v>37214792.300000004</v>
      </c>
    </row>
    <row r="447" spans="2:10">
      <c r="B447" s="158" t="s">
        <v>642</v>
      </c>
      <c r="C447" s="13">
        <v>1736565</v>
      </c>
      <c r="D447" s="29">
        <f>C443*C447</f>
        <v>63051202020</v>
      </c>
      <c r="E447" s="161">
        <v>0.1</v>
      </c>
      <c r="F447" s="47">
        <f t="shared" si="14"/>
        <v>6305120202</v>
      </c>
      <c r="G447" s="161">
        <v>0.02</v>
      </c>
      <c r="H447" s="57">
        <f t="shared" si="15"/>
        <v>126102404.04000001</v>
      </c>
    </row>
    <row r="448" spans="2:10" ht="15">
      <c r="B448" s="159"/>
      <c r="C448" s="51"/>
      <c r="D448" s="51"/>
      <c r="E448" s="51"/>
      <c r="F448" s="51"/>
      <c r="G448" s="51"/>
      <c r="H448" s="51"/>
      <c r="I448" s="51"/>
      <c r="J448" s="51"/>
    </row>
    <row r="449" spans="2:10">
      <c r="B449" s="58" t="s">
        <v>230</v>
      </c>
      <c r="D449" s="1"/>
    </row>
    <row r="450" spans="2:10">
      <c r="B450" s="40" t="s">
        <v>637</v>
      </c>
      <c r="C450" s="47">
        <v>36308</v>
      </c>
      <c r="D450" s="1"/>
    </row>
    <row r="451" spans="2:10" ht="38.25">
      <c r="B451" s="12" t="s">
        <v>638</v>
      </c>
      <c r="C451" s="157" t="s">
        <v>639</v>
      </c>
      <c r="D451" s="157" t="s">
        <v>667</v>
      </c>
      <c r="E451" s="157" t="s">
        <v>698</v>
      </c>
      <c r="F451" s="157" t="s">
        <v>699</v>
      </c>
      <c r="G451" s="157" t="s">
        <v>670</v>
      </c>
      <c r="H451" s="157" t="s">
        <v>671</v>
      </c>
      <c r="I451" s="157" t="s">
        <v>672</v>
      </c>
    </row>
    <row r="452" spans="2:10">
      <c r="B452" s="158" t="s">
        <v>640</v>
      </c>
      <c r="C452" s="13">
        <v>23563</v>
      </c>
      <c r="D452" s="29">
        <f>D438</f>
        <v>855525404</v>
      </c>
      <c r="E452" s="161">
        <v>0.2</v>
      </c>
      <c r="F452" s="47">
        <f>D452*E452</f>
        <v>171105080.80000001</v>
      </c>
      <c r="G452" s="161">
        <v>0.1</v>
      </c>
      <c r="H452" s="57">
        <f>F452*G452</f>
        <v>17110508.080000002</v>
      </c>
      <c r="I452" s="57">
        <v>2</v>
      </c>
    </row>
    <row r="453" spans="2:10">
      <c r="B453" s="79" t="s">
        <v>641</v>
      </c>
      <c r="C453" s="13">
        <v>204995</v>
      </c>
      <c r="D453" s="29">
        <f>D439</f>
        <v>7442958460</v>
      </c>
      <c r="E453" s="161">
        <v>0.1</v>
      </c>
      <c r="F453" s="47">
        <f t="shared" ref="F453:F454" si="16">D453*E453</f>
        <v>744295846</v>
      </c>
      <c r="G453" s="161">
        <v>0.05</v>
      </c>
      <c r="H453" s="57">
        <f t="shared" ref="H453:H454" si="17">F453*G453</f>
        <v>37214792.300000004</v>
      </c>
      <c r="I453" s="57">
        <v>4</v>
      </c>
    </row>
    <row r="454" spans="2:10">
      <c r="B454" s="158" t="s">
        <v>642</v>
      </c>
      <c r="C454" s="13">
        <v>1736565</v>
      </c>
      <c r="D454" s="29">
        <f>D440</f>
        <v>63051202020</v>
      </c>
      <c r="E454" s="161">
        <v>0.1</v>
      </c>
      <c r="F454" s="47">
        <f t="shared" si="16"/>
        <v>6305120202</v>
      </c>
      <c r="G454" s="161">
        <v>0.02</v>
      </c>
      <c r="H454" s="57">
        <f t="shared" si="17"/>
        <v>126102404.04000001</v>
      </c>
      <c r="I454" s="57">
        <v>6</v>
      </c>
    </row>
    <row r="455" spans="2:10" ht="14.45" customHeight="1">
      <c r="D455" s="1"/>
      <c r="F455" s="1"/>
    </row>
    <row r="456" spans="2:10" ht="14.45" customHeight="1">
      <c r="B456" s="159"/>
      <c r="C456" s="51"/>
      <c r="D456" s="51"/>
      <c r="E456" s="51"/>
      <c r="F456" s="51"/>
      <c r="G456" s="51"/>
      <c r="H456" s="51"/>
      <c r="I456" s="51"/>
      <c r="J456" s="51"/>
    </row>
    <row r="457" spans="2:10">
      <c r="B457" s="5" t="s">
        <v>232</v>
      </c>
      <c r="C457" s="5" t="s">
        <v>522</v>
      </c>
      <c r="D457" s="5" t="s">
        <v>700</v>
      </c>
      <c r="E457" s="5" t="s">
        <v>46</v>
      </c>
      <c r="F457" s="1"/>
    </row>
    <row r="458" spans="2:10">
      <c r="B458" s="12" t="s">
        <v>701</v>
      </c>
      <c r="C458" s="47" t="s">
        <v>656</v>
      </c>
      <c r="D458" s="47">
        <v>5</v>
      </c>
      <c r="E458" s="60">
        <v>2400000</v>
      </c>
      <c r="F458" s="1"/>
    </row>
    <row r="459" spans="2:10">
      <c r="B459" s="12"/>
      <c r="C459" s="47" t="s">
        <v>657</v>
      </c>
      <c r="D459" s="47">
        <v>20</v>
      </c>
      <c r="E459" s="60">
        <v>2000000</v>
      </c>
      <c r="F459" s="1"/>
    </row>
    <row r="460" spans="2:10">
      <c r="C460" s="7"/>
      <c r="D460" s="7"/>
      <c r="E460" s="134"/>
      <c r="F460" s="1"/>
    </row>
    <row r="461" spans="2:10">
      <c r="B461" s="50"/>
      <c r="C461" s="50"/>
      <c r="D461" s="167"/>
      <c r="E461" s="135"/>
      <c r="G461" s="168"/>
      <c r="H461" s="7"/>
      <c r="I461" s="7"/>
    </row>
    <row r="462" spans="2:10" ht="12.95" customHeight="1">
      <c r="B462" s="58" t="s">
        <v>234</v>
      </c>
    </row>
    <row r="463" spans="2:10">
      <c r="B463" s="12" t="s">
        <v>702</v>
      </c>
      <c r="D463" s="1"/>
    </row>
    <row r="464" spans="2:10">
      <c r="B464" s="75" t="s">
        <v>703</v>
      </c>
      <c r="C464" s="47">
        <v>2143</v>
      </c>
      <c r="D464" s="1">
        <v>3861</v>
      </c>
    </row>
    <row r="465" spans="2:9">
      <c r="B465" s="91" t="s">
        <v>704</v>
      </c>
      <c r="C465" s="47">
        <v>1230</v>
      </c>
      <c r="D465" s="1">
        <v>1230</v>
      </c>
    </row>
    <row r="466" spans="2:9">
      <c r="B466" s="91" t="s">
        <v>705</v>
      </c>
      <c r="C466" s="60">
        <f>C464*C465</f>
        <v>2635890</v>
      </c>
      <c r="D466" s="1">
        <v>4749030</v>
      </c>
    </row>
    <row r="467" spans="2:9">
      <c r="B467" s="41" t="s">
        <v>706</v>
      </c>
      <c r="C467" s="54">
        <f>C466*50%</f>
        <v>1317945</v>
      </c>
      <c r="D467" s="1">
        <v>2374515</v>
      </c>
      <c r="F467" s="1"/>
    </row>
    <row r="468" spans="2:9">
      <c r="B468" s="58" t="s">
        <v>707</v>
      </c>
      <c r="C468" s="59">
        <v>1400000</v>
      </c>
      <c r="D468" s="1">
        <v>2400000</v>
      </c>
      <c r="E468" s="170"/>
      <c r="F468" s="1"/>
    </row>
    <row r="469" spans="2:9" ht="40.5" customHeight="1">
      <c r="B469" s="655" t="s">
        <v>708</v>
      </c>
      <c r="C469" s="670"/>
      <c r="D469" s="1"/>
      <c r="E469" s="170"/>
      <c r="F469" s="1">
        <f>6.36*1</f>
        <v>6.36</v>
      </c>
    </row>
    <row r="470" spans="2:9">
      <c r="B470" s="166"/>
      <c r="C470" s="166"/>
      <c r="D470" s="1"/>
      <c r="E470" s="170"/>
      <c r="F470" s="1">
        <f>+F469*365</f>
        <v>2321.4</v>
      </c>
    </row>
    <row r="471" spans="2:9" ht="15">
      <c r="B471" s="51"/>
      <c r="C471" s="51"/>
      <c r="D471" s="1"/>
      <c r="F471" s="7">
        <f>+F470*1250</f>
        <v>2901750</v>
      </c>
    </row>
    <row r="472" spans="2:9">
      <c r="B472" s="58" t="s">
        <v>709</v>
      </c>
      <c r="C472" s="59">
        <f>C473*C474</f>
        <v>600000</v>
      </c>
      <c r="D472" s="1"/>
    </row>
    <row r="473" spans="2:9">
      <c r="B473" s="91" t="s">
        <v>710</v>
      </c>
      <c r="C473" s="47">
        <v>50000</v>
      </c>
      <c r="D473" s="1"/>
    </row>
    <row r="474" spans="2:9">
      <c r="B474" s="91" t="s">
        <v>711</v>
      </c>
      <c r="C474" s="47">
        <v>12</v>
      </c>
      <c r="D474" s="1"/>
    </row>
    <row r="475" spans="2:9">
      <c r="B475" s="49" t="s">
        <v>712</v>
      </c>
      <c r="C475" s="7"/>
    </row>
    <row r="476" spans="2:9">
      <c r="B476" s="629"/>
      <c r="C476" s="629"/>
    </row>
    <row r="477" spans="2:9">
      <c r="B477" s="58" t="s">
        <v>713</v>
      </c>
      <c r="C477" s="59">
        <f>+C466*0.25</f>
        <v>658972.5</v>
      </c>
      <c r="D477" s="31"/>
      <c r="G477" s="31"/>
      <c r="H477" s="31"/>
      <c r="I477" s="31"/>
    </row>
    <row r="478" spans="2:9">
      <c r="B478" s="127" t="s">
        <v>707</v>
      </c>
      <c r="C478" s="171">
        <v>700000</v>
      </c>
      <c r="D478" s="31"/>
      <c r="G478" s="31"/>
      <c r="H478" s="31"/>
      <c r="I478" s="31"/>
    </row>
    <row r="479" spans="2:9" ht="36.75" customHeight="1">
      <c r="B479" s="671" t="s">
        <v>714</v>
      </c>
      <c r="C479" s="672"/>
      <c r="D479" s="31"/>
      <c r="E479" s="31"/>
      <c r="G479" s="31"/>
      <c r="H479" s="31"/>
      <c r="I479" s="31"/>
    </row>
    <row r="480" spans="2:9">
      <c r="B480" s="172"/>
      <c r="C480" s="172"/>
      <c r="D480" s="31"/>
      <c r="E480" s="31"/>
      <c r="G480" s="31"/>
      <c r="H480" s="31"/>
      <c r="I480" s="31"/>
    </row>
    <row r="481" spans="2:9">
      <c r="D481" s="31"/>
      <c r="E481" s="31"/>
      <c r="G481" s="31"/>
      <c r="H481" s="31"/>
      <c r="I481" s="31"/>
    </row>
    <row r="482" spans="2:9">
      <c r="B482" s="173" t="s">
        <v>715</v>
      </c>
      <c r="C482" s="59" t="s">
        <v>716</v>
      </c>
      <c r="D482" s="61" t="s">
        <v>717</v>
      </c>
      <c r="E482" s="61" t="s">
        <v>718</v>
      </c>
      <c r="F482" s="61" t="s">
        <v>719</v>
      </c>
      <c r="G482" s="31"/>
      <c r="H482" s="31"/>
      <c r="I482" s="31"/>
    </row>
    <row r="483" spans="2:9">
      <c r="B483" s="14" t="s">
        <v>720</v>
      </c>
      <c r="C483" s="12">
        <v>50</v>
      </c>
      <c r="D483" s="29">
        <v>10</v>
      </c>
      <c r="E483" s="12">
        <v>6.36</v>
      </c>
      <c r="F483" s="47">
        <f>C483*D483*E483</f>
        <v>3180</v>
      </c>
      <c r="G483" s="31"/>
      <c r="H483" s="31"/>
      <c r="I483" s="31"/>
    </row>
    <row r="484" spans="2:9" ht="12.95" customHeight="1">
      <c r="B484" s="14" t="s">
        <v>657</v>
      </c>
      <c r="C484" s="12">
        <v>40</v>
      </c>
      <c r="D484" s="13">
        <v>40</v>
      </c>
      <c r="E484" s="12">
        <v>6.36</v>
      </c>
      <c r="F484" s="47">
        <f>C484*D484*E484</f>
        <v>10176</v>
      </c>
    </row>
    <row r="485" spans="2:9" ht="12.95" customHeight="1">
      <c r="B485" s="59" t="s">
        <v>721</v>
      </c>
      <c r="C485" s="61">
        <f>SUM(C483:C484)</f>
        <v>90</v>
      </c>
      <c r="F485" s="61">
        <f>SUM(F483:F484)</f>
        <v>13356</v>
      </c>
    </row>
    <row r="486" spans="2:9" ht="12.95" customHeight="1">
      <c r="B486" s="662" t="s">
        <v>722</v>
      </c>
      <c r="C486" s="658"/>
      <c r="D486" s="172"/>
      <c r="E486" s="172"/>
      <c r="F486" s="172"/>
    </row>
    <row r="487" spans="2:9" ht="12.95" customHeight="1">
      <c r="B487" s="630"/>
      <c r="C487" s="630"/>
      <c r="D487" s="172"/>
      <c r="E487" s="172"/>
      <c r="F487" s="172"/>
    </row>
    <row r="488" spans="2:9" ht="12.95" customHeight="1">
      <c r="D488" s="1"/>
      <c r="F488" s="1"/>
    </row>
    <row r="489" spans="2:9" ht="12.95" customHeight="1">
      <c r="B489" s="174" t="s">
        <v>723</v>
      </c>
      <c r="C489" s="173" t="s">
        <v>724</v>
      </c>
    </row>
    <row r="490" spans="2:9" ht="12.95" customHeight="1">
      <c r="B490" s="12" t="s">
        <v>725</v>
      </c>
      <c r="C490" s="57">
        <f>F485</f>
        <v>13356</v>
      </c>
    </row>
    <row r="491" spans="2:9" ht="12.95" customHeight="1">
      <c r="B491" s="12" t="s">
        <v>726</v>
      </c>
      <c r="C491" s="12">
        <v>30</v>
      </c>
      <c r="E491" s="6"/>
      <c r="F491" s="1"/>
    </row>
    <row r="492" spans="2:9" ht="12.95" customHeight="1">
      <c r="B492" s="12" t="s">
        <v>711</v>
      </c>
      <c r="C492" s="12">
        <v>12</v>
      </c>
      <c r="D492" s="175" t="s">
        <v>654</v>
      </c>
      <c r="E492" s="6"/>
      <c r="F492" s="176"/>
    </row>
    <row r="493" spans="2:9" ht="12.95" customHeight="1">
      <c r="B493" s="173" t="s">
        <v>727</v>
      </c>
      <c r="C493" s="59">
        <f>C490*C491*C492</f>
        <v>4808160</v>
      </c>
      <c r="D493" s="13">
        <v>9000000</v>
      </c>
      <c r="E493" s="13">
        <f>D493/17</f>
        <v>529411.76470588241</v>
      </c>
      <c r="F493" s="1"/>
    </row>
    <row r="494" spans="2:9" s="3" customFormat="1" ht="12.95" customHeight="1">
      <c r="B494" s="177" t="s">
        <v>728</v>
      </c>
      <c r="C494" s="178"/>
      <c r="E494" s="156"/>
    </row>
    <row r="495" spans="2:9" s="3" customFormat="1" ht="12.95" customHeight="1">
      <c r="B495" s="179"/>
      <c r="C495" s="178"/>
      <c r="E495" s="156"/>
    </row>
    <row r="496" spans="2:9" ht="12.95" customHeight="1">
      <c r="B496" s="174" t="s">
        <v>729</v>
      </c>
      <c r="C496" s="6"/>
      <c r="D496" s="7"/>
      <c r="E496" s="7"/>
      <c r="G496" s="7"/>
      <c r="H496" s="7"/>
      <c r="I496" s="7"/>
    </row>
    <row r="497" spans="2:9" ht="12.95" customHeight="1">
      <c r="B497" s="174" t="s">
        <v>730</v>
      </c>
      <c r="C497" s="173" t="s">
        <v>731</v>
      </c>
      <c r="D497" s="7"/>
      <c r="E497" s="7"/>
      <c r="G497" s="7"/>
      <c r="H497" s="7"/>
      <c r="I497" s="7"/>
    </row>
    <row r="498" spans="2:9" ht="12.95" customHeight="1">
      <c r="B498" s="180" t="s">
        <v>732</v>
      </c>
      <c r="C498" s="13">
        <f>C465</f>
        <v>1230</v>
      </c>
      <c r="D498" s="7"/>
      <c r="E498" s="7"/>
      <c r="G498" s="7"/>
      <c r="H498" s="7"/>
      <c r="I498" s="7"/>
    </row>
    <row r="499" spans="2:9" ht="12.95" customHeight="1">
      <c r="B499" s="180" t="s">
        <v>733</v>
      </c>
      <c r="C499" s="13">
        <f>C490</f>
        <v>13356</v>
      </c>
      <c r="D499" s="7"/>
      <c r="E499" s="7"/>
      <c r="G499" s="7"/>
      <c r="H499" s="7"/>
      <c r="I499" s="7"/>
    </row>
    <row r="500" spans="2:9" ht="12.95" customHeight="1">
      <c r="B500" s="180" t="s">
        <v>734</v>
      </c>
      <c r="C500" s="13">
        <f>C499*30</f>
        <v>400680</v>
      </c>
      <c r="D500" s="7"/>
      <c r="E500" s="7"/>
      <c r="G500" s="7"/>
      <c r="H500" s="7"/>
      <c r="I500" s="7"/>
    </row>
    <row r="501" spans="2:9" ht="12.95" customHeight="1">
      <c r="B501" s="180" t="s">
        <v>735</v>
      </c>
      <c r="C501" s="13">
        <f>C500*30</f>
        <v>12020400</v>
      </c>
      <c r="D501" s="7"/>
      <c r="E501" s="7"/>
      <c r="G501" s="7"/>
      <c r="H501" s="7"/>
      <c r="I501" s="7"/>
    </row>
    <row r="502" spans="2:9" ht="12.95" customHeight="1">
      <c r="B502" s="181" t="s">
        <v>736</v>
      </c>
      <c r="C502" s="81">
        <f>C501*30</f>
        <v>360612000</v>
      </c>
      <c r="D502" s="7"/>
      <c r="E502" s="7"/>
      <c r="G502" s="7"/>
      <c r="H502" s="7"/>
      <c r="I502" s="7"/>
    </row>
    <row r="503" spans="2:9" ht="12.95" customHeight="1">
      <c r="B503" s="181" t="s">
        <v>737</v>
      </c>
      <c r="C503" s="182">
        <v>0.1</v>
      </c>
      <c r="D503" s="7"/>
      <c r="E503" s="7"/>
      <c r="G503" s="7"/>
      <c r="H503" s="7"/>
      <c r="I503" s="7"/>
    </row>
    <row r="504" spans="2:9" ht="12.95" customHeight="1">
      <c r="B504" s="173" t="s">
        <v>738</v>
      </c>
      <c r="C504" s="183">
        <f>C502*C503</f>
        <v>36061200</v>
      </c>
      <c r="D504" s="7"/>
      <c r="E504" s="7"/>
      <c r="G504" s="7"/>
      <c r="H504" s="7"/>
      <c r="I504" s="7"/>
    </row>
    <row r="505" spans="2:9" ht="12.95" customHeight="1">
      <c r="B505" s="173" t="s">
        <v>739</v>
      </c>
      <c r="C505" s="183">
        <f>C504/C485</f>
        <v>400680</v>
      </c>
      <c r="D505" s="7"/>
      <c r="E505" s="7"/>
      <c r="G505" s="7"/>
      <c r="H505" s="7"/>
      <c r="I505" s="7"/>
    </row>
    <row r="506" spans="2:9" ht="12.95" customHeight="1">
      <c r="B506" s="184" t="s">
        <v>740</v>
      </c>
      <c r="C506" s="185">
        <f>C504/C500</f>
        <v>90</v>
      </c>
      <c r="D506" s="7"/>
      <c r="E506" s="7"/>
      <c r="G506" s="7"/>
      <c r="H506" s="7"/>
      <c r="I506" s="7"/>
    </row>
    <row r="507" spans="2:9" s="3" customFormat="1" ht="12.95" customHeight="1">
      <c r="B507" s="652" t="s">
        <v>741</v>
      </c>
      <c r="C507" s="652"/>
      <c r="E507" s="156"/>
    </row>
    <row r="508" spans="2:9" s="3" customFormat="1" ht="12.95" customHeight="1">
      <c r="B508" s="652"/>
      <c r="C508" s="652"/>
      <c r="E508" s="156"/>
    </row>
    <row r="509" spans="2:9" s="3" customFormat="1" ht="12.95" customHeight="1">
      <c r="B509" s="179"/>
      <c r="C509" s="178"/>
      <c r="E509" s="156"/>
    </row>
    <row r="510" spans="2:9" ht="12.95" customHeight="1">
      <c r="B510" s="174" t="s">
        <v>240</v>
      </c>
      <c r="C510" s="174" t="s">
        <v>522</v>
      </c>
      <c r="D510" s="7"/>
      <c r="E510" s="7"/>
      <c r="G510" s="7"/>
      <c r="H510" s="7"/>
      <c r="I510" s="7"/>
    </row>
    <row r="511" spans="2:9" ht="23.1" customHeight="1">
      <c r="B511" s="12" t="str">
        <f>B352</f>
        <v>f. Equipos, líneas de producción</v>
      </c>
      <c r="C511" s="181">
        <f>D360</f>
        <v>347750000</v>
      </c>
      <c r="D511" s="7"/>
      <c r="E511" s="7"/>
      <c r="G511" s="7"/>
      <c r="H511" s="7"/>
      <c r="I511" s="7"/>
    </row>
    <row r="512" spans="2:9">
      <c r="B512" s="12" t="str">
        <f>B362</f>
        <v>Infraestructura para plantas procesadoras</v>
      </c>
      <c r="C512" s="180">
        <f>E363</f>
        <v>300000000</v>
      </c>
      <c r="D512" s="7"/>
      <c r="E512" s="7"/>
      <c r="G512" s="7"/>
      <c r="H512" s="7"/>
      <c r="I512" s="7"/>
    </row>
    <row r="513" spans="2:10">
      <c r="B513" s="173" t="s">
        <v>742</v>
      </c>
      <c r="C513" s="173">
        <f>SUM(C511:C512)</f>
        <v>647750000</v>
      </c>
      <c r="D513" s="7"/>
      <c r="E513" s="7"/>
      <c r="G513" s="7"/>
      <c r="H513" s="7"/>
      <c r="I513" s="7"/>
    </row>
    <row r="514" spans="2:10" s="3" customFormat="1">
      <c r="B514" s="186"/>
      <c r="C514" s="187"/>
      <c r="D514" s="138"/>
      <c r="E514" s="138"/>
      <c r="F514" s="138"/>
      <c r="G514" s="138"/>
      <c r="H514" s="138"/>
      <c r="I514" s="138"/>
    </row>
    <row r="515" spans="2:10">
      <c r="B515" s="58" t="s">
        <v>242</v>
      </c>
      <c r="D515" s="1"/>
      <c r="E515" s="138"/>
      <c r="F515" s="138"/>
    </row>
    <row r="516" spans="2:10">
      <c r="B516" s="40" t="s">
        <v>637</v>
      </c>
      <c r="C516" s="47">
        <v>36308</v>
      </c>
      <c r="D516" s="1"/>
    </row>
    <row r="517" spans="2:10" ht="38.25">
      <c r="B517" s="12" t="s">
        <v>638</v>
      </c>
      <c r="C517" s="157" t="s">
        <v>639</v>
      </c>
      <c r="D517" s="157" t="s">
        <v>667</v>
      </c>
      <c r="E517" s="157" t="s">
        <v>743</v>
      </c>
      <c r="F517" s="157" t="s">
        <v>744</v>
      </c>
      <c r="G517" s="157" t="s">
        <v>670</v>
      </c>
      <c r="H517" s="157" t="s">
        <v>671</v>
      </c>
    </row>
    <row r="518" spans="2:10">
      <c r="B518" s="158" t="s">
        <v>640</v>
      </c>
      <c r="C518" s="13">
        <v>23563</v>
      </c>
      <c r="D518" s="29">
        <f>C518*C516</f>
        <v>855525404</v>
      </c>
      <c r="E518" s="161">
        <v>0.2</v>
      </c>
      <c r="F518" s="47">
        <f>D518*E518</f>
        <v>171105080.80000001</v>
      </c>
      <c r="G518" s="161">
        <v>0.15</v>
      </c>
      <c r="H518" s="57">
        <f>F518*G518</f>
        <v>25665762.120000001</v>
      </c>
    </row>
    <row r="519" spans="2:10">
      <c r="B519" s="79" t="s">
        <v>641</v>
      </c>
      <c r="C519" s="13">
        <v>204995</v>
      </c>
      <c r="D519" s="29">
        <f>C516*C519</f>
        <v>7442958460</v>
      </c>
      <c r="E519" s="161">
        <v>0.1</v>
      </c>
      <c r="F519" s="47">
        <f t="shared" ref="F519:F520" si="18">D519*E519</f>
        <v>744295846</v>
      </c>
      <c r="G519" s="161">
        <v>0.1</v>
      </c>
      <c r="H519" s="57">
        <f t="shared" ref="H519:H520" si="19">F519*G519</f>
        <v>74429584.600000009</v>
      </c>
    </row>
    <row r="520" spans="2:10">
      <c r="B520" s="158" t="s">
        <v>642</v>
      </c>
      <c r="C520" s="13">
        <v>1736565</v>
      </c>
      <c r="D520" s="29">
        <f>C516*C520</f>
        <v>63051202020</v>
      </c>
      <c r="E520" s="161">
        <v>0.1</v>
      </c>
      <c r="F520" s="47">
        <f t="shared" si="18"/>
        <v>6305120202</v>
      </c>
      <c r="G520" s="161">
        <v>0.05</v>
      </c>
      <c r="H520" s="57">
        <f t="shared" si="19"/>
        <v>315256010.10000002</v>
      </c>
    </row>
    <row r="521" spans="2:10" ht="14.45" customHeight="1">
      <c r="D521" s="1"/>
      <c r="F521" s="1"/>
      <c r="G521" s="157" t="s">
        <v>745</v>
      </c>
      <c r="H521" s="188">
        <f>(H518+H519)/2</f>
        <v>50047673.360000007</v>
      </c>
    </row>
    <row r="522" spans="2:10" ht="14.45" customHeight="1">
      <c r="B522" s="58" t="s">
        <v>244</v>
      </c>
      <c r="C522" s="51"/>
      <c r="D522" s="51"/>
      <c r="E522" s="51"/>
      <c r="F522" s="51"/>
      <c r="G522" s="51"/>
      <c r="H522" s="51"/>
      <c r="I522" s="51"/>
      <c r="J522" s="51"/>
    </row>
    <row r="523" spans="2:10" ht="25.5">
      <c r="B523" s="5" t="s">
        <v>651</v>
      </c>
      <c r="C523" s="87" t="s">
        <v>652</v>
      </c>
      <c r="D523" s="157" t="s">
        <v>746</v>
      </c>
      <c r="E523" s="157" t="s">
        <v>747</v>
      </c>
      <c r="F523" s="157" t="s">
        <v>748</v>
      </c>
      <c r="G523" s="87" t="s">
        <v>687</v>
      </c>
      <c r="H523" s="87" t="s">
        <v>688</v>
      </c>
      <c r="I523" s="87" t="s">
        <v>34</v>
      </c>
    </row>
    <row r="524" spans="2:10">
      <c r="B524" s="12" t="s">
        <v>656</v>
      </c>
      <c r="C524" s="12">
        <v>10</v>
      </c>
      <c r="D524" s="13">
        <v>2600000</v>
      </c>
      <c r="E524" s="47">
        <f>C524*D524</f>
        <v>26000000</v>
      </c>
      <c r="F524" s="47">
        <f>E524*10%</f>
        <v>2600000</v>
      </c>
      <c r="G524" s="162">
        <v>0.2</v>
      </c>
      <c r="H524" s="47">
        <f>F524*G524</f>
        <v>520000</v>
      </c>
      <c r="I524" s="47">
        <f>F524*5%</f>
        <v>130000</v>
      </c>
    </row>
    <row r="525" spans="2:10">
      <c r="B525" s="12" t="s">
        <v>657</v>
      </c>
      <c r="C525" s="12">
        <v>40</v>
      </c>
      <c r="D525" s="13">
        <v>2600000</v>
      </c>
      <c r="E525" s="47">
        <f>C525*D525</f>
        <v>104000000</v>
      </c>
      <c r="F525" s="47">
        <f>E525*10%</f>
        <v>10400000</v>
      </c>
      <c r="G525" s="162">
        <v>0.1</v>
      </c>
      <c r="H525" s="47">
        <f>F525*G525</f>
        <v>1040000</v>
      </c>
      <c r="I525" s="47">
        <f>F525*5%</f>
        <v>520000</v>
      </c>
    </row>
    <row r="526" spans="2:10">
      <c r="B526" s="662" t="s">
        <v>749</v>
      </c>
      <c r="C526" s="662"/>
      <c r="D526" s="662"/>
      <c r="E526" s="662"/>
      <c r="F526" s="662"/>
      <c r="G526" s="662"/>
      <c r="H526" s="662"/>
      <c r="I526" s="662"/>
    </row>
    <row r="527" spans="2:10">
      <c r="B527" s="652"/>
      <c r="C527" s="652"/>
      <c r="D527" s="652"/>
      <c r="E527" s="652"/>
      <c r="F527" s="652"/>
      <c r="G527" s="652"/>
      <c r="H527" s="652"/>
      <c r="I527" s="652"/>
    </row>
    <row r="528" spans="2:10" ht="15">
      <c r="B528" s="51"/>
      <c r="C528" s="51"/>
      <c r="D528" s="51"/>
      <c r="E528" s="51"/>
      <c r="F528" s="51"/>
      <c r="G528" s="51"/>
      <c r="H528" s="51"/>
      <c r="I528" s="51"/>
    </row>
    <row r="529" spans="2:11" ht="14.45" customHeight="1">
      <c r="B529" s="58" t="s">
        <v>750</v>
      </c>
      <c r="C529" s="51"/>
      <c r="D529" s="51"/>
      <c r="E529" s="51"/>
      <c r="F529" s="51"/>
      <c r="G529" s="51"/>
      <c r="H529" s="51"/>
      <c r="I529" s="51"/>
      <c r="J529" s="51"/>
    </row>
    <row r="530" spans="2:11">
      <c r="B530" s="5" t="s">
        <v>651</v>
      </c>
      <c r="C530" s="5" t="s">
        <v>652</v>
      </c>
      <c r="D530" s="5" t="s">
        <v>685</v>
      </c>
      <c r="E530" s="5"/>
      <c r="F530" s="78" t="s">
        <v>686</v>
      </c>
      <c r="G530" s="78" t="s">
        <v>687</v>
      </c>
      <c r="H530" s="78" t="s">
        <v>688</v>
      </c>
      <c r="I530" s="78" t="s">
        <v>34</v>
      </c>
      <c r="J530" s="78" t="s">
        <v>689</v>
      </c>
      <c r="K530" s="5" t="s">
        <v>690</v>
      </c>
    </row>
    <row r="531" spans="2:11">
      <c r="B531" s="12" t="s">
        <v>656</v>
      </c>
      <c r="C531" s="12">
        <v>10</v>
      </c>
      <c r="D531" s="13">
        <f>+D524</f>
        <v>2600000</v>
      </c>
      <c r="E531" s="47">
        <f>C531*D531</f>
        <v>26000000</v>
      </c>
      <c r="F531" s="13">
        <f>E531*70%</f>
        <v>18200000</v>
      </c>
      <c r="G531" s="182">
        <v>0.2</v>
      </c>
      <c r="H531" s="13">
        <f>F531*G531</f>
        <v>3640000</v>
      </c>
      <c r="I531" s="13">
        <f>F531*5%</f>
        <v>910000</v>
      </c>
      <c r="J531" s="161">
        <v>0.1</v>
      </c>
      <c r="K531" s="57">
        <f>E531*J531</f>
        <v>2600000</v>
      </c>
    </row>
    <row r="532" spans="2:11">
      <c r="B532" s="12" t="s">
        <v>657</v>
      </c>
      <c r="C532" s="12">
        <v>40</v>
      </c>
      <c r="D532" s="13">
        <f>+D525</f>
        <v>2600000</v>
      </c>
      <c r="E532" s="47">
        <f>C532*D532</f>
        <v>104000000</v>
      </c>
      <c r="F532" s="47">
        <f>E532*70%</f>
        <v>72800000</v>
      </c>
      <c r="G532" s="182">
        <v>0.1</v>
      </c>
      <c r="H532" s="47">
        <f>F532*G532</f>
        <v>7280000</v>
      </c>
      <c r="I532" s="47">
        <f>F532*5%</f>
        <v>3640000</v>
      </c>
      <c r="J532" s="161">
        <v>0.05</v>
      </c>
      <c r="K532" s="57">
        <f>E532*J532</f>
        <v>5200000</v>
      </c>
    </row>
    <row r="533" spans="2:11" ht="67.5">
      <c r="B533" s="172" t="s">
        <v>691</v>
      </c>
      <c r="C533" s="50"/>
      <c r="D533" s="167"/>
      <c r="E533" s="135"/>
      <c r="G533" s="168"/>
      <c r="H533" s="7"/>
      <c r="I533" s="7"/>
    </row>
    <row r="534" spans="2:11">
      <c r="B534" s="172"/>
      <c r="C534" s="50"/>
      <c r="D534" s="167"/>
      <c r="E534" s="135"/>
      <c r="G534" s="168"/>
      <c r="H534" s="7"/>
      <c r="I534" s="7"/>
    </row>
    <row r="535" spans="2:11">
      <c r="B535" s="58" t="s">
        <v>751</v>
      </c>
      <c r="E535" s="7"/>
      <c r="G535" s="168"/>
      <c r="H535" s="7"/>
      <c r="I535" s="7"/>
    </row>
    <row r="536" spans="2:11">
      <c r="B536" s="5" t="s">
        <v>651</v>
      </c>
      <c r="D536" s="1"/>
    </row>
    <row r="537" spans="2:11">
      <c r="B537" s="40" t="s">
        <v>637</v>
      </c>
      <c r="C537" s="47">
        <v>36308</v>
      </c>
      <c r="D537" s="1"/>
    </row>
    <row r="538" spans="2:11" ht="25.5">
      <c r="B538" s="12" t="s">
        <v>638</v>
      </c>
      <c r="C538" s="157" t="s">
        <v>639</v>
      </c>
      <c r="D538" s="157" t="s">
        <v>667</v>
      </c>
      <c r="E538" s="157" t="s">
        <v>752</v>
      </c>
      <c r="F538" s="157" t="s">
        <v>753</v>
      </c>
      <c r="G538" s="157" t="s">
        <v>754</v>
      </c>
    </row>
    <row r="539" spans="2:11">
      <c r="B539" s="158" t="s">
        <v>640</v>
      </c>
      <c r="C539" s="13">
        <v>23563</v>
      </c>
      <c r="D539" s="13">
        <f>D452</f>
        <v>855525404</v>
      </c>
      <c r="E539" s="161">
        <v>0.1</v>
      </c>
      <c r="F539" s="47">
        <f>D539*E539</f>
        <v>85552540.400000006</v>
      </c>
      <c r="G539" s="57">
        <f>F539*10%</f>
        <v>8555254.040000001</v>
      </c>
    </row>
    <row r="540" spans="2:11">
      <c r="B540" s="79" t="s">
        <v>641</v>
      </c>
      <c r="C540" s="13">
        <v>204995</v>
      </c>
      <c r="D540" s="13">
        <f>D453</f>
        <v>7442958460</v>
      </c>
      <c r="E540" s="161">
        <v>0.05</v>
      </c>
      <c r="F540" s="47">
        <f t="shared" ref="F540:F541" si="20">D540*E540</f>
        <v>372147923</v>
      </c>
      <c r="G540" s="57">
        <f>F540*5%</f>
        <v>18607396.150000002</v>
      </c>
    </row>
    <row r="541" spans="2:11">
      <c r="B541" s="158" t="s">
        <v>642</v>
      </c>
      <c r="C541" s="13">
        <v>1736565</v>
      </c>
      <c r="D541" s="13">
        <f>D454</f>
        <v>63051202020</v>
      </c>
      <c r="E541" s="161"/>
      <c r="F541" s="47">
        <f t="shared" si="20"/>
        <v>0</v>
      </c>
    </row>
    <row r="542" spans="2:11" ht="67.5">
      <c r="B542" s="166" t="s">
        <v>755</v>
      </c>
      <c r="C542" s="6"/>
      <c r="E542" s="189"/>
    </row>
    <row r="543" spans="2:11">
      <c r="B543" s="159"/>
      <c r="C543" s="6"/>
      <c r="E543" s="189"/>
    </row>
    <row r="544" spans="2:11">
      <c r="E544" s="7"/>
      <c r="G544" s="168"/>
      <c r="H544" s="7"/>
      <c r="I544" s="7"/>
    </row>
    <row r="545" spans="2:21" ht="14.45" customHeight="1">
      <c r="B545" s="108" t="s">
        <v>756</v>
      </c>
      <c r="C545" s="51"/>
      <c r="D545" s="51"/>
      <c r="E545" s="51"/>
      <c r="F545" s="51"/>
      <c r="G545" s="51"/>
      <c r="H545" s="51"/>
      <c r="I545" s="51"/>
      <c r="J545" s="51"/>
    </row>
    <row r="546" spans="2:21">
      <c r="B546" s="12" t="s">
        <v>702</v>
      </c>
      <c r="C546" s="12"/>
      <c r="D546" s="1"/>
    </row>
    <row r="547" spans="2:21">
      <c r="B547" s="75" t="s">
        <v>757</v>
      </c>
      <c r="C547" s="47">
        <v>2143</v>
      </c>
      <c r="D547" s="1"/>
    </row>
    <row r="548" spans="2:21">
      <c r="B548" s="91" t="s">
        <v>704</v>
      </c>
      <c r="C548" s="47">
        <v>1230</v>
      </c>
      <c r="D548" s="1"/>
    </row>
    <row r="549" spans="2:21">
      <c r="B549" s="91" t="s">
        <v>758</v>
      </c>
      <c r="C549" s="60">
        <f>C547*C548</f>
        <v>2635890</v>
      </c>
      <c r="D549" s="1"/>
    </row>
    <row r="550" spans="2:21">
      <c r="B550" s="58" t="s">
        <v>398</v>
      </c>
      <c r="C550" s="59">
        <v>2600000</v>
      </c>
      <c r="E550" s="7"/>
      <c r="G550" s="168"/>
      <c r="H550" s="7"/>
      <c r="I550" s="7"/>
    </row>
    <row r="551" spans="2:21" s="3" customFormat="1">
      <c r="B551" s="155"/>
      <c r="C551" s="190"/>
      <c r="D551" s="156"/>
      <c r="E551" s="138"/>
      <c r="F551" s="138"/>
      <c r="G551" s="191"/>
      <c r="H551" s="138"/>
      <c r="I551" s="138"/>
    </row>
    <row r="552" spans="2:21" s="3" customFormat="1">
      <c r="B552" s="174" t="s">
        <v>759</v>
      </c>
      <c r="C552" s="174"/>
      <c r="D552" s="174" t="s">
        <v>522</v>
      </c>
      <c r="E552" s="138"/>
      <c r="F552" s="138"/>
      <c r="G552" s="138"/>
      <c r="H552" s="138"/>
      <c r="I552" s="138"/>
    </row>
    <row r="553" spans="2:21" s="3" customFormat="1">
      <c r="B553" s="91" t="s">
        <v>760</v>
      </c>
      <c r="C553" s="91"/>
      <c r="D553" s="181">
        <v>320000</v>
      </c>
      <c r="E553" s="138"/>
      <c r="F553" s="138"/>
      <c r="G553" s="138"/>
      <c r="H553" s="138"/>
      <c r="I553" s="138"/>
    </row>
    <row r="554" spans="2:21" s="3" customFormat="1">
      <c r="B554" s="91" t="s">
        <v>761</v>
      </c>
      <c r="C554" s="192">
        <v>0.17</v>
      </c>
      <c r="D554" s="186">
        <f>D553*C554</f>
        <v>54400.000000000007</v>
      </c>
      <c r="E554" s="138"/>
      <c r="F554" s="138"/>
      <c r="G554" s="138"/>
      <c r="H554" s="138"/>
      <c r="I554" s="138"/>
    </row>
    <row r="555" spans="2:21" s="3" customFormat="1">
      <c r="B555" s="91" t="s">
        <v>654</v>
      </c>
      <c r="C555" s="192">
        <v>0.6</v>
      </c>
      <c r="D555" s="186">
        <f>D553*C555</f>
        <v>192000</v>
      </c>
      <c r="E555" s="138"/>
      <c r="F555" s="138"/>
      <c r="G555" s="138"/>
      <c r="H555" s="138"/>
      <c r="I555" s="138"/>
    </row>
    <row r="556" spans="2:21" s="3" customFormat="1">
      <c r="B556" s="91" t="s">
        <v>762</v>
      </c>
      <c r="C556" s="192"/>
      <c r="D556" s="186">
        <f>D555-D554</f>
        <v>137600</v>
      </c>
      <c r="E556" s="174" t="s">
        <v>763</v>
      </c>
      <c r="F556" s="174" t="s">
        <v>764</v>
      </c>
      <c r="G556" s="138"/>
      <c r="H556" s="138"/>
      <c r="I556" s="138"/>
    </row>
    <row r="557" spans="2:21" s="3" customFormat="1">
      <c r="B557" s="91" t="s">
        <v>765</v>
      </c>
      <c r="C557" s="192"/>
      <c r="D557" s="186">
        <f>D556/17</f>
        <v>8094.1176470588234</v>
      </c>
      <c r="E557" s="191">
        <v>0.8</v>
      </c>
      <c r="F557" s="191">
        <v>0.2</v>
      </c>
      <c r="G557" s="138"/>
      <c r="H557" s="138"/>
      <c r="I557" s="138"/>
    </row>
    <row r="558" spans="2:21" s="3" customFormat="1">
      <c r="B558" s="193" t="s">
        <v>766</v>
      </c>
      <c r="C558" s="192"/>
      <c r="D558" s="186">
        <f>670+15+1500</f>
        <v>2185</v>
      </c>
      <c r="E558" s="191"/>
      <c r="F558" s="191"/>
      <c r="G558" s="138"/>
      <c r="H558" s="138"/>
      <c r="I558" s="138"/>
    </row>
    <row r="559" spans="2:21" s="194" customFormat="1">
      <c r="B559" s="195"/>
      <c r="C559" s="74" t="s">
        <v>398</v>
      </c>
      <c r="D559" s="196">
        <f>8100-D558</f>
        <v>5915</v>
      </c>
      <c r="E559" s="186">
        <f>D559*E557</f>
        <v>4732</v>
      </c>
      <c r="F559" s="186">
        <f>D559*F557</f>
        <v>1183</v>
      </c>
      <c r="G559" s="197"/>
      <c r="H559" s="197"/>
      <c r="I559" s="197"/>
      <c r="J559" s="197"/>
      <c r="K559" s="197"/>
      <c r="L559" s="197"/>
      <c r="M559" s="197"/>
      <c r="N559" s="197"/>
      <c r="O559" s="197"/>
      <c r="P559" s="197"/>
      <c r="Q559" s="197"/>
      <c r="R559" s="197"/>
      <c r="S559" s="197"/>
      <c r="T559" s="197"/>
      <c r="U559" s="197"/>
    </row>
    <row r="560" spans="2:21" s="194" customFormat="1">
      <c r="B560" s="198" t="s">
        <v>767</v>
      </c>
      <c r="C560" s="197"/>
      <c r="D560" s="199"/>
      <c r="E560" s="187"/>
      <c r="F560" s="187"/>
      <c r="G560" s="197"/>
      <c r="H560" s="197"/>
      <c r="I560" s="197"/>
      <c r="J560" s="197"/>
      <c r="K560" s="197"/>
      <c r="L560" s="197"/>
      <c r="M560" s="197"/>
      <c r="N560" s="197"/>
      <c r="O560" s="197"/>
      <c r="P560" s="197"/>
      <c r="Q560" s="197"/>
      <c r="R560" s="197"/>
      <c r="S560" s="197"/>
      <c r="T560" s="197"/>
      <c r="U560" s="197"/>
    </row>
    <row r="561" spans="1:21" s="194" customFormat="1">
      <c r="B561" s="195"/>
      <c r="C561" s="197"/>
      <c r="D561" s="199"/>
      <c r="E561" s="187"/>
      <c r="F561" s="187"/>
      <c r="G561" s="197"/>
      <c r="H561" s="197"/>
      <c r="I561" s="197"/>
      <c r="J561" s="197"/>
      <c r="K561" s="197"/>
      <c r="L561" s="197"/>
      <c r="M561" s="197"/>
      <c r="N561" s="197"/>
      <c r="O561" s="197"/>
      <c r="P561" s="197"/>
      <c r="Q561" s="197"/>
      <c r="R561" s="197"/>
      <c r="S561" s="197"/>
      <c r="T561" s="197"/>
      <c r="U561" s="197"/>
    </row>
    <row r="562" spans="1:21" ht="26.1" customHeight="1">
      <c r="E562" s="7"/>
      <c r="G562" s="168"/>
      <c r="H562" s="7"/>
      <c r="I562" s="7"/>
    </row>
    <row r="563" spans="1:21">
      <c r="A563" s="3"/>
      <c r="B563" s="5" t="s">
        <v>246</v>
      </c>
      <c r="C563" s="5" t="s">
        <v>768</v>
      </c>
      <c r="D563" s="5" t="s">
        <v>769</v>
      </c>
      <c r="E563" s="78" t="s">
        <v>770</v>
      </c>
      <c r="F563" s="78" t="s">
        <v>771</v>
      </c>
      <c r="G563" s="78" t="s">
        <v>772</v>
      </c>
    </row>
    <row r="564" spans="1:21">
      <c r="A564" s="3"/>
      <c r="B564" s="12" t="s">
        <v>773</v>
      </c>
      <c r="C564" s="47">
        <v>666911</v>
      </c>
      <c r="D564" s="13">
        <f>C564*40%</f>
        <v>266764.40000000002</v>
      </c>
      <c r="E564" s="47">
        <f>D564/7</f>
        <v>38109.200000000004</v>
      </c>
      <c r="F564" s="47">
        <v>351</v>
      </c>
      <c r="G564" s="47">
        <f>+F564*C202</f>
        <v>1266474.69</v>
      </c>
    </row>
    <row r="565" spans="1:21">
      <c r="A565" s="3"/>
      <c r="B565" s="12" t="s">
        <v>774</v>
      </c>
      <c r="C565" s="47">
        <v>61000</v>
      </c>
      <c r="D565" s="13">
        <f t="shared" ref="D565:D566" si="21">C565*40%</f>
        <v>24400</v>
      </c>
      <c r="E565" s="47">
        <f t="shared" ref="E565:E566" si="22">D565/7</f>
        <v>3485.7142857142858</v>
      </c>
      <c r="F565" s="47">
        <v>1233</v>
      </c>
      <c r="G565" s="47">
        <f>+F565*C202</f>
        <v>4448898.2700000005</v>
      </c>
    </row>
    <row r="566" spans="1:21">
      <c r="A566" s="3"/>
      <c r="B566" s="12" t="s">
        <v>775</v>
      </c>
      <c r="C566" s="47">
        <v>2169230</v>
      </c>
      <c r="D566" s="13">
        <f t="shared" si="21"/>
        <v>867692</v>
      </c>
      <c r="E566" s="47">
        <f t="shared" si="22"/>
        <v>123956</v>
      </c>
      <c r="F566" s="47">
        <v>207</v>
      </c>
      <c r="G566" s="47">
        <f>+F566*C202</f>
        <v>746895.33</v>
      </c>
    </row>
    <row r="567" spans="1:21" s="3" customFormat="1" ht="101.25">
      <c r="B567" s="200" t="s">
        <v>776</v>
      </c>
      <c r="C567" s="187"/>
      <c r="D567" s="138"/>
      <c r="E567" s="138"/>
      <c r="F567" s="138"/>
      <c r="G567" s="138"/>
      <c r="H567" s="138"/>
      <c r="I567" s="138"/>
    </row>
    <row r="568" spans="1:21" s="3" customFormat="1">
      <c r="B568" s="187"/>
      <c r="C568" s="187"/>
      <c r="D568" s="138"/>
      <c r="E568" s="138"/>
      <c r="F568" s="138"/>
      <c r="G568" s="138"/>
      <c r="H568" s="138"/>
      <c r="I568" s="138"/>
    </row>
    <row r="569" spans="1:21">
      <c r="B569" s="58" t="s">
        <v>248</v>
      </c>
      <c r="D569" s="1"/>
      <c r="E569" s="138"/>
      <c r="F569" s="138"/>
    </row>
    <row r="570" spans="1:21">
      <c r="B570" s="40" t="s">
        <v>637</v>
      </c>
      <c r="C570" s="47">
        <v>36308</v>
      </c>
      <c r="D570" s="1"/>
    </row>
    <row r="571" spans="1:21" ht="38.25">
      <c r="B571" s="12" t="s">
        <v>638</v>
      </c>
      <c r="C571" s="157" t="s">
        <v>777</v>
      </c>
      <c r="D571" s="157" t="s">
        <v>667</v>
      </c>
      <c r="E571" s="157" t="s">
        <v>778</v>
      </c>
      <c r="F571" s="157" t="s">
        <v>744</v>
      </c>
      <c r="G571" s="157" t="s">
        <v>670</v>
      </c>
      <c r="H571" s="157" t="s">
        <v>671</v>
      </c>
    </row>
    <row r="572" spans="1:21">
      <c r="B572" s="158" t="s">
        <v>640</v>
      </c>
      <c r="C572" s="13">
        <v>23563</v>
      </c>
      <c r="D572" s="29">
        <f>C570*C572</f>
        <v>855525404</v>
      </c>
      <c r="E572" s="161">
        <v>0.2</v>
      </c>
      <c r="F572" s="47">
        <f>D572*E572</f>
        <v>171105080.80000001</v>
      </c>
      <c r="G572" s="161">
        <v>0.15</v>
      </c>
      <c r="H572" s="57">
        <f>F572*G572</f>
        <v>25665762.120000001</v>
      </c>
    </row>
    <row r="573" spans="1:21">
      <c r="B573" s="79" t="s">
        <v>641</v>
      </c>
      <c r="C573" s="13">
        <v>204995</v>
      </c>
      <c r="D573" s="29">
        <f>C570*C573</f>
        <v>7442958460</v>
      </c>
      <c r="E573" s="161">
        <v>0.1</v>
      </c>
      <c r="F573" s="47">
        <f t="shared" ref="F573:F574" si="23">D573*E573</f>
        <v>744295846</v>
      </c>
      <c r="G573" s="161">
        <v>0.1</v>
      </c>
      <c r="H573" s="57">
        <f t="shared" ref="H573:H574" si="24">F573*G573</f>
        <v>74429584.600000009</v>
      </c>
    </row>
    <row r="574" spans="1:21">
      <c r="B574" s="158" t="s">
        <v>642</v>
      </c>
      <c r="C574" s="13">
        <v>1736565</v>
      </c>
      <c r="D574" s="29">
        <f>C570*C574</f>
        <v>63051202020</v>
      </c>
      <c r="E574" s="161">
        <v>0.1</v>
      </c>
      <c r="F574" s="47">
        <f t="shared" si="23"/>
        <v>6305120202</v>
      </c>
      <c r="G574" s="161">
        <v>0.05</v>
      </c>
      <c r="H574" s="57">
        <f t="shared" si="24"/>
        <v>315256010.10000002</v>
      </c>
    </row>
    <row r="575" spans="1:21">
      <c r="B575" s="159"/>
      <c r="C575" s="6"/>
      <c r="D575" s="31"/>
      <c r="E575" s="189"/>
      <c r="G575" s="189"/>
      <c r="H575" s="38"/>
    </row>
    <row r="576" spans="1:21" ht="14.45" customHeight="1">
      <c r="D576" s="1"/>
      <c r="F576" s="1"/>
      <c r="H576" s="38">
        <f>(H572+H573)/2</f>
        <v>50047673.360000007</v>
      </c>
    </row>
    <row r="577" spans="1:8" ht="14.45" customHeight="1">
      <c r="A577" s="3"/>
      <c r="B577" s="58" t="s">
        <v>779</v>
      </c>
      <c r="C577" s="157" t="s">
        <v>768</v>
      </c>
      <c r="D577" s="157" t="s">
        <v>780</v>
      </c>
      <c r="E577" s="157" t="s">
        <v>770</v>
      </c>
      <c r="F577" s="157" t="s">
        <v>781</v>
      </c>
      <c r="G577" s="157" t="s">
        <v>782</v>
      </c>
      <c r="H577" s="157" t="s">
        <v>783</v>
      </c>
    </row>
    <row r="578" spans="1:8" s="3" customFormat="1" ht="14.45" customHeight="1">
      <c r="B578" s="91" t="s">
        <v>784</v>
      </c>
      <c r="C578" s="201">
        <v>68675</v>
      </c>
      <c r="D578" s="202">
        <f>+C578*40%</f>
        <v>27470</v>
      </c>
      <c r="E578" s="201">
        <f>+D578/7</f>
        <v>3924.2857142857142</v>
      </c>
      <c r="F578" s="201">
        <v>1014169</v>
      </c>
      <c r="G578" s="201">
        <v>200000</v>
      </c>
      <c r="H578" s="201">
        <f>+F578+G578</f>
        <v>1214169</v>
      </c>
    </row>
    <row r="579" spans="1:8" ht="14.45" customHeight="1">
      <c r="D579" s="1"/>
      <c r="F579" s="1"/>
      <c r="H579" s="38"/>
    </row>
    <row r="580" spans="1:8">
      <c r="B580" s="58" t="s">
        <v>785</v>
      </c>
    </row>
    <row r="581" spans="1:8">
      <c r="B581" s="58" t="s">
        <v>548</v>
      </c>
      <c r="C581" s="58" t="s">
        <v>659</v>
      </c>
      <c r="D581" s="58" t="s">
        <v>660</v>
      </c>
      <c r="E581" s="58" t="s">
        <v>786</v>
      </c>
      <c r="F581" s="58" t="s">
        <v>661</v>
      </c>
      <c r="G581" s="58" t="s">
        <v>787</v>
      </c>
      <c r="H581" s="58" t="s">
        <v>788</v>
      </c>
    </row>
    <row r="582" spans="1:8">
      <c r="B582" s="12" t="s">
        <v>663</v>
      </c>
      <c r="C582" s="12" t="s">
        <v>664</v>
      </c>
      <c r="D582" s="47">
        <v>20000000</v>
      </c>
      <c r="E582" s="161">
        <v>0.15</v>
      </c>
      <c r="F582" s="47">
        <f>D582*E582</f>
        <v>3000000</v>
      </c>
      <c r="G582" s="161">
        <v>0.3</v>
      </c>
      <c r="H582" s="47">
        <f>D582*G582</f>
        <v>6000000</v>
      </c>
    </row>
    <row r="583" spans="1:8">
      <c r="B583" s="12" t="s">
        <v>665</v>
      </c>
      <c r="C583" s="12" t="s">
        <v>666</v>
      </c>
      <c r="D583" s="47">
        <v>50000000</v>
      </c>
      <c r="E583" s="161">
        <v>0.05</v>
      </c>
      <c r="F583" s="47">
        <f>D583*E583</f>
        <v>2500000</v>
      </c>
      <c r="G583" s="161">
        <v>0.1</v>
      </c>
      <c r="H583" s="47">
        <f>D583*G583</f>
        <v>5000000</v>
      </c>
    </row>
    <row r="584" spans="1:8">
      <c r="A584" s="1" t="s">
        <v>789</v>
      </c>
    </row>
    <row r="585" spans="1:8">
      <c r="B585" s="58" t="s">
        <v>790</v>
      </c>
      <c r="D585" s="1"/>
      <c r="E585" s="138"/>
      <c r="F585" s="138"/>
    </row>
    <row r="586" spans="1:8">
      <c r="B586" s="40" t="s">
        <v>637</v>
      </c>
      <c r="C586" s="47">
        <v>36308</v>
      </c>
      <c r="D586" s="1"/>
    </row>
    <row r="587" spans="1:8">
      <c r="B587" s="12" t="s">
        <v>638</v>
      </c>
      <c r="C587" s="157" t="s">
        <v>777</v>
      </c>
      <c r="D587" s="157" t="s">
        <v>667</v>
      </c>
      <c r="E587" s="157" t="s">
        <v>791</v>
      </c>
      <c r="F587" s="157" t="s">
        <v>792</v>
      </c>
      <c r="G587" s="157" t="s">
        <v>793</v>
      </c>
      <c r="H587" s="157" t="s">
        <v>671</v>
      </c>
    </row>
    <row r="588" spans="1:8">
      <c r="B588" s="158" t="s">
        <v>640</v>
      </c>
      <c r="C588" s="13">
        <v>23563</v>
      </c>
      <c r="D588" s="29">
        <v>855525404</v>
      </c>
      <c r="E588" s="161">
        <v>0.1</v>
      </c>
      <c r="F588" s="47">
        <f>D588*E588</f>
        <v>85552540.400000006</v>
      </c>
      <c r="G588" s="161">
        <v>0.15</v>
      </c>
      <c r="H588" s="57">
        <f>F588*G588</f>
        <v>12832881.060000001</v>
      </c>
    </row>
    <row r="589" spans="1:8">
      <c r="B589" s="79" t="s">
        <v>641</v>
      </c>
      <c r="C589" s="13">
        <v>204995</v>
      </c>
      <c r="D589" s="29">
        <v>7442958460</v>
      </c>
      <c r="E589" s="161">
        <v>0.05</v>
      </c>
      <c r="F589" s="47">
        <f t="shared" ref="F589:F590" si="25">D589*E589</f>
        <v>372147923</v>
      </c>
      <c r="G589" s="161">
        <v>0.1</v>
      </c>
      <c r="H589" s="57">
        <f t="shared" ref="H589:H590" si="26">F589*G589</f>
        <v>37214792.300000004</v>
      </c>
    </row>
    <row r="590" spans="1:8">
      <c r="B590" s="158" t="s">
        <v>642</v>
      </c>
      <c r="C590" s="13">
        <v>1736565</v>
      </c>
      <c r="D590" s="29">
        <v>63051202020</v>
      </c>
      <c r="E590" s="161">
        <v>0.1</v>
      </c>
      <c r="F590" s="47">
        <f t="shared" si="25"/>
        <v>6305120202</v>
      </c>
      <c r="G590" s="161">
        <v>0.05</v>
      </c>
      <c r="H590" s="57">
        <f t="shared" si="26"/>
        <v>315256010.10000002</v>
      </c>
    </row>
    <row r="591" spans="1:8">
      <c r="B591" s="158"/>
      <c r="C591" s="6"/>
      <c r="D591" s="31"/>
      <c r="E591" s="189"/>
      <c r="G591" s="189"/>
      <c r="H591" s="38"/>
    </row>
    <row r="592" spans="1:8">
      <c r="C592" s="135"/>
      <c r="D592" s="1"/>
      <c r="F592" s="1"/>
    </row>
    <row r="593" spans="1:22">
      <c r="B593" s="58" t="s">
        <v>256</v>
      </c>
    </row>
    <row r="594" spans="1:22">
      <c r="B594" s="12" t="s">
        <v>702</v>
      </c>
    </row>
    <row r="595" spans="1:22">
      <c r="B595" s="75" t="s">
        <v>757</v>
      </c>
      <c r="C595" s="47">
        <v>2143</v>
      </c>
    </row>
    <row r="596" spans="1:22">
      <c r="B596" s="91" t="s">
        <v>704</v>
      </c>
      <c r="C596" s="47">
        <v>1230</v>
      </c>
    </row>
    <row r="597" spans="1:22">
      <c r="B597" s="91" t="s">
        <v>758</v>
      </c>
      <c r="C597" s="60">
        <f>C595*C596</f>
        <v>2635890</v>
      </c>
    </row>
    <row r="598" spans="1:22">
      <c r="B598" s="41" t="s">
        <v>794</v>
      </c>
      <c r="C598" s="54">
        <f>C597*50%</f>
        <v>1317945</v>
      </c>
    </row>
    <row r="599" spans="1:22">
      <c r="B599" s="58" t="s">
        <v>707</v>
      </c>
      <c r="C599" s="59">
        <v>1400000</v>
      </c>
    </row>
    <row r="600" spans="1:22">
      <c r="B600" s="58" t="s">
        <v>795</v>
      </c>
      <c r="C600" s="59">
        <f>+C599*0.1</f>
        <v>140000</v>
      </c>
    </row>
    <row r="601" spans="1:22">
      <c r="B601" s="58" t="s">
        <v>796</v>
      </c>
      <c r="C601" s="59">
        <f>+C600*0.8</f>
        <v>112000</v>
      </c>
    </row>
    <row r="602" spans="1:22" s="6" customFormat="1" ht="34.5" customHeight="1">
      <c r="A602" s="1"/>
      <c r="B602" s="665" t="s">
        <v>797</v>
      </c>
      <c r="C602" s="666"/>
      <c r="E602" s="1"/>
      <c r="F602" s="7"/>
      <c r="G602" s="1"/>
      <c r="H602" s="1"/>
      <c r="I602" s="1"/>
      <c r="J602" s="1"/>
      <c r="K602" s="1"/>
      <c r="L602" s="1"/>
      <c r="M602" s="1"/>
      <c r="N602" s="1"/>
      <c r="O602" s="1"/>
      <c r="P602" s="1"/>
      <c r="Q602" s="1"/>
      <c r="R602" s="1"/>
      <c r="S602" s="1"/>
      <c r="T602" s="1"/>
      <c r="U602" s="1"/>
      <c r="V602" s="1"/>
    </row>
    <row r="605" spans="1:22" s="6" customFormat="1" ht="15">
      <c r="A605" s="1"/>
      <c r="B605" s="665"/>
      <c r="C605" s="666"/>
      <c r="E605" s="1"/>
      <c r="F605" s="7"/>
      <c r="G605" s="1"/>
      <c r="H605" s="1"/>
      <c r="I605" s="1"/>
      <c r="J605" s="1"/>
      <c r="K605" s="1"/>
      <c r="L605" s="1"/>
      <c r="M605" s="1"/>
      <c r="N605" s="1"/>
      <c r="O605" s="1"/>
      <c r="P605" s="1"/>
      <c r="Q605" s="1"/>
      <c r="R605" s="1"/>
      <c r="S605" s="1"/>
      <c r="T605" s="1"/>
      <c r="U605" s="1"/>
      <c r="V605" s="1"/>
    </row>
  </sheetData>
  <mergeCells count="77">
    <mergeCell ref="B605:C605"/>
    <mergeCell ref="B363:B364"/>
    <mergeCell ref="B404:J404"/>
    <mergeCell ref="B412:J412"/>
    <mergeCell ref="B441:J441"/>
    <mergeCell ref="B469:C469"/>
    <mergeCell ref="B476:C476"/>
    <mergeCell ref="B479:C479"/>
    <mergeCell ref="B486:C487"/>
    <mergeCell ref="B507:C508"/>
    <mergeCell ref="B526:I527"/>
    <mergeCell ref="B602:C602"/>
    <mergeCell ref="B338:B339"/>
    <mergeCell ref="E233:F234"/>
    <mergeCell ref="E235:G235"/>
    <mergeCell ref="B236:C236"/>
    <mergeCell ref="I236:J237"/>
    <mergeCell ref="J249:K249"/>
    <mergeCell ref="E258:F258"/>
    <mergeCell ref="G258:H258"/>
    <mergeCell ref="J260:K260"/>
    <mergeCell ref="J269:K269"/>
    <mergeCell ref="B314:D314"/>
    <mergeCell ref="B329:E330"/>
    <mergeCell ref="B335:C335"/>
    <mergeCell ref="K223:L223"/>
    <mergeCell ref="E225:H225"/>
    <mergeCell ref="K225:L225"/>
    <mergeCell ref="E226:H226"/>
    <mergeCell ref="E232:F232"/>
    <mergeCell ref="H232:I232"/>
    <mergeCell ref="K232:L232"/>
    <mergeCell ref="E222:H223"/>
    <mergeCell ref="A191:A195"/>
    <mergeCell ref="C191:C195"/>
    <mergeCell ref="A196:B196"/>
    <mergeCell ref="E206:J206"/>
    <mergeCell ref="E214:F214"/>
    <mergeCell ref="A181:A183"/>
    <mergeCell ref="C181:C183"/>
    <mergeCell ref="A184:A186"/>
    <mergeCell ref="C184:C186"/>
    <mergeCell ref="A187:A190"/>
    <mergeCell ref="C187:C190"/>
    <mergeCell ref="A171:A173"/>
    <mergeCell ref="C171:C173"/>
    <mergeCell ref="A174:A176"/>
    <mergeCell ref="C174:C176"/>
    <mergeCell ref="A177:A180"/>
    <mergeCell ref="C177:C180"/>
    <mergeCell ref="A161:A166"/>
    <mergeCell ref="C161:C166"/>
    <mergeCell ref="K164:L165"/>
    <mergeCell ref="A167:A170"/>
    <mergeCell ref="C167:C170"/>
    <mergeCell ref="E169:F169"/>
    <mergeCell ref="H169:I169"/>
    <mergeCell ref="K169:L169"/>
    <mergeCell ref="B152:C152"/>
    <mergeCell ref="B154:C154"/>
    <mergeCell ref="A156:A160"/>
    <mergeCell ref="C156:C160"/>
    <mergeCell ref="E156:F156"/>
    <mergeCell ref="H156:I156"/>
    <mergeCell ref="K136:L136"/>
    <mergeCell ref="K146:L146"/>
    <mergeCell ref="N146:O146"/>
    <mergeCell ref="Q146:R146"/>
    <mergeCell ref="S147:V149"/>
    <mergeCell ref="B150:C150"/>
    <mergeCell ref="B1:I1"/>
    <mergeCell ref="B6:E6"/>
    <mergeCell ref="B38:G38"/>
    <mergeCell ref="B66:D66"/>
    <mergeCell ref="C68:C78"/>
    <mergeCell ref="B136:C136"/>
    <mergeCell ref="E136:F136"/>
  </mergeCells>
  <conditionalFormatting sqref="G559:U561 C559:C561">
    <cfRule type="dataBar" priority="1">
      <dataBar>
        <cfvo type="min"/>
        <cfvo type="max"/>
        <color rgb="FF638EC6"/>
      </dataBar>
      <extLst>
        <ext xmlns:x14="http://schemas.microsoft.com/office/spreadsheetml/2009/9/main" uri="{B025F937-C7B1-47D3-B67F-A62EFF666E3E}">
          <x14:id>{FB3D656C-BB7F-4EF7-A9B6-56242CA552EE}</x14:id>
        </ext>
      </extLst>
    </cfRule>
  </conditionalFormatting>
  <hyperlinks>
    <hyperlink ref="B33" r:id="rId1"/>
    <hyperlink ref="B272" r:id="rId2"/>
  </hyperlinks>
  <pageMargins left="0.7" right="0.7" top="0.75" bottom="0.75" header="0.3" footer="0.3"/>
  <pageSetup orientation="portrait" horizontalDpi="300" verticalDpi="300" r:id="rId3"/>
  <extLst>
    <ext xmlns:x14="http://schemas.microsoft.com/office/spreadsheetml/2009/9/main" uri="{78C0D931-6437-407d-A8EE-F0AAD7539E65}">
      <x14:conditionalFormattings>
        <x14:conditionalFormatting xmlns:xm="http://schemas.microsoft.com/office/excel/2006/main">
          <x14:cfRule type="dataBar" id="{FB3D656C-BB7F-4EF7-A9B6-56242CA552EE}">
            <x14:dataBar minLength="0" maxLength="100" gradient="0">
              <x14:cfvo type="autoMin"/>
              <x14:cfvo type="autoMax"/>
              <x14:negativeFillColor rgb="FFFF0000"/>
              <x14:axisColor rgb="FF000000"/>
            </x14:dataBar>
          </x14:cfRule>
          <xm:sqref>G559:U561 C559:C561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A302"/>
  <sheetViews>
    <sheetView windowProtection="1" zoomScale="70" zoomScaleNormal="70" workbookViewId="0">
      <pane ySplit="1" topLeftCell="A2" activePane="bottomLeft" state="frozen"/>
      <selection pane="bottomLeft"/>
    </sheetView>
  </sheetViews>
  <sheetFormatPr baseColWidth="10" defaultColWidth="11.42578125" defaultRowHeight="18"/>
  <cols>
    <col min="1" max="1" width="23.42578125" style="522" bestFit="1" customWidth="1"/>
    <col min="2" max="2" width="22.42578125" style="523" customWidth="1"/>
    <col min="3" max="3" width="22.85546875" style="524" customWidth="1"/>
    <col min="4" max="4" width="29.7109375" style="525" customWidth="1"/>
    <col min="5" max="5" width="49.42578125" style="526" customWidth="1"/>
    <col min="6" max="6" width="50.28515625" style="526" customWidth="1"/>
    <col min="7" max="7" width="65.42578125" style="524" customWidth="1"/>
    <col min="8" max="8" width="149.42578125" style="527" customWidth="1"/>
    <col min="9" max="9" width="48.42578125" style="527" customWidth="1"/>
    <col min="10" max="10" width="81.85546875" style="528" customWidth="1"/>
    <col min="11" max="11" width="36.28515625" style="530" customWidth="1"/>
    <col min="12" max="13" width="11.42578125" style="519"/>
    <col min="14" max="14" width="73.42578125" style="521" customWidth="1"/>
    <col min="15" max="16384" width="11.42578125" style="519"/>
  </cols>
  <sheetData>
    <row r="1" spans="1:14" s="531" customFormat="1" ht="53.1" customHeight="1">
      <c r="A1" s="533" t="s">
        <v>798</v>
      </c>
      <c r="B1" s="533" t="s">
        <v>799</v>
      </c>
      <c r="C1" s="534" t="s">
        <v>800</v>
      </c>
      <c r="D1" s="534" t="s">
        <v>801</v>
      </c>
      <c r="E1" s="534" t="s">
        <v>802</v>
      </c>
      <c r="F1" s="534" t="s">
        <v>803</v>
      </c>
      <c r="G1" s="533" t="s">
        <v>804</v>
      </c>
      <c r="H1" s="534" t="s">
        <v>805</v>
      </c>
      <c r="I1" s="534" t="s">
        <v>806</v>
      </c>
      <c r="J1" s="533" t="s">
        <v>807</v>
      </c>
      <c r="K1" s="535" t="s">
        <v>808</v>
      </c>
      <c r="N1" s="532"/>
    </row>
    <row r="2" spans="1:14" ht="47.25" customHeight="1">
      <c r="A2" s="674" t="s">
        <v>809</v>
      </c>
      <c r="B2" s="674" t="s">
        <v>810</v>
      </c>
      <c r="C2" s="674" t="s">
        <v>811</v>
      </c>
      <c r="D2" s="678" t="s">
        <v>812</v>
      </c>
      <c r="E2" s="675" t="s">
        <v>813</v>
      </c>
      <c r="F2" s="675" t="s">
        <v>814</v>
      </c>
      <c r="G2" s="673" t="s">
        <v>815</v>
      </c>
      <c r="H2" s="538" t="s">
        <v>816</v>
      </c>
      <c r="I2" s="677" t="s">
        <v>817</v>
      </c>
      <c r="J2" s="674" t="str">
        <f>+'P1'!B31</f>
        <v>Para llevar a cabo el proyecto se estima la realización de mesas de trabajo institucionales virtuales y presenciales por región. Los viáticos y tiquees de un consultor internacional, la realización de talleres nacionales y regionales  virtuales y presenciales, realización de eventos de promoción y divulgación nacional, regional de manera presencial y virtual. Se estima recurso humano  de 5 personas  con un salario promedio de $5.464.476.   Se estiman 10 viajes nacionales, con sus viáticos. Se considera por presupuestar los requerimientos de personal para realizar muestreo, así como otros esquemas de vigilancia.</v>
      </c>
      <c r="K2" s="683">
        <f>+'P1'!Y8</f>
        <v>14565675832.5</v>
      </c>
      <c r="N2" s="520">
        <v>478874334694</v>
      </c>
    </row>
    <row r="3" spans="1:14" ht="30">
      <c r="A3" s="674"/>
      <c r="B3" s="674"/>
      <c r="C3" s="674"/>
      <c r="D3" s="678"/>
      <c r="E3" s="675"/>
      <c r="F3" s="675"/>
      <c r="G3" s="673"/>
      <c r="H3" s="538" t="s">
        <v>818</v>
      </c>
      <c r="I3" s="677"/>
      <c r="J3" s="674"/>
      <c r="K3" s="683"/>
    </row>
    <row r="4" spans="1:14" ht="45">
      <c r="A4" s="674"/>
      <c r="B4" s="674"/>
      <c r="C4" s="674"/>
      <c r="D4" s="678"/>
      <c r="E4" s="675"/>
      <c r="F4" s="675"/>
      <c r="G4" s="673"/>
      <c r="H4" s="536" t="s">
        <v>819</v>
      </c>
      <c r="I4" s="677"/>
      <c r="J4" s="674"/>
      <c r="K4" s="683"/>
    </row>
    <row r="5" spans="1:14" ht="42" customHeight="1">
      <c r="A5" s="674"/>
      <c r="B5" s="674"/>
      <c r="C5" s="674"/>
      <c r="D5" s="678"/>
      <c r="E5" s="675"/>
      <c r="F5" s="675"/>
      <c r="G5" s="673"/>
      <c r="H5" s="538" t="s">
        <v>820</v>
      </c>
      <c r="I5" s="677"/>
      <c r="J5" s="674"/>
      <c r="K5" s="683"/>
    </row>
    <row r="6" spans="1:14">
      <c r="A6" s="674"/>
      <c r="B6" s="674"/>
      <c r="C6" s="674"/>
      <c r="D6" s="678"/>
      <c r="E6" s="675"/>
      <c r="F6" s="675"/>
      <c r="G6" s="673"/>
      <c r="H6" s="538" t="s">
        <v>821</v>
      </c>
      <c r="I6" s="677"/>
      <c r="J6" s="674"/>
      <c r="K6" s="683"/>
    </row>
    <row r="7" spans="1:14" ht="30">
      <c r="A7" s="674"/>
      <c r="B7" s="674"/>
      <c r="C7" s="674"/>
      <c r="D7" s="678"/>
      <c r="E7" s="675"/>
      <c r="F7" s="675"/>
      <c r="G7" s="673"/>
      <c r="H7" s="538" t="s">
        <v>822</v>
      </c>
      <c r="I7" s="677"/>
      <c r="J7" s="674"/>
      <c r="K7" s="683"/>
    </row>
    <row r="8" spans="1:14" ht="30">
      <c r="A8" s="674"/>
      <c r="B8" s="674"/>
      <c r="C8" s="674"/>
      <c r="D8" s="678"/>
      <c r="E8" s="675"/>
      <c r="F8" s="675"/>
      <c r="G8" s="673"/>
      <c r="H8" s="538" t="s">
        <v>823</v>
      </c>
      <c r="I8" s="677"/>
      <c r="J8" s="674"/>
      <c r="K8" s="683"/>
    </row>
    <row r="9" spans="1:14" ht="30">
      <c r="A9" s="674" t="s">
        <v>809</v>
      </c>
      <c r="B9" s="674" t="s">
        <v>810</v>
      </c>
      <c r="C9" s="674" t="s">
        <v>811</v>
      </c>
      <c r="D9" s="678" t="s">
        <v>824</v>
      </c>
      <c r="E9" s="675" t="s">
        <v>825</v>
      </c>
      <c r="F9" s="675" t="s">
        <v>826</v>
      </c>
      <c r="G9" s="673" t="s">
        <v>827</v>
      </c>
      <c r="H9" s="538" t="s">
        <v>828</v>
      </c>
      <c r="I9" s="673" t="s">
        <v>829</v>
      </c>
      <c r="J9" s="674" t="str">
        <f>+'P1'!B52</f>
        <v xml:space="preserve">Realización de mesas de trabajo institucionales virtuales y presenciales por región. Los viáticos y tiquetes de un consultor internacional, la realización de talleres y/o eventos nacionales y regionales  virtuales y presenciales. Se estima 3 consultores de campo por departamento, con sus respectivos rodamientos y apoyos tecnológicos, estos consultores de campo se estima que  realicen acompañamiento técnico al proceso de certificación de predios libres a partir del año 4.  Se estima un plan de medios radia regional   y un monto global de material promocional. Se estima 1 coordinador  recursos humano a nivel nacional y sus desplazamiento. Se considera por presupuestar los costos de los estudios epidemiológicos, </v>
      </c>
      <c r="K9" s="682">
        <f>+'P1'!Y9</f>
        <v>54561724504</v>
      </c>
    </row>
    <row r="10" spans="1:14" ht="90.75" customHeight="1">
      <c r="A10" s="674"/>
      <c r="B10" s="674"/>
      <c r="C10" s="674"/>
      <c r="D10" s="678"/>
      <c r="E10" s="675"/>
      <c r="F10" s="675"/>
      <c r="G10" s="673"/>
      <c r="H10" s="538" t="s">
        <v>1692</v>
      </c>
      <c r="I10" s="676"/>
      <c r="J10" s="674"/>
      <c r="K10" s="682"/>
    </row>
    <row r="11" spans="1:14" ht="77.25" customHeight="1">
      <c r="A11" s="674"/>
      <c r="B11" s="674"/>
      <c r="C11" s="674"/>
      <c r="D11" s="678"/>
      <c r="E11" s="675"/>
      <c r="F11" s="675"/>
      <c r="G11" s="673"/>
      <c r="H11" s="539" t="s">
        <v>830</v>
      </c>
      <c r="I11" s="676"/>
      <c r="J11" s="674"/>
      <c r="K11" s="682"/>
    </row>
    <row r="12" spans="1:14">
      <c r="A12" s="674"/>
      <c r="B12" s="674"/>
      <c r="C12" s="674"/>
      <c r="D12" s="678"/>
      <c r="E12" s="675"/>
      <c r="F12" s="675"/>
      <c r="G12" s="673"/>
      <c r="H12" s="538" t="s">
        <v>831</v>
      </c>
      <c r="I12" s="676"/>
      <c r="J12" s="674"/>
      <c r="K12" s="682"/>
    </row>
    <row r="13" spans="1:14" ht="30">
      <c r="A13" s="674"/>
      <c r="B13" s="674"/>
      <c r="C13" s="674"/>
      <c r="D13" s="678"/>
      <c r="E13" s="675"/>
      <c r="F13" s="675"/>
      <c r="G13" s="673"/>
      <c r="H13" s="538" t="s">
        <v>832</v>
      </c>
      <c r="I13" s="676"/>
      <c r="J13" s="674"/>
      <c r="K13" s="682"/>
    </row>
    <row r="14" spans="1:14" ht="30">
      <c r="A14" s="674"/>
      <c r="B14" s="674"/>
      <c r="C14" s="674"/>
      <c r="D14" s="678"/>
      <c r="E14" s="675"/>
      <c r="F14" s="675"/>
      <c r="G14" s="673"/>
      <c r="H14" s="538" t="s">
        <v>833</v>
      </c>
      <c r="I14" s="676"/>
      <c r="J14" s="674"/>
      <c r="K14" s="682"/>
    </row>
    <row r="15" spans="1:14" ht="30">
      <c r="A15" s="674"/>
      <c r="B15" s="674"/>
      <c r="C15" s="674"/>
      <c r="D15" s="678"/>
      <c r="E15" s="675"/>
      <c r="F15" s="675"/>
      <c r="G15" s="673"/>
      <c r="H15" s="538" t="s">
        <v>834</v>
      </c>
      <c r="I15" s="676"/>
      <c r="J15" s="674"/>
      <c r="K15" s="682"/>
    </row>
    <row r="16" spans="1:14" ht="30">
      <c r="A16" s="674"/>
      <c r="B16" s="674"/>
      <c r="C16" s="674"/>
      <c r="D16" s="678"/>
      <c r="E16" s="675"/>
      <c r="F16" s="675"/>
      <c r="G16" s="673"/>
      <c r="H16" s="538" t="s">
        <v>835</v>
      </c>
      <c r="I16" s="676"/>
      <c r="J16" s="674"/>
      <c r="K16" s="682"/>
    </row>
    <row r="17" spans="1:11" ht="45">
      <c r="A17" s="674"/>
      <c r="B17" s="674"/>
      <c r="C17" s="674"/>
      <c r="D17" s="678"/>
      <c r="E17" s="675"/>
      <c r="F17" s="675"/>
      <c r="G17" s="673"/>
      <c r="H17" s="536" t="s">
        <v>836</v>
      </c>
      <c r="I17" s="676"/>
      <c r="J17" s="674"/>
      <c r="K17" s="682"/>
    </row>
    <row r="18" spans="1:11">
      <c r="A18" s="674" t="s">
        <v>809</v>
      </c>
      <c r="B18" s="674" t="s">
        <v>810</v>
      </c>
      <c r="C18" s="674" t="s">
        <v>811</v>
      </c>
      <c r="D18" s="678" t="s">
        <v>837</v>
      </c>
      <c r="E18" s="675" t="s">
        <v>838</v>
      </c>
      <c r="F18" s="675" t="s">
        <v>839</v>
      </c>
      <c r="G18" s="673" t="s">
        <v>840</v>
      </c>
      <c r="H18" s="538" t="s">
        <v>841</v>
      </c>
      <c r="I18" s="673" t="s">
        <v>842</v>
      </c>
      <c r="J18" s="674" t="str">
        <f>+'P1'!B78</f>
        <v>Se estima realización de mesas de trabajo institucionales virtuales y presenciales por región. Viáticos y tiquetes de un consultor internacional,  la realización de talleres y eventos nacionales y regionales virtuales y presenciales.  Se estima un plan de medios institucional, regional   y un monto global de material promocional. Se estima 320.000 predios para que tengan planes sanitarios, se intervienen 32.000 al año, es decir durante 10 años. Se estima la realización de 5 Predios demostrativo para cada subregión.  Se estima intervenir 200.000 predios para certificar, de los cuales 100.000 se estiman como pequeños productores y el resto como medianos y grandes, por un período de 15 años, es decir 670 ganaderos anuales y la mitad para medianos, para lo cual se da un apoyo directo de 6 millones  para pequeños y de 5 millones para medianos.</v>
      </c>
      <c r="K18" s="682">
        <f>+'P1'!Y10</f>
        <v>304946934357.5</v>
      </c>
    </row>
    <row r="19" spans="1:11">
      <c r="A19" s="674"/>
      <c r="B19" s="674"/>
      <c r="C19" s="674"/>
      <c r="D19" s="678"/>
      <c r="E19" s="675"/>
      <c r="F19" s="675"/>
      <c r="G19" s="673"/>
      <c r="H19" s="538" t="s">
        <v>843</v>
      </c>
      <c r="I19" s="673"/>
      <c r="J19" s="674"/>
      <c r="K19" s="682"/>
    </row>
    <row r="20" spans="1:11" ht="30">
      <c r="A20" s="674"/>
      <c r="B20" s="674"/>
      <c r="C20" s="674"/>
      <c r="D20" s="678"/>
      <c r="E20" s="675"/>
      <c r="F20" s="675"/>
      <c r="G20" s="673"/>
      <c r="H20" s="538" t="s">
        <v>844</v>
      </c>
      <c r="I20" s="673"/>
      <c r="J20" s="674"/>
      <c r="K20" s="682"/>
    </row>
    <row r="21" spans="1:11" ht="40.5" customHeight="1">
      <c r="A21" s="674"/>
      <c r="B21" s="674"/>
      <c r="C21" s="674"/>
      <c r="D21" s="678"/>
      <c r="E21" s="675"/>
      <c r="F21" s="675"/>
      <c r="G21" s="673"/>
      <c r="H21" s="538" t="s">
        <v>845</v>
      </c>
      <c r="I21" s="673"/>
      <c r="J21" s="674"/>
      <c r="K21" s="682"/>
    </row>
    <row r="22" spans="1:11" ht="30">
      <c r="A22" s="674"/>
      <c r="B22" s="674"/>
      <c r="C22" s="674"/>
      <c r="D22" s="678"/>
      <c r="E22" s="675"/>
      <c r="F22" s="675"/>
      <c r="G22" s="673"/>
      <c r="H22" s="538" t="s">
        <v>846</v>
      </c>
      <c r="I22" s="673"/>
      <c r="J22" s="674"/>
      <c r="K22" s="682"/>
    </row>
    <row r="23" spans="1:11" ht="45">
      <c r="A23" s="674"/>
      <c r="B23" s="674"/>
      <c r="C23" s="674"/>
      <c r="D23" s="678"/>
      <c r="E23" s="675"/>
      <c r="F23" s="675"/>
      <c r="G23" s="673"/>
      <c r="H23" s="538" t="s">
        <v>847</v>
      </c>
      <c r="I23" s="673"/>
      <c r="J23" s="674"/>
      <c r="K23" s="682"/>
    </row>
    <row r="24" spans="1:11" ht="30">
      <c r="A24" s="674"/>
      <c r="B24" s="674"/>
      <c r="C24" s="674"/>
      <c r="D24" s="678"/>
      <c r="E24" s="675"/>
      <c r="F24" s="675"/>
      <c r="G24" s="673"/>
      <c r="H24" s="538" t="s">
        <v>848</v>
      </c>
      <c r="I24" s="673"/>
      <c r="J24" s="674"/>
      <c r="K24" s="682"/>
    </row>
    <row r="25" spans="1:11" ht="30">
      <c r="A25" s="674" t="s">
        <v>809</v>
      </c>
      <c r="B25" s="674" t="s">
        <v>810</v>
      </c>
      <c r="C25" s="674" t="s">
        <v>849</v>
      </c>
      <c r="D25" s="678" t="s">
        <v>1712</v>
      </c>
      <c r="E25" s="675" t="s">
        <v>850</v>
      </c>
      <c r="F25" s="675" t="s">
        <v>851</v>
      </c>
      <c r="G25" s="673" t="s">
        <v>852</v>
      </c>
      <c r="H25" s="538" t="s">
        <v>1693</v>
      </c>
      <c r="I25" s="673" t="s">
        <v>853</v>
      </c>
      <c r="J25" s="674" t="str">
        <f>+'P2'!B29</f>
        <v xml:space="preserve">Se estima la realización de mesas de trabajo institucionales virtuales y presenciales por mes,  la realización de 4 talleres y eventos nacionales  presenciales y talleres y/o eventos  virtuales y presenciales por región. Se estima una campaña institucional y un monto global de material promocional de 50 millones.  Se estima la realización de 10 cursos cortos virtuales por región. Y se estima un valor global de requerimiento de recursos para la ampliación gradual del sistema de trazabilidad de $3,750 millones, basados en el presupuesto asignado al programa nacional de trazabilidad para el 2021.Se estima recurso humano por  monto y sus desplazamientos. </v>
      </c>
      <c r="K25" s="682">
        <f>+'P2'!Y8</f>
        <v>51489009385</v>
      </c>
    </row>
    <row r="26" spans="1:11" ht="30">
      <c r="A26" s="674"/>
      <c r="B26" s="674"/>
      <c r="C26" s="674"/>
      <c r="D26" s="678"/>
      <c r="E26" s="675"/>
      <c r="F26" s="675"/>
      <c r="G26" s="673"/>
      <c r="H26" s="538" t="s">
        <v>1694</v>
      </c>
      <c r="I26" s="673"/>
      <c r="J26" s="674"/>
      <c r="K26" s="682"/>
    </row>
    <row r="27" spans="1:11" ht="92.25" customHeight="1">
      <c r="A27" s="674"/>
      <c r="B27" s="674"/>
      <c r="C27" s="674"/>
      <c r="D27" s="678"/>
      <c r="E27" s="675"/>
      <c r="F27" s="675"/>
      <c r="G27" s="673"/>
      <c r="H27" s="539" t="s">
        <v>1695</v>
      </c>
      <c r="I27" s="673"/>
      <c r="J27" s="674"/>
      <c r="K27" s="682"/>
    </row>
    <row r="28" spans="1:11">
      <c r="A28" s="674"/>
      <c r="B28" s="674"/>
      <c r="C28" s="674"/>
      <c r="D28" s="678"/>
      <c r="E28" s="675"/>
      <c r="F28" s="675"/>
      <c r="G28" s="673"/>
      <c r="H28" s="538" t="s">
        <v>1696</v>
      </c>
      <c r="I28" s="673"/>
      <c r="J28" s="674"/>
      <c r="K28" s="682"/>
    </row>
    <row r="29" spans="1:11" ht="30">
      <c r="A29" s="674"/>
      <c r="B29" s="674"/>
      <c r="C29" s="674"/>
      <c r="D29" s="678"/>
      <c r="E29" s="675"/>
      <c r="F29" s="675"/>
      <c r="G29" s="673"/>
      <c r="H29" s="538" t="s">
        <v>854</v>
      </c>
      <c r="I29" s="673"/>
      <c r="J29" s="674"/>
      <c r="K29" s="682"/>
    </row>
    <row r="30" spans="1:11" ht="30">
      <c r="A30" s="674"/>
      <c r="B30" s="674"/>
      <c r="C30" s="674"/>
      <c r="D30" s="678"/>
      <c r="E30" s="675"/>
      <c r="F30" s="675"/>
      <c r="G30" s="673"/>
      <c r="H30" s="538" t="s">
        <v>1697</v>
      </c>
      <c r="I30" s="673"/>
      <c r="J30" s="674"/>
      <c r="K30" s="682"/>
    </row>
    <row r="31" spans="1:11" ht="30">
      <c r="A31" s="674"/>
      <c r="B31" s="674"/>
      <c r="C31" s="674"/>
      <c r="D31" s="678"/>
      <c r="E31" s="675"/>
      <c r="F31" s="675"/>
      <c r="G31" s="673"/>
      <c r="H31" s="538" t="s">
        <v>1698</v>
      </c>
      <c r="I31" s="673"/>
      <c r="J31" s="674"/>
      <c r="K31" s="682"/>
    </row>
    <row r="32" spans="1:11">
      <c r="A32" s="674"/>
      <c r="B32" s="674"/>
      <c r="C32" s="674"/>
      <c r="D32" s="678"/>
      <c r="E32" s="675"/>
      <c r="F32" s="675"/>
      <c r="G32" s="673"/>
      <c r="H32" s="538" t="s">
        <v>855</v>
      </c>
      <c r="I32" s="673"/>
      <c r="J32" s="674"/>
      <c r="K32" s="682"/>
    </row>
    <row r="33" spans="1:11" ht="42.75" customHeight="1">
      <c r="A33" s="674" t="s">
        <v>809</v>
      </c>
      <c r="B33" s="674" t="s">
        <v>810</v>
      </c>
      <c r="C33" s="674" t="s">
        <v>849</v>
      </c>
      <c r="D33" s="678" t="s">
        <v>856</v>
      </c>
      <c r="E33" s="675" t="s">
        <v>857</v>
      </c>
      <c r="F33" s="675" t="s">
        <v>858</v>
      </c>
      <c r="G33" s="673" t="s">
        <v>859</v>
      </c>
      <c r="H33" s="538" t="s">
        <v>860</v>
      </c>
      <c r="I33" s="673" t="s">
        <v>861</v>
      </c>
      <c r="J33" s="674" t="str">
        <f>+'P2'!B54</f>
        <v xml:space="preserve">Se estima la realización de mesas de trabajo institucionales virtuales y presenciales por región, realización de talleres y eventos nacionales y regionales  virtuales y presenciales.  Se estima un plan de medios radial regional  y un monto global de material promocional, se presupuesto un paquete de análisis de laboratorios para calidad de productos terminados. Solo se estima incentivo para microempresas y pequeñas y el valor se calculó de acuerdo a la Resolución 957 del 2019  de la DIAN, relacionado con la clasificación de las empresas por el valor de ingresos, en micro, pequeñas y medianas, se tomó el valor de los ingresos  y se estimó un porcentaje del 20% , 10% y 10%  respectivamente, para invertir en adecuaciones y equipos, de este valor se estima apoyar con un ICR del 20% para micros y  10% para pequeñas, también se calcula un incentivo a las certificaciones del 50%. También se estima la realización de ruedas de negocios y ferias comerciales por región. También se estima la realización de 10 diplomados por región. Se considera por presupuestar los costos de los estudios epidemiológicos. </v>
      </c>
      <c r="K33" s="682">
        <f>+'P2'!Y9</f>
        <v>96061398064</v>
      </c>
    </row>
    <row r="34" spans="1:11">
      <c r="A34" s="674"/>
      <c r="B34" s="674"/>
      <c r="C34" s="674"/>
      <c r="D34" s="678"/>
      <c r="E34" s="675"/>
      <c r="F34" s="675"/>
      <c r="G34" s="673"/>
      <c r="H34" s="538" t="s">
        <v>862</v>
      </c>
      <c r="I34" s="673"/>
      <c r="J34" s="674"/>
      <c r="K34" s="682"/>
    </row>
    <row r="35" spans="1:11" ht="30">
      <c r="A35" s="674"/>
      <c r="B35" s="674"/>
      <c r="C35" s="674"/>
      <c r="D35" s="678"/>
      <c r="E35" s="675"/>
      <c r="F35" s="675"/>
      <c r="G35" s="673"/>
      <c r="H35" s="538" t="s">
        <v>863</v>
      </c>
      <c r="I35" s="673"/>
      <c r="J35" s="674"/>
      <c r="K35" s="682"/>
    </row>
    <row r="36" spans="1:11">
      <c r="A36" s="674"/>
      <c r="B36" s="674"/>
      <c r="C36" s="674"/>
      <c r="D36" s="678"/>
      <c r="E36" s="675"/>
      <c r="F36" s="675"/>
      <c r="G36" s="673"/>
      <c r="H36" s="538" t="s">
        <v>864</v>
      </c>
      <c r="I36" s="673"/>
      <c r="J36" s="674"/>
      <c r="K36" s="682"/>
    </row>
    <row r="37" spans="1:11">
      <c r="A37" s="674"/>
      <c r="B37" s="674"/>
      <c r="C37" s="674"/>
      <c r="D37" s="678"/>
      <c r="E37" s="675"/>
      <c r="F37" s="675"/>
      <c r="G37" s="673"/>
      <c r="H37" s="538" t="s">
        <v>865</v>
      </c>
      <c r="I37" s="673"/>
      <c r="J37" s="674"/>
      <c r="K37" s="682"/>
    </row>
    <row r="38" spans="1:11" ht="30">
      <c r="A38" s="674"/>
      <c r="B38" s="674"/>
      <c r="C38" s="674"/>
      <c r="D38" s="678"/>
      <c r="E38" s="675"/>
      <c r="F38" s="675"/>
      <c r="G38" s="673"/>
      <c r="H38" s="538" t="s">
        <v>866</v>
      </c>
      <c r="I38" s="673"/>
      <c r="J38" s="674"/>
      <c r="K38" s="682"/>
    </row>
    <row r="39" spans="1:11" ht="45">
      <c r="A39" s="674"/>
      <c r="B39" s="674" t="s">
        <v>867</v>
      </c>
      <c r="C39" s="674" t="s">
        <v>868</v>
      </c>
      <c r="D39" s="678" t="s">
        <v>869</v>
      </c>
      <c r="E39" s="675" t="s">
        <v>870</v>
      </c>
      <c r="F39" s="675" t="s">
        <v>871</v>
      </c>
      <c r="G39" s="673" t="s">
        <v>872</v>
      </c>
      <c r="H39" s="538" t="s">
        <v>873</v>
      </c>
      <c r="I39" s="677" t="s">
        <v>874</v>
      </c>
      <c r="J39" s="674" t="str">
        <f>+'P3'!B26</f>
        <v xml:space="preserve">Para llevar a cabo el proyecto se estima la realización de mesas de trabajo institucionales virtuales y presenciales por región. Realización de talleres y/eventos nacionales y regionales  virtuales y presenciales. Se estima recurso humano a nivel nacional y recurso humano en región con sus rodamientos y apoyos tecnológicos. Se considera por presupuestar investigación científica, recursos de cofinanciación y otros desarrollos. </v>
      </c>
      <c r="K39" s="682">
        <f>+'P3'!Y8</f>
        <v>5177376928</v>
      </c>
    </row>
    <row r="40" spans="1:11" ht="64.5" customHeight="1">
      <c r="A40" s="674"/>
      <c r="B40" s="674"/>
      <c r="C40" s="674"/>
      <c r="D40" s="678"/>
      <c r="E40" s="675"/>
      <c r="F40" s="675"/>
      <c r="G40" s="673"/>
      <c r="H40" s="538" t="s">
        <v>875</v>
      </c>
      <c r="I40" s="677"/>
      <c r="J40" s="674"/>
      <c r="K40" s="682"/>
    </row>
    <row r="41" spans="1:11" ht="81.75" customHeight="1">
      <c r="A41" s="674"/>
      <c r="B41" s="674"/>
      <c r="C41" s="674"/>
      <c r="D41" s="678"/>
      <c r="E41" s="675"/>
      <c r="F41" s="675"/>
      <c r="G41" s="673"/>
      <c r="H41" s="538" t="s">
        <v>876</v>
      </c>
      <c r="I41" s="677"/>
      <c r="J41" s="674"/>
      <c r="K41" s="682"/>
    </row>
    <row r="42" spans="1:11" ht="87.75" customHeight="1">
      <c r="A42" s="674"/>
      <c r="B42" s="674"/>
      <c r="C42" s="674"/>
      <c r="D42" s="678"/>
      <c r="E42" s="675"/>
      <c r="F42" s="675"/>
      <c r="G42" s="673"/>
      <c r="H42" s="538" t="s">
        <v>877</v>
      </c>
      <c r="I42" s="677"/>
      <c r="J42" s="674"/>
      <c r="K42" s="682"/>
    </row>
    <row r="43" spans="1:11" ht="45">
      <c r="A43" s="674"/>
      <c r="B43" s="674"/>
      <c r="C43" s="674"/>
      <c r="D43" s="678"/>
      <c r="E43" s="675"/>
      <c r="F43" s="675"/>
      <c r="G43" s="673"/>
      <c r="H43" s="538" t="s">
        <v>878</v>
      </c>
      <c r="I43" s="677"/>
      <c r="J43" s="674"/>
      <c r="K43" s="682"/>
    </row>
    <row r="44" spans="1:11" ht="60">
      <c r="A44" s="674"/>
      <c r="B44" s="674"/>
      <c r="C44" s="674"/>
      <c r="D44" s="678"/>
      <c r="E44" s="675"/>
      <c r="F44" s="675"/>
      <c r="G44" s="673"/>
      <c r="H44" s="538" t="s">
        <v>879</v>
      </c>
      <c r="I44" s="677"/>
      <c r="J44" s="674"/>
      <c r="K44" s="682"/>
    </row>
    <row r="45" spans="1:11" ht="30">
      <c r="A45" s="674"/>
      <c r="B45" s="674"/>
      <c r="C45" s="674"/>
      <c r="D45" s="678"/>
      <c r="E45" s="675"/>
      <c r="F45" s="675"/>
      <c r="G45" s="673"/>
      <c r="H45" s="538" t="s">
        <v>880</v>
      </c>
      <c r="I45" s="677"/>
      <c r="J45" s="674"/>
      <c r="K45" s="682"/>
    </row>
    <row r="46" spans="1:11" ht="30">
      <c r="A46" s="674" t="s">
        <v>809</v>
      </c>
      <c r="B46" s="674" t="s">
        <v>867</v>
      </c>
      <c r="C46" s="674" t="s">
        <v>881</v>
      </c>
      <c r="D46" s="678" t="s">
        <v>882</v>
      </c>
      <c r="E46" s="675" t="s">
        <v>883</v>
      </c>
      <c r="F46" s="675" t="s">
        <v>884</v>
      </c>
      <c r="G46" s="673" t="s">
        <v>885</v>
      </c>
      <c r="H46" s="538" t="s">
        <v>886</v>
      </c>
      <c r="I46" s="677" t="s">
        <v>887</v>
      </c>
      <c r="J46" s="674" t="str">
        <f>+'P4'!B32</f>
        <v xml:space="preserve">Se estima la realización de mesas de trabajo  virtuales y presenciales por mes. Se estima la realización de 4 talleres y eventos nacionales presenciales y talleres y/o eventos  virtuales y 3 presenciales por subregión. Se estima un plan de medios radial regional.  Se estima la realización de 50 cursos cortos (5 por región), 150 cursos libres virtuales y presenciales, 350 diplomados virtuales y presenciales. Se estima recurso humano  y su desplazamiento. </v>
      </c>
      <c r="K46" s="682">
        <f>+'P4'!Y8</f>
        <v>56205342630</v>
      </c>
    </row>
    <row r="47" spans="1:11" ht="75" customHeight="1">
      <c r="A47" s="674"/>
      <c r="B47" s="674"/>
      <c r="C47" s="674"/>
      <c r="D47" s="678"/>
      <c r="E47" s="675"/>
      <c r="F47" s="675"/>
      <c r="G47" s="673"/>
      <c r="H47" s="540" t="s">
        <v>888</v>
      </c>
      <c r="I47" s="677"/>
      <c r="J47" s="674"/>
      <c r="K47" s="682"/>
    </row>
    <row r="48" spans="1:11" ht="30">
      <c r="A48" s="674"/>
      <c r="B48" s="674"/>
      <c r="C48" s="674"/>
      <c r="D48" s="678"/>
      <c r="E48" s="675"/>
      <c r="F48" s="675"/>
      <c r="G48" s="673"/>
      <c r="H48" s="538" t="s">
        <v>889</v>
      </c>
      <c r="I48" s="677"/>
      <c r="J48" s="674"/>
      <c r="K48" s="682"/>
    </row>
    <row r="49" spans="1:11" ht="30">
      <c r="A49" s="674"/>
      <c r="B49" s="674"/>
      <c r="C49" s="674"/>
      <c r="D49" s="678"/>
      <c r="E49" s="675"/>
      <c r="F49" s="675"/>
      <c r="G49" s="673"/>
      <c r="H49" s="538" t="s">
        <v>890</v>
      </c>
      <c r="I49" s="677"/>
      <c r="J49" s="674"/>
      <c r="K49" s="682"/>
    </row>
    <row r="50" spans="1:11">
      <c r="A50" s="674"/>
      <c r="B50" s="674"/>
      <c r="C50" s="674"/>
      <c r="D50" s="678"/>
      <c r="E50" s="675"/>
      <c r="F50" s="675"/>
      <c r="G50" s="673"/>
      <c r="H50" s="538" t="s">
        <v>891</v>
      </c>
      <c r="I50" s="677"/>
      <c r="J50" s="674"/>
      <c r="K50" s="682"/>
    </row>
    <row r="51" spans="1:11" ht="30">
      <c r="A51" s="674"/>
      <c r="B51" s="674"/>
      <c r="C51" s="674"/>
      <c r="D51" s="678"/>
      <c r="E51" s="675"/>
      <c r="F51" s="675"/>
      <c r="G51" s="673"/>
      <c r="H51" s="538" t="s">
        <v>892</v>
      </c>
      <c r="I51" s="677"/>
      <c r="J51" s="674"/>
      <c r="K51" s="682"/>
    </row>
    <row r="52" spans="1:11" ht="30">
      <c r="A52" s="674" t="s">
        <v>809</v>
      </c>
      <c r="B52" s="674" t="s">
        <v>867</v>
      </c>
      <c r="C52" s="674" t="s">
        <v>881</v>
      </c>
      <c r="D52" s="678" t="s">
        <v>893</v>
      </c>
      <c r="E52" s="675" t="s">
        <v>894</v>
      </c>
      <c r="F52" s="675" t="s">
        <v>895</v>
      </c>
      <c r="G52" s="673" t="s">
        <v>896</v>
      </c>
      <c r="H52" s="538" t="s">
        <v>897</v>
      </c>
      <c r="I52" s="673" t="s">
        <v>898</v>
      </c>
      <c r="J52" s="674" t="str">
        <f>+'P4'!B52</f>
        <v>Se estima la realización de mesas de trabajo virtuales y presenciales por mes. Se estima la realización de 4 talleres y/o eventos de divulgación nacionales y regionales  presenciales y virtuales por subregión.  Se estima la realización de 20 cursos cortos (2 por región), 40 cursos libres virtuales y presenciales, 40 diplomados virtuales y presenciales. Se estima recurso humano para llevar a cabo el proyecto</v>
      </c>
      <c r="K52" s="682">
        <f>+'P4'!Y9</f>
        <v>5867607040</v>
      </c>
    </row>
    <row r="53" spans="1:11">
      <c r="A53" s="674"/>
      <c r="B53" s="674"/>
      <c r="C53" s="674"/>
      <c r="D53" s="678"/>
      <c r="E53" s="675"/>
      <c r="F53" s="675"/>
      <c r="G53" s="673"/>
      <c r="H53" s="538" t="s">
        <v>899</v>
      </c>
      <c r="I53" s="673"/>
      <c r="J53" s="674"/>
      <c r="K53" s="682"/>
    </row>
    <row r="54" spans="1:11" ht="39.75" customHeight="1">
      <c r="A54" s="674"/>
      <c r="B54" s="674"/>
      <c r="C54" s="674"/>
      <c r="D54" s="678"/>
      <c r="E54" s="675"/>
      <c r="F54" s="675"/>
      <c r="G54" s="673"/>
      <c r="H54" s="538" t="s">
        <v>900</v>
      </c>
      <c r="I54" s="673"/>
      <c r="J54" s="674"/>
      <c r="K54" s="682"/>
    </row>
    <row r="55" spans="1:11">
      <c r="A55" s="674"/>
      <c r="B55" s="674"/>
      <c r="C55" s="674"/>
      <c r="D55" s="678"/>
      <c r="E55" s="675"/>
      <c r="F55" s="675"/>
      <c r="G55" s="673"/>
      <c r="H55" s="538" t="s">
        <v>901</v>
      </c>
      <c r="I55" s="673"/>
      <c r="J55" s="674"/>
      <c r="K55" s="682"/>
    </row>
    <row r="56" spans="1:11" ht="49.5" customHeight="1">
      <c r="A56" s="674"/>
      <c r="B56" s="674"/>
      <c r="C56" s="674"/>
      <c r="D56" s="678"/>
      <c r="E56" s="675"/>
      <c r="F56" s="675"/>
      <c r="G56" s="673"/>
      <c r="H56" s="538" t="s">
        <v>902</v>
      </c>
      <c r="I56" s="673"/>
      <c r="J56" s="674"/>
      <c r="K56" s="682"/>
    </row>
    <row r="57" spans="1:11" ht="30">
      <c r="A57" s="674"/>
      <c r="B57" s="674"/>
      <c r="C57" s="674"/>
      <c r="D57" s="678"/>
      <c r="E57" s="675"/>
      <c r="F57" s="675"/>
      <c r="G57" s="673"/>
      <c r="H57" s="538" t="s">
        <v>903</v>
      </c>
      <c r="I57" s="673"/>
      <c r="J57" s="674"/>
      <c r="K57" s="682"/>
    </row>
    <row r="58" spans="1:11" ht="30">
      <c r="A58" s="674"/>
      <c r="B58" s="674"/>
      <c r="C58" s="674"/>
      <c r="D58" s="678"/>
      <c r="E58" s="675"/>
      <c r="F58" s="675"/>
      <c r="G58" s="673"/>
      <c r="H58" s="538" t="s">
        <v>904</v>
      </c>
      <c r="I58" s="673"/>
      <c r="J58" s="674"/>
      <c r="K58" s="682"/>
    </row>
    <row r="59" spans="1:11" ht="49.5" customHeight="1">
      <c r="A59" s="674" t="s">
        <v>809</v>
      </c>
      <c r="B59" s="674" t="s">
        <v>867</v>
      </c>
      <c r="C59" s="674" t="s">
        <v>881</v>
      </c>
      <c r="D59" s="678" t="s">
        <v>905</v>
      </c>
      <c r="E59" s="675" t="s">
        <v>894</v>
      </c>
      <c r="F59" s="675" t="s">
        <v>895</v>
      </c>
      <c r="G59" s="673" t="s">
        <v>906</v>
      </c>
      <c r="H59" s="538" t="s">
        <v>907</v>
      </c>
      <c r="I59" s="673" t="s">
        <v>908</v>
      </c>
      <c r="J59" s="674" t="str">
        <f>+'P4'!B70</f>
        <v>Se estima la realización de mesas de trabajo virtuales y presenciales por mes. Se estima la realización de 8 talleres y/o eventos de divulgación nacionales y regionales  presenciales y virtuales por subregión.  Se estima la realización de 20 cursos cortos (2 por región),  20 ruedas de negocios, plan de medios radial por región. Se estima recurso humano y desplazamiento del recurso humano.</v>
      </c>
      <c r="K59" s="682">
        <f>+'P4'!Y10</f>
        <v>41620277790</v>
      </c>
    </row>
    <row r="60" spans="1:11" ht="30">
      <c r="A60" s="674"/>
      <c r="B60" s="674"/>
      <c r="C60" s="674"/>
      <c r="D60" s="678"/>
      <c r="E60" s="675"/>
      <c r="F60" s="675"/>
      <c r="G60" s="673"/>
      <c r="H60" s="538" t="s">
        <v>909</v>
      </c>
      <c r="I60" s="673"/>
      <c r="J60" s="674"/>
      <c r="K60" s="682"/>
    </row>
    <row r="61" spans="1:11" ht="45">
      <c r="A61" s="674"/>
      <c r="B61" s="674"/>
      <c r="C61" s="674"/>
      <c r="D61" s="678"/>
      <c r="E61" s="675"/>
      <c r="F61" s="675"/>
      <c r="G61" s="676"/>
      <c r="H61" s="538" t="s">
        <v>910</v>
      </c>
      <c r="I61" s="673"/>
      <c r="J61" s="674"/>
      <c r="K61" s="682"/>
    </row>
    <row r="62" spans="1:11" ht="42.75" customHeight="1">
      <c r="A62" s="674"/>
      <c r="B62" s="674"/>
      <c r="C62" s="674"/>
      <c r="D62" s="678"/>
      <c r="E62" s="675"/>
      <c r="F62" s="675"/>
      <c r="G62" s="676"/>
      <c r="H62" s="540" t="s">
        <v>1721</v>
      </c>
      <c r="I62" s="673"/>
      <c r="J62" s="674"/>
      <c r="K62" s="682"/>
    </row>
    <row r="63" spans="1:11" ht="48" customHeight="1">
      <c r="A63" s="674"/>
      <c r="B63" s="674"/>
      <c r="C63" s="674"/>
      <c r="D63" s="678"/>
      <c r="E63" s="675"/>
      <c r="F63" s="675"/>
      <c r="G63" s="676"/>
      <c r="H63" s="540" t="s">
        <v>1722</v>
      </c>
      <c r="I63" s="673"/>
      <c r="J63" s="674"/>
      <c r="K63" s="682"/>
    </row>
    <row r="64" spans="1:11" ht="30">
      <c r="A64" s="674"/>
      <c r="B64" s="674"/>
      <c r="C64" s="674"/>
      <c r="D64" s="678"/>
      <c r="E64" s="675"/>
      <c r="F64" s="675"/>
      <c r="G64" s="676"/>
      <c r="H64" s="540" t="s">
        <v>911</v>
      </c>
      <c r="I64" s="673"/>
      <c r="J64" s="674"/>
      <c r="K64" s="682"/>
    </row>
    <row r="65" spans="1:11" ht="30">
      <c r="A65" s="674"/>
      <c r="B65" s="674"/>
      <c r="C65" s="674"/>
      <c r="D65" s="678"/>
      <c r="E65" s="675"/>
      <c r="F65" s="675"/>
      <c r="G65" s="676"/>
      <c r="H65" s="538" t="s">
        <v>912</v>
      </c>
      <c r="I65" s="673"/>
      <c r="J65" s="674"/>
      <c r="K65" s="682"/>
    </row>
    <row r="66" spans="1:11" ht="30">
      <c r="A66" s="674"/>
      <c r="B66" s="674"/>
      <c r="C66" s="674"/>
      <c r="D66" s="678"/>
      <c r="E66" s="675"/>
      <c r="F66" s="675"/>
      <c r="G66" s="676"/>
      <c r="H66" s="538" t="s">
        <v>913</v>
      </c>
      <c r="I66" s="673"/>
      <c r="J66" s="674"/>
      <c r="K66" s="682"/>
    </row>
    <row r="67" spans="1:11">
      <c r="A67" s="674"/>
      <c r="B67" s="674"/>
      <c r="C67" s="674"/>
      <c r="D67" s="678"/>
      <c r="E67" s="675"/>
      <c r="F67" s="675"/>
      <c r="G67" s="676"/>
      <c r="H67" s="538" t="s">
        <v>914</v>
      </c>
      <c r="I67" s="673"/>
      <c r="J67" s="674"/>
      <c r="K67" s="682"/>
    </row>
    <row r="68" spans="1:11" ht="52.5" customHeight="1">
      <c r="A68" s="674"/>
      <c r="B68" s="674"/>
      <c r="C68" s="674"/>
      <c r="D68" s="678"/>
      <c r="E68" s="675"/>
      <c r="F68" s="675"/>
      <c r="G68" s="676"/>
      <c r="H68" s="538" t="s">
        <v>915</v>
      </c>
      <c r="I68" s="673"/>
      <c r="J68" s="674"/>
      <c r="K68" s="682"/>
    </row>
    <row r="69" spans="1:11">
      <c r="A69" s="674" t="s">
        <v>809</v>
      </c>
      <c r="B69" s="674" t="s">
        <v>867</v>
      </c>
      <c r="C69" s="674" t="s">
        <v>916</v>
      </c>
      <c r="D69" s="678" t="s">
        <v>917</v>
      </c>
      <c r="E69" s="675" t="s">
        <v>918</v>
      </c>
      <c r="F69" s="675" t="s">
        <v>919</v>
      </c>
      <c r="G69" s="673" t="s">
        <v>920</v>
      </c>
      <c r="H69" s="538" t="s">
        <v>921</v>
      </c>
      <c r="I69" s="673" t="s">
        <v>922</v>
      </c>
      <c r="J69" s="674" t="str">
        <f>+'P4'!B89</f>
        <v>Se estima la realización de mesas de trabajo virtuales y presenciales por mes. Se estima la realización de 8 talleres y/o eventos de divulgación nacionales y regionales  presenciales y virtuales por subregión.  Se estima la realización de 20 cursos cortos (2 por región),  20 ruedas de negocios, plan de medios radial por región. Se estima recurso humano y desplazamiento del recurso humano.</v>
      </c>
      <c r="K69" s="682">
        <f>+'P4'!Y11</f>
        <v>21070411587.999996</v>
      </c>
    </row>
    <row r="70" spans="1:11" ht="30">
      <c r="A70" s="674"/>
      <c r="B70" s="674"/>
      <c r="C70" s="674"/>
      <c r="D70" s="678"/>
      <c r="E70" s="675"/>
      <c r="F70" s="675"/>
      <c r="G70" s="673"/>
      <c r="H70" s="538" t="s">
        <v>923</v>
      </c>
      <c r="I70" s="673"/>
      <c r="J70" s="674"/>
      <c r="K70" s="682"/>
    </row>
    <row r="71" spans="1:11" ht="44.25" customHeight="1">
      <c r="A71" s="674"/>
      <c r="B71" s="674"/>
      <c r="C71" s="674"/>
      <c r="D71" s="678"/>
      <c r="E71" s="675"/>
      <c r="F71" s="675"/>
      <c r="G71" s="673"/>
      <c r="H71" s="538" t="s">
        <v>924</v>
      </c>
      <c r="I71" s="673"/>
      <c r="J71" s="674"/>
      <c r="K71" s="682"/>
    </row>
    <row r="72" spans="1:11" ht="45.75" customHeight="1">
      <c r="A72" s="674"/>
      <c r="B72" s="674"/>
      <c r="C72" s="674"/>
      <c r="D72" s="678"/>
      <c r="E72" s="675"/>
      <c r="F72" s="675"/>
      <c r="G72" s="673"/>
      <c r="H72" s="538" t="s">
        <v>925</v>
      </c>
      <c r="I72" s="673"/>
      <c r="J72" s="674"/>
      <c r="K72" s="682"/>
    </row>
    <row r="73" spans="1:11">
      <c r="A73" s="674"/>
      <c r="B73" s="674"/>
      <c r="C73" s="674"/>
      <c r="D73" s="678"/>
      <c r="E73" s="675"/>
      <c r="F73" s="675"/>
      <c r="G73" s="673"/>
      <c r="H73" s="538" t="s">
        <v>926</v>
      </c>
      <c r="I73" s="673"/>
      <c r="J73" s="674"/>
      <c r="K73" s="682"/>
    </row>
    <row r="74" spans="1:11">
      <c r="A74" s="674"/>
      <c r="B74" s="674"/>
      <c r="C74" s="674"/>
      <c r="D74" s="678"/>
      <c r="E74" s="675"/>
      <c r="F74" s="675"/>
      <c r="G74" s="673"/>
      <c r="H74" s="538" t="s">
        <v>927</v>
      </c>
      <c r="I74" s="673"/>
      <c r="J74" s="674"/>
      <c r="K74" s="682"/>
    </row>
    <row r="75" spans="1:11" ht="45">
      <c r="A75" s="674" t="s">
        <v>809</v>
      </c>
      <c r="B75" s="674" t="s">
        <v>928</v>
      </c>
      <c r="C75" s="674" t="s">
        <v>929</v>
      </c>
      <c r="D75" s="681" t="s">
        <v>930</v>
      </c>
      <c r="E75" s="675" t="s">
        <v>931</v>
      </c>
      <c r="F75" s="675" t="s">
        <v>932</v>
      </c>
      <c r="G75" s="673" t="s">
        <v>933</v>
      </c>
      <c r="H75" s="538" t="s">
        <v>934</v>
      </c>
      <c r="I75" s="673" t="s">
        <v>935</v>
      </c>
      <c r="J75" s="674" t="str">
        <f>+'P5'!B30</f>
        <v xml:space="preserve">Se estima la realización de mesas de trabajo  virtuales y presenciales. Se estima la realización de 4 talleres y/o eventos nacionales presenciales y/o virtuales. Se estima la realización de  cursos cortos , cursos libres virtuales y presenciales, diplomados virtuales y presenciales. Se estima recurso humano  y su desplazamiento. </v>
      </c>
      <c r="K75" s="682">
        <f>+'P5'!Y8</f>
        <v>7249504750</v>
      </c>
    </row>
    <row r="76" spans="1:11" ht="67.5" customHeight="1">
      <c r="A76" s="674"/>
      <c r="B76" s="674"/>
      <c r="C76" s="674"/>
      <c r="D76" s="681"/>
      <c r="E76" s="675"/>
      <c r="F76" s="675"/>
      <c r="G76" s="673"/>
      <c r="H76" s="538" t="s">
        <v>936</v>
      </c>
      <c r="I76" s="673"/>
      <c r="J76" s="674"/>
      <c r="K76" s="682"/>
    </row>
    <row r="77" spans="1:11">
      <c r="A77" s="674"/>
      <c r="B77" s="674"/>
      <c r="C77" s="674"/>
      <c r="D77" s="681"/>
      <c r="E77" s="675"/>
      <c r="F77" s="675"/>
      <c r="G77" s="673"/>
      <c r="H77" s="538" t="s">
        <v>937</v>
      </c>
      <c r="I77" s="673"/>
      <c r="J77" s="674"/>
      <c r="K77" s="682"/>
    </row>
    <row r="78" spans="1:11">
      <c r="A78" s="674"/>
      <c r="B78" s="674"/>
      <c r="C78" s="674"/>
      <c r="D78" s="681"/>
      <c r="E78" s="675"/>
      <c r="F78" s="675"/>
      <c r="G78" s="673"/>
      <c r="H78" s="538" t="s">
        <v>938</v>
      </c>
      <c r="I78" s="673"/>
      <c r="J78" s="674"/>
      <c r="K78" s="682"/>
    </row>
    <row r="79" spans="1:11" ht="45.75" customHeight="1">
      <c r="A79" s="679" t="s">
        <v>809</v>
      </c>
      <c r="B79" s="679" t="s">
        <v>928</v>
      </c>
      <c r="C79" s="679" t="s">
        <v>929</v>
      </c>
      <c r="D79" s="681" t="s">
        <v>939</v>
      </c>
      <c r="E79" s="680" t="s">
        <v>940</v>
      </c>
      <c r="F79" s="675" t="s">
        <v>941</v>
      </c>
      <c r="G79" s="673" t="s">
        <v>942</v>
      </c>
      <c r="H79" s="538" t="s">
        <v>943</v>
      </c>
      <c r="I79" s="677" t="s">
        <v>944</v>
      </c>
      <c r="J79" s="674" t="str">
        <f>+'P5'!B55</f>
        <v>Se estima la realización de mesas de trabajo virtuales y presenciales por mes. Se estima la realización de 4 talleres y/o eventos de divulgación nacionales y regionales  presenciales y virtuales por subregión.  Se estima la realización de 20 cursos cortos (2 por región), 100 cursos libres virtuales y presenciales, parcelas demostrativas (5 por región), dias de campo (3 por región), ruedas de negocios por región. Se calcula un incentivo para el emprendimiento de nuevos empresas (10 empresas), este valor se calculó estimando un 10% del valor de los ingresos y a este valor se le calculó un 20% para el valor de incentivo otorgado.  Se calcula un incentivo para la producción de forrajes así: Se estima que los productores pequeños  tienen hasta 10 animales y los medianos hasta 40 animales, el valor de la producción anual es de $5.000.000 para pequeños y 4.000.000 para medianos, de acuerdo a la cantidad de lts de leche y al valor de la producción promedio de leche año (USP).  Se calcula un % de crédito del 70% y de este se calcula un incentivo del 20% y 10% dependiendo el tipo de productor.  Se estima intervenir 100 empresas pequeñas y 50 medianas, durante los 10 años. Se estima recurso humano para llevar a cabo el proyecto.</v>
      </c>
      <c r="K79" s="682">
        <f>+'P5'!Y9</f>
        <v>31189783822.000004</v>
      </c>
    </row>
    <row r="80" spans="1:11" ht="66.75" customHeight="1">
      <c r="A80" s="679"/>
      <c r="B80" s="679"/>
      <c r="C80" s="679"/>
      <c r="D80" s="681"/>
      <c r="E80" s="680"/>
      <c r="F80" s="675"/>
      <c r="G80" s="673"/>
      <c r="H80" s="538" t="s">
        <v>945</v>
      </c>
      <c r="I80" s="677"/>
      <c r="J80" s="674"/>
      <c r="K80" s="682"/>
    </row>
    <row r="81" spans="1:11" ht="30">
      <c r="A81" s="679"/>
      <c r="B81" s="679"/>
      <c r="C81" s="679"/>
      <c r="D81" s="681"/>
      <c r="E81" s="680"/>
      <c r="F81" s="675"/>
      <c r="G81" s="673"/>
      <c r="H81" s="538" t="s">
        <v>946</v>
      </c>
      <c r="I81" s="677"/>
      <c r="J81" s="674"/>
      <c r="K81" s="682"/>
    </row>
    <row r="82" spans="1:11" ht="57" customHeight="1">
      <c r="A82" s="679"/>
      <c r="B82" s="679"/>
      <c r="C82" s="679"/>
      <c r="D82" s="681"/>
      <c r="E82" s="680"/>
      <c r="F82" s="675"/>
      <c r="G82" s="673"/>
      <c r="H82" s="538" t="s">
        <v>1723</v>
      </c>
      <c r="I82" s="677"/>
      <c r="J82" s="674"/>
      <c r="K82" s="682"/>
    </row>
    <row r="83" spans="1:11" ht="39.75" customHeight="1">
      <c r="A83" s="679"/>
      <c r="B83" s="679"/>
      <c r="C83" s="679"/>
      <c r="D83" s="681"/>
      <c r="E83" s="680"/>
      <c r="F83" s="675"/>
      <c r="G83" s="673"/>
      <c r="H83" s="538" t="s">
        <v>1724</v>
      </c>
      <c r="I83" s="677"/>
      <c r="J83" s="674"/>
      <c r="K83" s="682"/>
    </row>
    <row r="84" spans="1:11" ht="30">
      <c r="A84" s="679"/>
      <c r="B84" s="679"/>
      <c r="C84" s="679"/>
      <c r="D84" s="681"/>
      <c r="E84" s="680"/>
      <c r="F84" s="675"/>
      <c r="G84" s="673"/>
      <c r="H84" s="538" t="s">
        <v>1725</v>
      </c>
      <c r="I84" s="677"/>
      <c r="J84" s="674"/>
      <c r="K84" s="682"/>
    </row>
    <row r="85" spans="1:11" ht="30">
      <c r="A85" s="674" t="s">
        <v>809</v>
      </c>
      <c r="B85" s="674" t="s">
        <v>928</v>
      </c>
      <c r="C85" s="674" t="s">
        <v>929</v>
      </c>
      <c r="D85" s="678" t="s">
        <v>947</v>
      </c>
      <c r="E85" s="675" t="s">
        <v>948</v>
      </c>
      <c r="F85" s="675" t="s">
        <v>949</v>
      </c>
      <c r="G85" s="673" t="s">
        <v>950</v>
      </c>
      <c r="H85" s="538" t="s">
        <v>951</v>
      </c>
      <c r="I85" s="673" t="s">
        <v>952</v>
      </c>
      <c r="J85" s="674" t="str">
        <f>+'P5'!B88</f>
        <v>Se estima la realización de mesas de trabajo virtuales y presenciales por mes. Se estima la realización de 4 talleres y/o eventos de divulgación nacionales y regionales  presenciales y virtuales por región.  Se estima la realización de 20 cursos libres presenciales y 20 cursos libres virtuales (2 por región), también se estima realización de diplomados presenciales y virtuales, se estima la realización de  20 ruedas de negocios y un plan de medios radial por región. Se estima intervenir  320.000 predios, a los cuales se realiza el 10% de las muestras es decir 32.000 durante 10 años. Se estima modernización de la infraestructura, para lo cual se estima ICR como incentivo para compra de maquinaria así: un nuevo laboratorio por región al finalizar el proyecto,  implementar 40 centros de acopio pequeños durante 10 años, es decir 4 al año, y 1 centros de acopio medianos durante 10años.  De acuerdo a la Resolución 957 del 2019  de la DIAN, relacionado con la clasificación de las empresas por el valor de ingresos, en micro, pequeñas y medianas, se tomó el valor de los ingresos  y se estimó un porcentaje del 20% y 15%. Se estima apoyar con un ICR del 20% para micros y  15% para pequeñas. Se estima intervenir 250 micro empresas, 150 pequeñas empresas y 100 medianas , es decir 25, 15  y 10 cada año, durante 10 años.  Se estima un ICR de 20% para 5  pulverizadoras de 40.000 lts al día durante los años 16 al 20 y 2 pulverizadoras de 120.000 lts al día una en el año 17 y la otra en el año 19. Se estima un ICR de 20% y 15% respectivamente. Se estima recurso humano y desplazamiento del recurso humano para el desarrollo del proyecto.</v>
      </c>
      <c r="K85" s="682">
        <f>+'P5'!Y10</f>
        <v>76244147244</v>
      </c>
    </row>
    <row r="86" spans="1:11">
      <c r="A86" s="674"/>
      <c r="B86" s="674"/>
      <c r="C86" s="674"/>
      <c r="D86" s="678"/>
      <c r="E86" s="675"/>
      <c r="F86" s="675"/>
      <c r="G86" s="673"/>
      <c r="H86" s="538" t="s">
        <v>953</v>
      </c>
      <c r="I86" s="673"/>
      <c r="J86" s="674"/>
      <c r="K86" s="682"/>
    </row>
    <row r="87" spans="1:11" ht="30">
      <c r="A87" s="674"/>
      <c r="B87" s="674"/>
      <c r="C87" s="674"/>
      <c r="D87" s="678"/>
      <c r="E87" s="675"/>
      <c r="F87" s="675"/>
      <c r="G87" s="673"/>
      <c r="H87" s="538" t="s">
        <v>954</v>
      </c>
      <c r="I87" s="673"/>
      <c r="J87" s="674"/>
      <c r="K87" s="682"/>
    </row>
    <row r="88" spans="1:11" ht="45">
      <c r="A88" s="674"/>
      <c r="B88" s="674"/>
      <c r="C88" s="674"/>
      <c r="D88" s="678"/>
      <c r="E88" s="675"/>
      <c r="F88" s="675"/>
      <c r="G88" s="673"/>
      <c r="H88" s="538" t="s">
        <v>955</v>
      </c>
      <c r="I88" s="673"/>
      <c r="J88" s="674"/>
      <c r="K88" s="682"/>
    </row>
    <row r="89" spans="1:11" ht="30">
      <c r="A89" s="674"/>
      <c r="B89" s="674"/>
      <c r="C89" s="674"/>
      <c r="D89" s="678"/>
      <c r="E89" s="675"/>
      <c r="F89" s="675"/>
      <c r="G89" s="673"/>
      <c r="H89" s="538" t="s">
        <v>956</v>
      </c>
      <c r="I89" s="673"/>
      <c r="J89" s="674"/>
      <c r="K89" s="682"/>
    </row>
    <row r="90" spans="1:11" ht="30">
      <c r="A90" s="674"/>
      <c r="B90" s="674"/>
      <c r="C90" s="674"/>
      <c r="D90" s="678"/>
      <c r="E90" s="675"/>
      <c r="F90" s="675"/>
      <c r="G90" s="673"/>
      <c r="H90" s="538" t="s">
        <v>957</v>
      </c>
      <c r="I90" s="673"/>
      <c r="J90" s="674"/>
      <c r="K90" s="682"/>
    </row>
    <row r="91" spans="1:11">
      <c r="A91" s="674" t="s">
        <v>809</v>
      </c>
      <c r="B91" s="674" t="s">
        <v>928</v>
      </c>
      <c r="C91" s="674" t="s">
        <v>929</v>
      </c>
      <c r="D91" s="678" t="s">
        <v>958</v>
      </c>
      <c r="E91" s="675" t="s">
        <v>959</v>
      </c>
      <c r="F91" s="675" t="s">
        <v>960</v>
      </c>
      <c r="G91" s="673" t="s">
        <v>961</v>
      </c>
      <c r="H91" s="538" t="s">
        <v>962</v>
      </c>
      <c r="I91" s="673" t="s">
        <v>963</v>
      </c>
      <c r="J91" s="674" t="str">
        <f>+'P5'!B115</f>
        <v>Se estima la realización de mesas de trabajo virtuales y presenciales por mes. Se estima la realización de 8 talleres y/o eventos de divulgación nacionales y regionales  presenciales y virtuales por subregión.  Se estima la realización de 1 curso corto por región, la realización de cursos libres y diplomados presenciales y virtuales (2 por región),  20 ruedas de negocios, 10 ferias comerciales, plan de medios radial por región. Se estima un ICR para 10 camion transportadores  y 10 centros de distribución por región, durante el tiempo del proyecto, uno por región. Se estima recurso humano y desplazamiento del recurso humano.</v>
      </c>
      <c r="K91" s="682">
        <f>+'P5'!Y11</f>
        <v>17798610127.5</v>
      </c>
    </row>
    <row r="92" spans="1:11">
      <c r="A92" s="674"/>
      <c r="B92" s="674"/>
      <c r="C92" s="674"/>
      <c r="D92" s="678"/>
      <c r="E92" s="675"/>
      <c r="F92" s="675"/>
      <c r="G92" s="673"/>
      <c r="H92" s="538" t="s">
        <v>964</v>
      </c>
      <c r="I92" s="673"/>
      <c r="J92" s="674"/>
      <c r="K92" s="682"/>
    </row>
    <row r="93" spans="1:11">
      <c r="A93" s="674"/>
      <c r="B93" s="674"/>
      <c r="C93" s="674"/>
      <c r="D93" s="678"/>
      <c r="E93" s="675"/>
      <c r="F93" s="675"/>
      <c r="G93" s="673"/>
      <c r="H93" s="538" t="s">
        <v>965</v>
      </c>
      <c r="I93" s="673"/>
      <c r="J93" s="674"/>
      <c r="K93" s="682"/>
    </row>
    <row r="94" spans="1:11">
      <c r="A94" s="674"/>
      <c r="B94" s="674"/>
      <c r="C94" s="674"/>
      <c r="D94" s="678"/>
      <c r="E94" s="675"/>
      <c r="F94" s="675"/>
      <c r="G94" s="673"/>
      <c r="H94" s="538" t="s">
        <v>966</v>
      </c>
      <c r="I94" s="673"/>
      <c r="J94" s="674"/>
      <c r="K94" s="682"/>
    </row>
    <row r="95" spans="1:11">
      <c r="A95" s="674"/>
      <c r="B95" s="674"/>
      <c r="C95" s="674"/>
      <c r="D95" s="678"/>
      <c r="E95" s="675"/>
      <c r="F95" s="675"/>
      <c r="G95" s="673"/>
      <c r="H95" s="538" t="s">
        <v>967</v>
      </c>
      <c r="I95" s="673"/>
      <c r="J95" s="674"/>
      <c r="K95" s="682"/>
    </row>
    <row r="96" spans="1:11">
      <c r="A96" s="674" t="s">
        <v>809</v>
      </c>
      <c r="B96" s="674" t="s">
        <v>968</v>
      </c>
      <c r="C96" s="674" t="s">
        <v>969</v>
      </c>
      <c r="D96" s="678" t="s">
        <v>970</v>
      </c>
      <c r="E96" s="675" t="s">
        <v>971</v>
      </c>
      <c r="F96" s="675" t="s">
        <v>972</v>
      </c>
      <c r="G96" s="673" t="s">
        <v>973</v>
      </c>
      <c r="H96" s="538" t="s">
        <v>974</v>
      </c>
      <c r="I96" s="673" t="s">
        <v>975</v>
      </c>
      <c r="J96" s="674" t="str">
        <f>+'P6'!B42</f>
        <v xml:space="preserve">Se estima la realización de mesas de trabajo  virtuales y presenciales por mes. Se estima la realización de 8 talleres y/o eventos nacionales presenciales y  virtuales por subregión. Se estima un plan de medios radial regional.  Se estima una campaña publicitaria a nivel nacional, así como campañas regionales, un monto global de pautas en redes sociales, 5 vallas nacionales y vallas regionales (una por región),   la realización de 20 cursos libres (2 por región), 40 cursos libres virtuales y presenciales, 20 diplomados virtuales y presenciales. Se estima realización de ruedas de negocio y ferias comerciales por región. Se estima la realización de 10 análisis de Laboratorio nutricional  para producto (ASL) por región, es decir 100.  De acuerdo a la Resolución 957 del 2019  de la DIAN, relacionado con la clasificación de las empresas de acuerdo al valor de ingresos, en micro, pequeñas y medianas, se tomó el valor de los ingresos  y se estimó un porcentaje del 20% ,10% y 10%, posteriormente se calculó un 10%, 5% y 2% para  invertir en desarrollo de empaques y etiquetas para apoyar a 10 empresas (5 micro, 3 pequeñas y 2 medianas) durante 10 años. Se estima recurso humano  y su desplazamiento. </v>
      </c>
      <c r="K96" s="682">
        <f>+'P6'!Y8</f>
        <v>54759759883.800003</v>
      </c>
    </row>
    <row r="97" spans="1:11" ht="80.25" customHeight="1">
      <c r="A97" s="674"/>
      <c r="B97" s="674"/>
      <c r="C97" s="674"/>
      <c r="D97" s="678"/>
      <c r="E97" s="675"/>
      <c r="F97" s="675"/>
      <c r="G97" s="673"/>
      <c r="H97" s="538" t="s">
        <v>976</v>
      </c>
      <c r="I97" s="673"/>
      <c r="J97" s="674"/>
      <c r="K97" s="682"/>
    </row>
    <row r="98" spans="1:11" ht="60">
      <c r="A98" s="674"/>
      <c r="B98" s="674"/>
      <c r="C98" s="674"/>
      <c r="D98" s="678"/>
      <c r="E98" s="675"/>
      <c r="F98" s="675"/>
      <c r="G98" s="673"/>
      <c r="H98" s="538" t="s">
        <v>977</v>
      </c>
      <c r="I98" s="673"/>
      <c r="J98" s="674"/>
      <c r="K98" s="682"/>
    </row>
    <row r="99" spans="1:11" ht="39.75" customHeight="1">
      <c r="A99" s="674"/>
      <c r="B99" s="674"/>
      <c r="C99" s="674"/>
      <c r="D99" s="678"/>
      <c r="E99" s="675"/>
      <c r="F99" s="675"/>
      <c r="G99" s="673"/>
      <c r="H99" s="538" t="s">
        <v>978</v>
      </c>
      <c r="I99" s="673"/>
      <c r="J99" s="674"/>
      <c r="K99" s="682"/>
    </row>
    <row r="100" spans="1:11" ht="38.25" customHeight="1">
      <c r="A100" s="674"/>
      <c r="B100" s="674"/>
      <c r="C100" s="674"/>
      <c r="D100" s="678"/>
      <c r="E100" s="675"/>
      <c r="F100" s="675"/>
      <c r="G100" s="673"/>
      <c r="H100" s="538" t="s">
        <v>979</v>
      </c>
      <c r="I100" s="673"/>
      <c r="J100" s="674"/>
      <c r="K100" s="682"/>
    </row>
    <row r="101" spans="1:11" ht="30">
      <c r="A101" s="674"/>
      <c r="B101" s="674"/>
      <c r="C101" s="674"/>
      <c r="D101" s="678"/>
      <c r="E101" s="675"/>
      <c r="F101" s="675"/>
      <c r="G101" s="673"/>
      <c r="H101" s="538" t="s">
        <v>980</v>
      </c>
      <c r="I101" s="673"/>
      <c r="J101" s="674"/>
      <c r="K101" s="682"/>
    </row>
    <row r="102" spans="1:11" ht="30">
      <c r="A102" s="674"/>
      <c r="B102" s="674"/>
      <c r="C102" s="674"/>
      <c r="D102" s="678"/>
      <c r="E102" s="675"/>
      <c r="F102" s="675"/>
      <c r="G102" s="673"/>
      <c r="H102" s="538" t="s">
        <v>981</v>
      </c>
      <c r="I102" s="673"/>
      <c r="J102" s="674"/>
      <c r="K102" s="682"/>
    </row>
    <row r="103" spans="1:11" ht="95.25" customHeight="1">
      <c r="A103" s="674" t="s">
        <v>809</v>
      </c>
      <c r="B103" s="674" t="s">
        <v>968</v>
      </c>
      <c r="C103" s="674" t="s">
        <v>969</v>
      </c>
      <c r="D103" s="678" t="s">
        <v>982</v>
      </c>
      <c r="E103" s="675" t="s">
        <v>983</v>
      </c>
      <c r="F103" s="675" t="s">
        <v>984</v>
      </c>
      <c r="G103" s="673" t="s">
        <v>985</v>
      </c>
      <c r="H103" s="538" t="s">
        <v>986</v>
      </c>
      <c r="I103" s="673" t="s">
        <v>987</v>
      </c>
      <c r="J103" s="674" t="str">
        <f>+'P6'!B70</f>
        <v xml:space="preserve">Se estima la realización de mesas de trabajo  virtuales y presenciales por mes. Se estima la realización de 8 talleres y/o eventos nacionales presenciales y  virtuales por subregión. Se estiman campañas publicitarias regionales,  un monto global para pautas en redes sociales, 2 stands de promoción y divulgación nacional y dos por región.  La realización de 20 cursos libres (2 por región), 20 cursos libres virtuales y presenciales, 20 diplomados virtuales y presenciales. Se estima realización de ruedas de negocio y ferias comerciales por región. Se estima la realización de 6 análisis de Laboratorio nutricional  para producto (ASL) por región, es decir 60 y un incentivo del 50% a este valor.   Se estima recurso humano para realizar degustación (6 por región) y también recurso humano a nivel nacional, así como  su desplazamiento. </v>
      </c>
      <c r="K103" s="682">
        <f>+'P6'!Y9</f>
        <v>54806150070</v>
      </c>
    </row>
    <row r="104" spans="1:11">
      <c r="A104" s="674"/>
      <c r="B104" s="674"/>
      <c r="C104" s="674"/>
      <c r="D104" s="678"/>
      <c r="E104" s="675"/>
      <c r="F104" s="675"/>
      <c r="G104" s="673"/>
      <c r="H104" s="538" t="s">
        <v>988</v>
      </c>
      <c r="I104" s="673"/>
      <c r="J104" s="674"/>
      <c r="K104" s="682"/>
    </row>
    <row r="105" spans="1:11" ht="30">
      <c r="A105" s="674"/>
      <c r="B105" s="674"/>
      <c r="C105" s="674"/>
      <c r="D105" s="678"/>
      <c r="E105" s="675"/>
      <c r="F105" s="675"/>
      <c r="G105" s="673"/>
      <c r="H105" s="538" t="s">
        <v>989</v>
      </c>
      <c r="I105" s="673"/>
      <c r="J105" s="674"/>
      <c r="K105" s="682"/>
    </row>
    <row r="106" spans="1:11">
      <c r="A106" s="674"/>
      <c r="B106" s="674"/>
      <c r="C106" s="674"/>
      <c r="D106" s="678"/>
      <c r="E106" s="675"/>
      <c r="F106" s="675"/>
      <c r="G106" s="673"/>
      <c r="H106" s="538" t="s">
        <v>990</v>
      </c>
      <c r="I106" s="673"/>
      <c r="J106" s="674"/>
      <c r="K106" s="682"/>
    </row>
    <row r="107" spans="1:11" ht="45">
      <c r="A107" s="674" t="s">
        <v>809</v>
      </c>
      <c r="B107" s="674" t="s">
        <v>968</v>
      </c>
      <c r="C107" s="674" t="s">
        <v>969</v>
      </c>
      <c r="D107" s="678" t="s">
        <v>991</v>
      </c>
      <c r="E107" s="674" t="s">
        <v>992</v>
      </c>
      <c r="F107" s="674" t="s">
        <v>993</v>
      </c>
      <c r="G107" s="673" t="s">
        <v>994</v>
      </c>
      <c r="H107" s="538" t="s">
        <v>995</v>
      </c>
      <c r="I107" s="679" t="s">
        <v>996</v>
      </c>
      <c r="J107" s="674" t="str">
        <f>+'P6'!B93</f>
        <v xml:space="preserve">Se estima la realización de mesas de trabajo  virtuales y presenciales por mes. Se estima la realización de 8 talleres y/o eventos nacionales presenciales y  virtuales por subregión. Se estiman pautas en redes sociales, 20 cursos libres virtuales y presenciales, 2 tiquetes de consultores internacionales y viáticos. Se estima realización de ruedas de negocio y ferias comerciales por región.  Se estima recurso humano para realizar degustación (6 por región) y también recurso humano a nivel nacional, así como  su desplazamiento. </v>
      </c>
      <c r="K107" s="682">
        <f>+'P6'!Y10</f>
        <v>29547410260</v>
      </c>
    </row>
    <row r="108" spans="1:11" ht="45.75" customHeight="1">
      <c r="A108" s="674"/>
      <c r="B108" s="674"/>
      <c r="C108" s="674"/>
      <c r="D108" s="678"/>
      <c r="E108" s="674"/>
      <c r="F108" s="674"/>
      <c r="G108" s="673"/>
      <c r="H108" s="538" t="s">
        <v>997</v>
      </c>
      <c r="I108" s="679"/>
      <c r="J108" s="674"/>
      <c r="K108" s="682"/>
    </row>
    <row r="109" spans="1:11" ht="30">
      <c r="A109" s="674"/>
      <c r="B109" s="674"/>
      <c r="C109" s="674"/>
      <c r="D109" s="678"/>
      <c r="E109" s="674"/>
      <c r="F109" s="674"/>
      <c r="G109" s="673"/>
      <c r="H109" s="538" t="s">
        <v>998</v>
      </c>
      <c r="I109" s="679"/>
      <c r="J109" s="674"/>
      <c r="K109" s="682"/>
    </row>
    <row r="110" spans="1:11" ht="45" customHeight="1">
      <c r="A110" s="674"/>
      <c r="B110" s="674"/>
      <c r="C110" s="674"/>
      <c r="D110" s="678"/>
      <c r="E110" s="674"/>
      <c r="F110" s="674"/>
      <c r="G110" s="673"/>
      <c r="H110" s="538" t="s">
        <v>999</v>
      </c>
      <c r="I110" s="679"/>
      <c r="J110" s="674"/>
      <c r="K110" s="682"/>
    </row>
    <row r="111" spans="1:11" ht="30">
      <c r="A111" s="674"/>
      <c r="B111" s="674"/>
      <c r="C111" s="674"/>
      <c r="D111" s="678"/>
      <c r="E111" s="674"/>
      <c r="F111" s="674"/>
      <c r="G111" s="673"/>
      <c r="H111" s="538" t="s">
        <v>1000</v>
      </c>
      <c r="I111" s="679"/>
      <c r="J111" s="674"/>
      <c r="K111" s="682"/>
    </row>
    <row r="112" spans="1:11" ht="105.75" customHeight="1">
      <c r="A112" s="674" t="s">
        <v>809</v>
      </c>
      <c r="B112" s="674" t="s">
        <v>968</v>
      </c>
      <c r="C112" s="674" t="s">
        <v>1001</v>
      </c>
      <c r="D112" s="678" t="s">
        <v>1002</v>
      </c>
      <c r="E112" s="680" t="s">
        <v>1003</v>
      </c>
      <c r="F112" s="675" t="s">
        <v>1004</v>
      </c>
      <c r="G112" s="673" t="s">
        <v>994</v>
      </c>
      <c r="H112" s="538" t="s">
        <v>1726</v>
      </c>
      <c r="I112" s="673" t="s">
        <v>1005</v>
      </c>
      <c r="J112" s="674" t="str">
        <f>+'P7'!B39</f>
        <v xml:space="preserve">Se estima la realización de mesas de trabajo  virtuales y presenciales por mes. Se estima la realización de 8 talleres y/o eventos nacionales presenciales y  virtuales por subregión. Se estima un plan de medios radial regional,monto global para marketing en redes sociales. Se estima un incentivo a la exportación enfocado a mejora en procesos para exportación, el cual se calculó, de acuerdo a la Resolución 957 del 2019  de la DIAN, relacionado con la clasificación de las empresas por el valor de ingresos, en micro, pequeñas y medianas, se tomó el valor de los ingresos  y se estimó un porcentaje del 20% , 10% y 10%. Se estima intervenir 48 empresas durante el proyecto, es decir 12 al año.  Se estima la realización de 20 cursos libres (2 por región), 40 cursos libres virtuales y presenciales, 40 diplomados virtuales y presenciales. Se estima realización de ruedas de negocio y ferias nacionales por región y 5 ferias  internacionales. Se estima un incentivo del 50% en el pago de la realización de 10 análisis de Laboratorio nutricional  para producto (ASL) por región. Se estima viáticos y tiquetes de un consultor internacional. Se estima recurso humano  y su desplazamiento. </v>
      </c>
      <c r="K112" s="682">
        <f>+'P7'!Y8</f>
        <v>50425135620.999992</v>
      </c>
    </row>
    <row r="113" spans="1:11" ht="30">
      <c r="A113" s="674"/>
      <c r="B113" s="674"/>
      <c r="C113" s="674"/>
      <c r="D113" s="678"/>
      <c r="E113" s="680"/>
      <c r="F113" s="675"/>
      <c r="G113" s="673"/>
      <c r="H113" s="538" t="s">
        <v>1006</v>
      </c>
      <c r="I113" s="673"/>
      <c r="J113" s="674"/>
      <c r="K113" s="682"/>
    </row>
    <row r="114" spans="1:11" ht="24.75" customHeight="1">
      <c r="A114" s="674"/>
      <c r="B114" s="674"/>
      <c r="C114" s="674"/>
      <c r="D114" s="678"/>
      <c r="E114" s="680"/>
      <c r="F114" s="675"/>
      <c r="G114" s="673"/>
      <c r="H114" s="538" t="s">
        <v>1007</v>
      </c>
      <c r="I114" s="673"/>
      <c r="J114" s="674"/>
      <c r="K114" s="682"/>
    </row>
    <row r="115" spans="1:11">
      <c r="A115" s="674"/>
      <c r="B115" s="674"/>
      <c r="C115" s="674"/>
      <c r="D115" s="678"/>
      <c r="E115" s="680"/>
      <c r="F115" s="675"/>
      <c r="G115" s="673"/>
      <c r="H115" s="538" t="s">
        <v>1008</v>
      </c>
      <c r="I115" s="673"/>
      <c r="J115" s="674"/>
      <c r="K115" s="682"/>
    </row>
    <row r="116" spans="1:11">
      <c r="A116" s="674"/>
      <c r="B116" s="674"/>
      <c r="C116" s="674"/>
      <c r="D116" s="678"/>
      <c r="E116" s="680"/>
      <c r="F116" s="675"/>
      <c r="G116" s="673"/>
      <c r="H116" s="538" t="s">
        <v>1009</v>
      </c>
      <c r="I116" s="673"/>
      <c r="J116" s="674"/>
      <c r="K116" s="682"/>
    </row>
    <row r="117" spans="1:11">
      <c r="A117" s="674" t="s">
        <v>1010</v>
      </c>
      <c r="B117" s="674" t="s">
        <v>1011</v>
      </c>
      <c r="C117" s="674" t="s">
        <v>1012</v>
      </c>
      <c r="D117" s="678" t="s">
        <v>1013</v>
      </c>
      <c r="E117" s="675" t="s">
        <v>1014</v>
      </c>
      <c r="F117" s="675" t="s">
        <v>1015</v>
      </c>
      <c r="G117" s="673" t="s">
        <v>1016</v>
      </c>
      <c r="H117" s="538" t="s">
        <v>1017</v>
      </c>
      <c r="I117" s="673" t="s">
        <v>1018</v>
      </c>
      <c r="J117" s="674" t="str">
        <f>+'P8'!B34</f>
        <v xml:space="preserve">Se estima la realización de mesas de trabajo  virtuales y presenciales por mes. Se estima la realización de 8 talleres y/o eventos nacionales presenciales y  virtuales por subregión. Se estima una campaña publicitaria nacional, un plan de medios radial regional, un monto global de pautas en redes sociales,  la realización de 30 cursos  cortos (3 por región), 120 cursos libres virtuales y presenciales (4 por región), 120 diplomados virtuales y presenciales (4 por región). Se calcula un incentivo para gastos de formalización calculado para pequeñas empresas, este valor se calculó estimando un 10% del valor de los ingresos y a este valor se le calculó un 20% para el valor de incentivo otorgado. Se calcula un incentivo para gastos de formalización calculado para pequeñas empresas, este valor se calculó estimando un 10% del valor de los ingresos y a este valor se le calculó un 20% para el valor de incentivo otorgado. El valor del incentivo para el emprendimiento es el 20% del valor del 10% del ingresos de las microempresas, de acuerdo a la clasificación empresarial de la Dian. Se estima un valor promedio de recursos humano de $5.464.476 para 10 personas por 12 meses. </v>
      </c>
      <c r="K117" s="682">
        <f>+'P8'!Y8</f>
        <v>21406711966.199997</v>
      </c>
    </row>
    <row r="118" spans="1:11" ht="30">
      <c r="A118" s="674"/>
      <c r="B118" s="674"/>
      <c r="C118" s="674"/>
      <c r="D118" s="678"/>
      <c r="E118" s="675"/>
      <c r="F118" s="675"/>
      <c r="G118" s="673"/>
      <c r="H118" s="538" t="s">
        <v>1019</v>
      </c>
      <c r="I118" s="673"/>
      <c r="J118" s="674"/>
      <c r="K118" s="682"/>
    </row>
    <row r="119" spans="1:11" ht="30">
      <c r="A119" s="674"/>
      <c r="B119" s="674"/>
      <c r="C119" s="674"/>
      <c r="D119" s="678"/>
      <c r="E119" s="675"/>
      <c r="F119" s="675"/>
      <c r="G119" s="673"/>
      <c r="H119" s="538" t="s">
        <v>1020</v>
      </c>
      <c r="I119" s="673"/>
      <c r="J119" s="674"/>
      <c r="K119" s="682"/>
    </row>
    <row r="120" spans="1:11">
      <c r="A120" s="674"/>
      <c r="B120" s="674"/>
      <c r="C120" s="674"/>
      <c r="D120" s="678"/>
      <c r="E120" s="675"/>
      <c r="F120" s="675"/>
      <c r="G120" s="673"/>
      <c r="H120" s="538" t="s">
        <v>1021</v>
      </c>
      <c r="I120" s="673"/>
      <c r="J120" s="674"/>
      <c r="K120" s="682"/>
    </row>
    <row r="121" spans="1:11" ht="45">
      <c r="A121" s="674"/>
      <c r="B121" s="674"/>
      <c r="C121" s="674"/>
      <c r="D121" s="678"/>
      <c r="E121" s="675"/>
      <c r="F121" s="675"/>
      <c r="G121" s="673"/>
      <c r="H121" s="538" t="s">
        <v>1022</v>
      </c>
      <c r="I121" s="673"/>
      <c r="J121" s="674"/>
      <c r="K121" s="682"/>
    </row>
    <row r="122" spans="1:11" ht="30">
      <c r="A122" s="674" t="s">
        <v>1010</v>
      </c>
      <c r="B122" s="674" t="s">
        <v>1011</v>
      </c>
      <c r="C122" s="674" t="s">
        <v>1012</v>
      </c>
      <c r="D122" s="678" t="s">
        <v>1023</v>
      </c>
      <c r="E122" s="674" t="s">
        <v>1024</v>
      </c>
      <c r="F122" s="674" t="s">
        <v>1025</v>
      </c>
      <c r="G122" s="673" t="s">
        <v>1026</v>
      </c>
      <c r="H122" s="538" t="s">
        <v>1027</v>
      </c>
      <c r="I122" s="674" t="s">
        <v>1028</v>
      </c>
      <c r="J122" s="674" t="str">
        <f>+'P8'!B63</f>
        <v>Se estima la realización de mesas de trabajo  virtuales y presenciales por mes. Se estima la realización de 8 talleres y/o eventos nacionales presenciales y  virtuales por subregión. Se estiman campañas publicitarias regionales,  un monto global para pautas en redes sociales, dias de campo (2 por región).  La realización de 20 cursos libres (2 por región), 40 cursos libres virtuales y presenciales, 40 diplomados virtuales y presenciales. Se estima realización de ruedas de negocio y ferias comerciales por región. Se estima un ICR del 20% para  líneas de producción para procesamiento de leche se calcula marmitas, pasteurizadores, descremadoras, cuartos fríos, empacadoras, tanques de enfriamiento y modernización y un ICR del 20% para adecuaciones de infraestructura para plantas  procesadoras, 100 empresas al terminar el plan. Se estimó vallas publicitarias para ciudades principales y para región y se estimó recurso humano.</v>
      </c>
      <c r="K122" s="682">
        <f>+'P8'!Y9</f>
        <v>91500202840</v>
      </c>
    </row>
    <row r="123" spans="1:11" ht="30">
      <c r="A123" s="674"/>
      <c r="B123" s="674"/>
      <c r="C123" s="674"/>
      <c r="D123" s="678"/>
      <c r="E123" s="674"/>
      <c r="F123" s="674"/>
      <c r="G123" s="673"/>
      <c r="H123" s="538" t="s">
        <v>1029</v>
      </c>
      <c r="I123" s="674"/>
      <c r="J123" s="674"/>
      <c r="K123" s="682"/>
    </row>
    <row r="124" spans="1:11" ht="45">
      <c r="A124" s="674"/>
      <c r="B124" s="674"/>
      <c r="C124" s="674"/>
      <c r="D124" s="678"/>
      <c r="E124" s="674"/>
      <c r="F124" s="674"/>
      <c r="G124" s="673"/>
      <c r="H124" s="538" t="s">
        <v>1030</v>
      </c>
      <c r="I124" s="674"/>
      <c r="J124" s="674"/>
      <c r="K124" s="682"/>
    </row>
    <row r="125" spans="1:11" ht="30">
      <c r="A125" s="674"/>
      <c r="B125" s="674"/>
      <c r="C125" s="674"/>
      <c r="D125" s="678"/>
      <c r="E125" s="674"/>
      <c r="F125" s="674"/>
      <c r="G125" s="673"/>
      <c r="H125" s="538" t="s">
        <v>1031</v>
      </c>
      <c r="I125" s="674"/>
      <c r="J125" s="674"/>
      <c r="K125" s="682"/>
    </row>
    <row r="126" spans="1:11">
      <c r="A126" s="674"/>
      <c r="B126" s="674"/>
      <c r="C126" s="674"/>
      <c r="D126" s="678"/>
      <c r="E126" s="674"/>
      <c r="F126" s="674"/>
      <c r="G126" s="673"/>
      <c r="H126" s="538" t="s">
        <v>1032</v>
      </c>
      <c r="I126" s="674"/>
      <c r="J126" s="674"/>
      <c r="K126" s="682"/>
    </row>
    <row r="127" spans="1:11">
      <c r="A127" s="674"/>
      <c r="B127" s="674"/>
      <c r="C127" s="674"/>
      <c r="D127" s="678"/>
      <c r="E127" s="674"/>
      <c r="F127" s="674"/>
      <c r="G127" s="673"/>
      <c r="H127" s="540" t="s">
        <v>1033</v>
      </c>
      <c r="I127" s="674"/>
      <c r="J127" s="674"/>
      <c r="K127" s="682"/>
    </row>
    <row r="128" spans="1:11" ht="30">
      <c r="A128" s="674" t="s">
        <v>1010</v>
      </c>
      <c r="B128" s="674" t="s">
        <v>1034</v>
      </c>
      <c r="C128" s="674" t="s">
        <v>1035</v>
      </c>
      <c r="D128" s="678" t="s">
        <v>1036</v>
      </c>
      <c r="E128" s="675" t="s">
        <v>1037</v>
      </c>
      <c r="F128" s="675" t="s">
        <v>1038</v>
      </c>
      <c r="G128" s="673" t="s">
        <v>1039</v>
      </c>
      <c r="H128" s="538" t="s">
        <v>1040</v>
      </c>
      <c r="I128" s="673" t="s">
        <v>1041</v>
      </c>
      <c r="J128" s="674" t="str">
        <f>+'P9'!B27</f>
        <v xml:space="preserve">Se estima la realización de mesas de trabajo  virtuales y presenciales por subregión. Se estima la realización de 8 talleres y/o eventos nacionales presenciales y  virtuales por subregión. Se estima un incentivo directo para pequeños y medianos productores para conservar una hectárea en bosques por UPA con producción de leche. La cantidad de UPAS a intervenir se estima en un 5%  de 5 millones de has, es decir 17.500 durante todo el plan. Para esto se estima un promedio en el tamaño de Upas de 5 ha para pequeños y 20 para medianos. Se estima  tener una cobertura del  80% para pequeños y el 20% en medianos, durante 18 años, es decir 780 (5 has/pequeñas UPAS en el año) y 195 (Medianas UPAS 20 has). Para hallar el costo de la inversión, se tiene en cuenta el valor de la producción promedio de leche al año de un animal que es de $2.400.000 aprox y  para medianos se estima una inversión de  $2.000.000 por ha, es 12 y 40 millones para pequeños y medianos productores respectivamente. Se incentiva el 50% de esta inversión. Se estima un valor promedio de recursos humano de $5.464.476 para 10 personas por 12 meses. </v>
      </c>
      <c r="K128" s="682">
        <f>+'P9'!Y8</f>
        <v>15272828400</v>
      </c>
    </row>
    <row r="129" spans="1:11" ht="45">
      <c r="A129" s="674"/>
      <c r="B129" s="674"/>
      <c r="C129" s="674"/>
      <c r="D129" s="678"/>
      <c r="E129" s="675"/>
      <c r="F129" s="675"/>
      <c r="G129" s="673"/>
      <c r="H129" s="538" t="s">
        <v>1042</v>
      </c>
      <c r="I129" s="673"/>
      <c r="J129" s="674"/>
      <c r="K129" s="682"/>
    </row>
    <row r="130" spans="1:11" ht="30">
      <c r="A130" s="674"/>
      <c r="B130" s="674"/>
      <c r="C130" s="674"/>
      <c r="D130" s="678"/>
      <c r="E130" s="675"/>
      <c r="F130" s="675"/>
      <c r="G130" s="673"/>
      <c r="H130" s="538" t="s">
        <v>1043</v>
      </c>
      <c r="I130" s="673"/>
      <c r="J130" s="674"/>
      <c r="K130" s="682"/>
    </row>
    <row r="131" spans="1:11" ht="30">
      <c r="A131" s="674"/>
      <c r="B131" s="674"/>
      <c r="C131" s="674"/>
      <c r="D131" s="678"/>
      <c r="E131" s="675"/>
      <c r="F131" s="675"/>
      <c r="G131" s="673"/>
      <c r="H131" s="538" t="s">
        <v>1044</v>
      </c>
      <c r="I131" s="673"/>
      <c r="J131" s="674"/>
      <c r="K131" s="682"/>
    </row>
    <row r="132" spans="1:11">
      <c r="A132" s="674" t="s">
        <v>1010</v>
      </c>
      <c r="B132" s="674" t="s">
        <v>1034</v>
      </c>
      <c r="C132" s="674" t="s">
        <v>1035</v>
      </c>
      <c r="D132" s="678" t="s">
        <v>1045</v>
      </c>
      <c r="E132" s="675" t="s">
        <v>1046</v>
      </c>
      <c r="F132" s="675" t="s">
        <v>1047</v>
      </c>
      <c r="G132" s="673" t="s">
        <v>1048</v>
      </c>
      <c r="H132" s="538" t="s">
        <v>1049</v>
      </c>
      <c r="I132" s="673" t="s">
        <v>1050</v>
      </c>
      <c r="J132" s="674" t="str">
        <f>+'P9'!B42</f>
        <v xml:space="preserve">Se estima la realización de mesas de trabajo  virtuales y presenciales por subregión lechera. Se estima la realización de 8 talleres y/o eventos nacionales y 120 talleres y/o eventos  presenciales y  virtuales (2 por subregión). Se estimó recurso humano de 12 personas , por un valor promedio de $5.564.476 durante 12 meses. </v>
      </c>
      <c r="K132" s="682">
        <f>+'P9'!Y9</f>
        <v>2670933910</v>
      </c>
    </row>
    <row r="133" spans="1:11" ht="30">
      <c r="A133" s="674"/>
      <c r="B133" s="674"/>
      <c r="C133" s="674"/>
      <c r="D133" s="678"/>
      <c r="E133" s="675"/>
      <c r="F133" s="675"/>
      <c r="G133" s="673"/>
      <c r="H133" s="538" t="s">
        <v>1051</v>
      </c>
      <c r="I133" s="673"/>
      <c r="J133" s="674"/>
      <c r="K133" s="682"/>
    </row>
    <row r="134" spans="1:11" ht="60">
      <c r="A134" s="674"/>
      <c r="B134" s="674"/>
      <c r="C134" s="674"/>
      <c r="D134" s="678"/>
      <c r="E134" s="675"/>
      <c r="F134" s="675"/>
      <c r="G134" s="673"/>
      <c r="H134" s="538" t="s">
        <v>1052</v>
      </c>
      <c r="I134" s="673"/>
      <c r="J134" s="674"/>
      <c r="K134" s="682"/>
    </row>
    <row r="135" spans="1:11" ht="30">
      <c r="A135" s="674" t="s">
        <v>1010</v>
      </c>
      <c r="B135" s="674" t="s">
        <v>1034</v>
      </c>
      <c r="C135" s="674" t="s">
        <v>1035</v>
      </c>
      <c r="D135" s="678" t="s">
        <v>1053</v>
      </c>
      <c r="E135" s="675" t="s">
        <v>1054</v>
      </c>
      <c r="F135" s="675" t="s">
        <v>1055</v>
      </c>
      <c r="G135" s="673" t="s">
        <v>1056</v>
      </c>
      <c r="H135" s="538" t="s">
        <v>1057</v>
      </c>
      <c r="I135" s="673" t="s">
        <v>1058</v>
      </c>
      <c r="J135" s="674" t="str">
        <f>+'P9'!B56</f>
        <v xml:space="preserve">Se estima la realización de mesas de trabajo  virtuales y presenciales por mes. Se estima la realización de 4 talleres y/o eventos nacionales y talleres y/o eventos  presenciales y  virtuales (1 por subregión). Se estimó recurso humano de 4 personas, por un valor promedio de $5.564.476 durante 12 meses. </v>
      </c>
      <c r="K135" s="682">
        <f>+'P9'!Y10</f>
        <v>2625709740</v>
      </c>
    </row>
    <row r="136" spans="1:11" ht="40.5" customHeight="1">
      <c r="A136" s="674"/>
      <c r="B136" s="674"/>
      <c r="C136" s="674"/>
      <c r="D136" s="678"/>
      <c r="E136" s="675"/>
      <c r="F136" s="675"/>
      <c r="G136" s="673"/>
      <c r="H136" s="538" t="s">
        <v>1059</v>
      </c>
      <c r="I136" s="673"/>
      <c r="J136" s="674"/>
      <c r="K136" s="682"/>
    </row>
    <row r="137" spans="1:11" ht="30">
      <c r="A137" s="674" t="s">
        <v>1010</v>
      </c>
      <c r="B137" s="674" t="s">
        <v>1060</v>
      </c>
      <c r="C137" s="674" t="s">
        <v>1061</v>
      </c>
      <c r="D137" s="678" t="s">
        <v>1062</v>
      </c>
      <c r="E137" s="675" t="s">
        <v>1063</v>
      </c>
      <c r="F137" s="675" t="s">
        <v>1064</v>
      </c>
      <c r="G137" s="673" t="s">
        <v>1065</v>
      </c>
      <c r="H137" s="538" t="s">
        <v>1066</v>
      </c>
      <c r="I137" s="673" t="s">
        <v>1067</v>
      </c>
      <c r="J137" s="674" t="str">
        <f>+'P10'!B42</f>
        <v xml:space="preserve">Se estima la realización de mesas de trabajo  virtuales y presenciales por subregión. Se estima la realización de 8 talleres y/o eventos nacionales, 90 talleres y/o eventos  presenciales y virtuales por subregión. Se estiman pautas en redes sociales por un valor global, 10 cursos cortos por región, 2 cursos libres y diplomado por región de manera presencial y virtual, campaña publicitaria regional, ferias comerciales y ruedas de negocios por región.  Se estima incentivar a 100.000 productores los cinco primeros años, es decir a 20.000 productores por año y a 100.000 productores para los 10 años restantes, es decir 10.000 al año. Se estima un único apoyo denominado un incentivo modular para promover la asociativad, que se estimó de acuerdo al incentivo modular  que hace referencia al incentivo modular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para promover la asociatividad, corresponde al 50% del valor de la producción promedio de leche al año de un animal, se estima que este valor sea asumido en un 50% por el estado. Se estima un mecanismo financiero denominado aseguramiento asociativo, similar al seguro agropecuario, la prima calculada corresponde al 10% del valor de la produccion promedio de leche el cual es pagado en un 80% por el gobierno y el 20% por los asociados. Se estima fortalecer incentivos y financiamiamiento relacionados con el programa 10.2 para 10 asociaciones al año. Se estima recurso humano por un valor promedio de $4.401.038 para 15 personas, así como  su desplazamiento. </v>
      </c>
      <c r="K137" s="682">
        <f>+'P10'!Y8</f>
        <v>359923455920</v>
      </c>
    </row>
    <row r="138" spans="1:11">
      <c r="A138" s="674"/>
      <c r="B138" s="674"/>
      <c r="C138" s="674"/>
      <c r="D138" s="678"/>
      <c r="E138" s="675"/>
      <c r="F138" s="675"/>
      <c r="G138" s="673"/>
      <c r="H138" s="538" t="s">
        <v>1068</v>
      </c>
      <c r="I138" s="673"/>
      <c r="J138" s="674"/>
      <c r="K138" s="682"/>
    </row>
    <row r="139" spans="1:11" ht="30">
      <c r="A139" s="674"/>
      <c r="B139" s="674"/>
      <c r="C139" s="674"/>
      <c r="D139" s="678"/>
      <c r="E139" s="675"/>
      <c r="F139" s="675"/>
      <c r="G139" s="673"/>
      <c r="H139" s="538" t="s">
        <v>1069</v>
      </c>
      <c r="I139" s="673"/>
      <c r="J139" s="674"/>
      <c r="K139" s="682"/>
    </row>
    <row r="140" spans="1:11" ht="45">
      <c r="A140" s="674"/>
      <c r="B140" s="674"/>
      <c r="C140" s="674"/>
      <c r="D140" s="678"/>
      <c r="E140" s="675"/>
      <c r="F140" s="675"/>
      <c r="G140" s="673"/>
      <c r="H140" s="538" t="s">
        <v>1070</v>
      </c>
      <c r="I140" s="673"/>
      <c r="J140" s="674"/>
      <c r="K140" s="682"/>
    </row>
    <row r="141" spans="1:11" ht="45">
      <c r="A141" s="674"/>
      <c r="B141" s="674"/>
      <c r="C141" s="674"/>
      <c r="D141" s="678"/>
      <c r="E141" s="675"/>
      <c r="F141" s="675"/>
      <c r="G141" s="673"/>
      <c r="H141" s="538" t="s">
        <v>1071</v>
      </c>
      <c r="I141" s="673"/>
      <c r="J141" s="674"/>
      <c r="K141" s="682"/>
    </row>
    <row r="142" spans="1:11" ht="45" customHeight="1">
      <c r="A142" s="674"/>
      <c r="B142" s="674"/>
      <c r="C142" s="674"/>
      <c r="D142" s="678"/>
      <c r="E142" s="675"/>
      <c r="F142" s="675"/>
      <c r="G142" s="673"/>
      <c r="H142" s="538" t="s">
        <v>1072</v>
      </c>
      <c r="I142" s="673"/>
      <c r="J142" s="674"/>
      <c r="K142" s="682"/>
    </row>
    <row r="143" spans="1:11" ht="45">
      <c r="A143" s="674"/>
      <c r="B143" s="674"/>
      <c r="C143" s="674"/>
      <c r="D143" s="678"/>
      <c r="E143" s="675"/>
      <c r="F143" s="675"/>
      <c r="G143" s="673"/>
      <c r="H143" s="538" t="s">
        <v>1073</v>
      </c>
      <c r="I143" s="673"/>
      <c r="J143" s="674"/>
      <c r="K143" s="682"/>
    </row>
    <row r="144" spans="1:11" ht="45">
      <c r="A144" s="674"/>
      <c r="B144" s="674"/>
      <c r="C144" s="674"/>
      <c r="D144" s="678"/>
      <c r="E144" s="675"/>
      <c r="F144" s="675"/>
      <c r="G144" s="673"/>
      <c r="H144" s="540" t="s">
        <v>1074</v>
      </c>
      <c r="I144" s="673"/>
      <c r="J144" s="674"/>
      <c r="K144" s="682"/>
    </row>
    <row r="145" spans="1:11">
      <c r="A145" s="674"/>
      <c r="B145" s="674"/>
      <c r="C145" s="674"/>
      <c r="D145" s="678"/>
      <c r="E145" s="675"/>
      <c r="F145" s="675"/>
      <c r="G145" s="673"/>
      <c r="H145" s="540" t="s">
        <v>1075</v>
      </c>
      <c r="I145" s="673"/>
      <c r="J145" s="674"/>
      <c r="K145" s="682"/>
    </row>
    <row r="146" spans="1:11">
      <c r="A146" s="674" t="s">
        <v>1010</v>
      </c>
      <c r="B146" s="674" t="s">
        <v>1060</v>
      </c>
      <c r="C146" s="674" t="s">
        <v>1061</v>
      </c>
      <c r="D146" s="678" t="s">
        <v>1076</v>
      </c>
      <c r="E146" s="674" t="s">
        <v>1077</v>
      </c>
      <c r="F146" s="674" t="s">
        <v>1078</v>
      </c>
      <c r="G146" s="673" t="s">
        <v>1079</v>
      </c>
      <c r="H146" s="538" t="s">
        <v>1080</v>
      </c>
      <c r="I146" s="674" t="s">
        <v>1081</v>
      </c>
      <c r="J146" s="674" t="str">
        <f>+'P10'!B71</f>
        <v xml:space="preserve">Se estima la realización de mesas de trabajo  virtuales y presenciales por mes. Se estima la realización de 8 talleres y/o eventos nacionales presenciales y  virtuales por subregión. Se estiman pautas en redes sociales, 40 cursos libres virtuales y presenciales, 20 diplomados virtuales y presenciales, plan radial regional. Se estima realización de ruedas de negocio y ferias comerciales por región.  Se estima recurso humano así como  su desplazamiento. </v>
      </c>
      <c r="K146" s="682">
        <f>+'P10'!Y9</f>
        <v>84639636710</v>
      </c>
    </row>
    <row r="147" spans="1:11" ht="45">
      <c r="A147" s="674"/>
      <c r="B147" s="674"/>
      <c r="C147" s="674"/>
      <c r="D147" s="678"/>
      <c r="E147" s="674"/>
      <c r="F147" s="674"/>
      <c r="G147" s="673"/>
      <c r="H147" s="538" t="s">
        <v>1082</v>
      </c>
      <c r="I147" s="674"/>
      <c r="J147" s="674"/>
      <c r="K147" s="682"/>
    </row>
    <row r="148" spans="1:11" ht="45">
      <c r="A148" s="674"/>
      <c r="B148" s="674"/>
      <c r="C148" s="674"/>
      <c r="D148" s="678"/>
      <c r="E148" s="674"/>
      <c r="F148" s="674"/>
      <c r="G148" s="673"/>
      <c r="H148" s="540" t="s">
        <v>1083</v>
      </c>
      <c r="I148" s="674"/>
      <c r="J148" s="674"/>
      <c r="K148" s="682"/>
    </row>
    <row r="149" spans="1:11" ht="45">
      <c r="A149" s="674"/>
      <c r="B149" s="674"/>
      <c r="C149" s="674"/>
      <c r="D149" s="678"/>
      <c r="E149" s="674"/>
      <c r="F149" s="674"/>
      <c r="G149" s="673"/>
      <c r="H149" s="538" t="s">
        <v>1084</v>
      </c>
      <c r="I149" s="674"/>
      <c r="J149" s="674"/>
      <c r="K149" s="682"/>
    </row>
    <row r="150" spans="1:11">
      <c r="A150" s="674"/>
      <c r="B150" s="674"/>
      <c r="C150" s="674"/>
      <c r="D150" s="678"/>
      <c r="E150" s="674"/>
      <c r="F150" s="674"/>
      <c r="G150" s="673"/>
      <c r="H150" s="538" t="s">
        <v>1085</v>
      </c>
      <c r="I150" s="674"/>
      <c r="J150" s="674"/>
      <c r="K150" s="682"/>
    </row>
    <row r="151" spans="1:11">
      <c r="A151" s="674" t="s">
        <v>1010</v>
      </c>
      <c r="B151" s="674" t="s">
        <v>1060</v>
      </c>
      <c r="C151" s="674" t="s">
        <v>1061</v>
      </c>
      <c r="D151" s="678" t="s">
        <v>1086</v>
      </c>
      <c r="E151" s="675" t="s">
        <v>1087</v>
      </c>
      <c r="F151" s="675" t="s">
        <v>1088</v>
      </c>
      <c r="G151" s="673" t="s">
        <v>1089</v>
      </c>
      <c r="H151" s="538" t="s">
        <v>1090</v>
      </c>
      <c r="I151" s="673" t="s">
        <v>1091</v>
      </c>
      <c r="J151" s="674" t="str">
        <f>+'P10'!B92</f>
        <v xml:space="preserve">Se estima la realización de mesas de trabajo  virtuales y presenciales por mes. Se estima la realización de 8 talleres y/o eventos nacionales presenciales y  virtuales por subregión. Se estiman pautas en redes sociales, 40 cursos libres virtuales y presenciales, 20 diplomados virtuales y presenciales. Se estima realización de ruedas de negocio y ferias comerciales por región.  Se estima recurso humano para realizar degustación (6 por región) y también recurso humano a nivel nacional, así como  su desplazamiento. </v>
      </c>
      <c r="K151" s="682">
        <f>+'P10'!Y10</f>
        <v>25320850091.360008</v>
      </c>
    </row>
    <row r="152" spans="1:11" ht="30">
      <c r="A152" s="674"/>
      <c r="B152" s="674"/>
      <c r="C152" s="674"/>
      <c r="D152" s="678"/>
      <c r="E152" s="675"/>
      <c r="F152" s="675"/>
      <c r="G152" s="676"/>
      <c r="H152" s="538" t="s">
        <v>1092</v>
      </c>
      <c r="I152" s="673"/>
      <c r="J152" s="674"/>
      <c r="K152" s="682"/>
    </row>
    <row r="153" spans="1:11">
      <c r="A153" s="674"/>
      <c r="B153" s="674"/>
      <c r="C153" s="674"/>
      <c r="D153" s="678"/>
      <c r="E153" s="675"/>
      <c r="F153" s="675"/>
      <c r="G153" s="676"/>
      <c r="H153" s="538" t="s">
        <v>1093</v>
      </c>
      <c r="I153" s="673"/>
      <c r="J153" s="674"/>
      <c r="K153" s="682"/>
    </row>
    <row r="154" spans="1:11">
      <c r="A154" s="674"/>
      <c r="B154" s="674"/>
      <c r="C154" s="674"/>
      <c r="D154" s="678"/>
      <c r="E154" s="675"/>
      <c r="F154" s="675"/>
      <c r="G154" s="676"/>
      <c r="H154" s="538" t="s">
        <v>1094</v>
      </c>
      <c r="I154" s="673"/>
      <c r="J154" s="674"/>
      <c r="K154" s="682"/>
    </row>
    <row r="155" spans="1:11" ht="45">
      <c r="A155" s="674" t="s">
        <v>1010</v>
      </c>
      <c r="B155" s="674" t="s">
        <v>1095</v>
      </c>
      <c r="C155" s="674" t="s">
        <v>1096</v>
      </c>
      <c r="D155" s="678" t="s">
        <v>1097</v>
      </c>
      <c r="E155" s="675" t="s">
        <v>1098</v>
      </c>
      <c r="F155" s="675" t="s">
        <v>1099</v>
      </c>
      <c r="G155" s="673" t="s">
        <v>1100</v>
      </c>
      <c r="H155" s="538" t="s">
        <v>1101</v>
      </c>
      <c r="I155" s="673" t="s">
        <v>1102</v>
      </c>
      <c r="J155" s="674" t="str">
        <f>+'P11'!B36</f>
        <v>Se estima la realización de mesas de trabajo  virtuales y presenciales por subregión. Se estima la realización de 8 talleres y/o eventos nacionales, 90 talleres y/o eventos  presenciales y virtuales por subregión. Se estiman pautas en redes sociales por un valor global, 10 cursos cortos por región, 2 cursos libres y diplomado por región de manera presencial y virtual, campaña publicitaria regional, ferias comerciales y ruedas de negocios por región.   Se estima recurso humano por un valor promedio de $7.589.549 para 10 personas, así como  su desplazamiento.  Por presupuestar otras formas de diseño</v>
      </c>
      <c r="K155" s="682">
        <f>+'P11'!Y8</f>
        <v>23837944545</v>
      </c>
    </row>
    <row r="156" spans="1:11" ht="40.5" customHeight="1">
      <c r="A156" s="674"/>
      <c r="B156" s="674"/>
      <c r="C156" s="674"/>
      <c r="D156" s="678"/>
      <c r="E156" s="675"/>
      <c r="F156" s="675"/>
      <c r="G156" s="673"/>
      <c r="H156" s="538" t="s">
        <v>1103</v>
      </c>
      <c r="I156" s="673"/>
      <c r="J156" s="674"/>
      <c r="K156" s="682"/>
    </row>
    <row r="157" spans="1:11" ht="30">
      <c r="A157" s="674" t="s">
        <v>1010</v>
      </c>
      <c r="B157" s="674" t="s">
        <v>1095</v>
      </c>
      <c r="C157" s="674"/>
      <c r="D157" s="678"/>
      <c r="E157" s="675"/>
      <c r="F157" s="675"/>
      <c r="G157" s="673"/>
      <c r="H157" s="538" t="s">
        <v>1104</v>
      </c>
      <c r="I157" s="673"/>
      <c r="J157" s="674"/>
      <c r="K157" s="682"/>
    </row>
    <row r="158" spans="1:11" ht="30">
      <c r="A158" s="674"/>
      <c r="B158" s="674"/>
      <c r="C158" s="674"/>
      <c r="D158" s="678"/>
      <c r="E158" s="675"/>
      <c r="F158" s="675"/>
      <c r="G158" s="673"/>
      <c r="H158" s="538" t="s">
        <v>1105</v>
      </c>
      <c r="I158" s="673"/>
      <c r="J158" s="674"/>
      <c r="K158" s="682"/>
    </row>
    <row r="159" spans="1:11">
      <c r="A159" s="674"/>
      <c r="B159" s="674"/>
      <c r="C159" s="674"/>
      <c r="D159" s="678"/>
      <c r="E159" s="675"/>
      <c r="F159" s="675"/>
      <c r="G159" s="673"/>
      <c r="H159" s="538" t="s">
        <v>1106</v>
      </c>
      <c r="I159" s="673"/>
      <c r="J159" s="674"/>
      <c r="K159" s="682"/>
    </row>
    <row r="160" spans="1:11" ht="30">
      <c r="A160" s="674"/>
      <c r="B160" s="674"/>
      <c r="C160" s="674"/>
      <c r="D160" s="678"/>
      <c r="E160" s="675"/>
      <c r="F160" s="675"/>
      <c r="G160" s="673"/>
      <c r="H160" s="538" t="s">
        <v>1107</v>
      </c>
      <c r="I160" s="673"/>
      <c r="J160" s="674"/>
      <c r="K160" s="682"/>
    </row>
    <row r="161" spans="1:11">
      <c r="A161" s="674"/>
      <c r="B161" s="674"/>
      <c r="C161" s="674"/>
      <c r="D161" s="678"/>
      <c r="E161" s="675"/>
      <c r="F161" s="675"/>
      <c r="G161" s="673"/>
      <c r="H161" s="538" t="s">
        <v>1108</v>
      </c>
      <c r="I161" s="673"/>
      <c r="J161" s="674"/>
      <c r="K161" s="682"/>
    </row>
    <row r="162" spans="1:11" ht="30">
      <c r="A162" s="674" t="s">
        <v>1010</v>
      </c>
      <c r="B162" s="674" t="s">
        <v>1095</v>
      </c>
      <c r="C162" s="674" t="s">
        <v>1096</v>
      </c>
      <c r="D162" s="678" t="s">
        <v>1109</v>
      </c>
      <c r="E162" s="675" t="s">
        <v>1110</v>
      </c>
      <c r="F162" s="675" t="s">
        <v>1111</v>
      </c>
      <c r="G162" s="673" t="s">
        <v>1112</v>
      </c>
      <c r="H162" s="538" t="s">
        <v>1113</v>
      </c>
      <c r="I162" s="673" t="s">
        <v>1114</v>
      </c>
      <c r="J162" s="674" t="str">
        <f>+'P11'!B50</f>
        <v xml:space="preserve">Se estima la realización de mesas de trabajo  virtuales y presenciales por subregión lechera. Se estima la realización de 8 talleres y/o eventos nacionales y 120 talleres y/o eventos  presenciales y  virtuales (2 por subregión). Se estimó recurso humano de 10 personas , por un valor promedio de $6.982.386 durante 12 meses. </v>
      </c>
      <c r="K162" s="682">
        <f>+'P11'!Y9</f>
        <v>7866409410</v>
      </c>
    </row>
    <row r="163" spans="1:11" ht="30">
      <c r="A163" s="674"/>
      <c r="B163" s="674"/>
      <c r="C163" s="674"/>
      <c r="D163" s="678"/>
      <c r="E163" s="675"/>
      <c r="F163" s="675"/>
      <c r="G163" s="673"/>
      <c r="H163" s="538" t="s">
        <v>1115</v>
      </c>
      <c r="I163" s="673"/>
      <c r="J163" s="674"/>
      <c r="K163" s="682"/>
    </row>
    <row r="164" spans="1:11" ht="45">
      <c r="A164" s="674"/>
      <c r="B164" s="674"/>
      <c r="C164" s="674"/>
      <c r="D164" s="678"/>
      <c r="E164" s="675"/>
      <c r="F164" s="675"/>
      <c r="G164" s="673"/>
      <c r="H164" s="538" t="s">
        <v>1116</v>
      </c>
      <c r="I164" s="673"/>
      <c r="J164" s="674"/>
      <c r="K164" s="682"/>
    </row>
    <row r="165" spans="1:11">
      <c r="A165" s="674"/>
      <c r="B165" s="674"/>
      <c r="C165" s="674"/>
      <c r="D165" s="678"/>
      <c r="E165" s="675"/>
      <c r="F165" s="675"/>
      <c r="G165" s="673"/>
      <c r="H165" s="538" t="s">
        <v>1117</v>
      </c>
      <c r="I165" s="673"/>
      <c r="J165" s="674"/>
      <c r="K165" s="682"/>
    </row>
    <row r="166" spans="1:11" ht="30">
      <c r="A166" s="674"/>
      <c r="B166" s="674"/>
      <c r="C166" s="674"/>
      <c r="D166" s="678"/>
      <c r="E166" s="675"/>
      <c r="F166" s="675"/>
      <c r="G166" s="673"/>
      <c r="H166" s="538" t="s">
        <v>1118</v>
      </c>
      <c r="I166" s="673"/>
      <c r="J166" s="674"/>
      <c r="K166" s="682"/>
    </row>
    <row r="167" spans="1:11" ht="43.5" customHeight="1">
      <c r="A167" s="674" t="s">
        <v>1010</v>
      </c>
      <c r="B167" s="674" t="s">
        <v>1095</v>
      </c>
      <c r="C167" s="674" t="s">
        <v>1096</v>
      </c>
      <c r="D167" s="678" t="s">
        <v>1119</v>
      </c>
      <c r="E167" s="536" t="s">
        <v>1120</v>
      </c>
      <c r="F167" s="674" t="s">
        <v>1121</v>
      </c>
      <c r="G167" s="673" t="s">
        <v>1122</v>
      </c>
      <c r="H167" s="540" t="s">
        <v>1123</v>
      </c>
      <c r="I167" s="674" t="s">
        <v>1124</v>
      </c>
      <c r="J167" s="674" t="str">
        <f>+'P11'!B80</f>
        <v xml:space="preserve">Se estima la realización de mesas de trabajo  virtuales y presenciales por subregión lechera. Se estima la realización de 8 talleres y/o eventos nacionales y 120 talleres y/o eventos  presenciales y  virtuales (2 por subregión). Se estima que cada año se incluyan al sector financiero 5915 productores nuevos, de los cuales partiendo de la línea base de 54.500  productores, se llegaría en el año 17 a 137.000 productores, se calcula un 80% de productores pequeños y un 20% productores medianos. Se calcula un monto de crédito para pequeños de $2.6.000.000 y de $5.600.000 para medianos, a lo cual se le calcula un % de 20% y 10% del FAG como valor de requerido para otorgar  garantías  a los productores. 
De acuerdo a la Resolución 957 del 2019  de la DIAN, relacionado con la clasificación de las empresas por el valor de ingresos, en micro, pequeñas y medianas, se tomó el valor de los ingresos  y se estimó un porcentaje del 50% y 20% para crédito solo para  microempresas y pequeñas empresas.  Se supone q  250 micro empresas, tendrán acceso al crédito, 150 pequeñas empresas y 100 medianas, es decir 15 y  15  y cada año, durante 10 años, a lo cual se estima un % para FAG del 10% y 5%. Se estima un valor global de $5.000.000  para otorga recurso de financiación a los agricultores. Se estima incluir a 3000 productores al año por 18 años, hasta incluir 45.000 productores nuevos al sector financiero.   Los recursos para seguros en el 2020 fueron de 23.000 millones. Se estima para los productores de leche 4.800 millones con una tasa anual creciente del 20%. Se estimó recurso humano de 10 personas , por un valor promedio de $6.982.386 durante 12 meses. </v>
      </c>
      <c r="K167" s="682">
        <f>+'P11'!Y10</f>
        <v>291455838962.1441</v>
      </c>
    </row>
    <row r="168" spans="1:11" ht="39.75" customHeight="1">
      <c r="A168" s="674"/>
      <c r="B168" s="674"/>
      <c r="C168" s="674"/>
      <c r="D168" s="678"/>
      <c r="E168" s="536"/>
      <c r="F168" s="674"/>
      <c r="G168" s="673"/>
      <c r="H168" s="540" t="s">
        <v>1125</v>
      </c>
      <c r="I168" s="674"/>
      <c r="J168" s="674"/>
      <c r="K168" s="682"/>
    </row>
    <row r="169" spans="1:11">
      <c r="A169" s="674"/>
      <c r="B169" s="674"/>
      <c r="C169" s="674"/>
      <c r="D169" s="678"/>
      <c r="E169" s="536"/>
      <c r="F169" s="674"/>
      <c r="G169" s="673"/>
      <c r="H169" s="540" t="s">
        <v>1126</v>
      </c>
      <c r="I169" s="674"/>
      <c r="J169" s="674"/>
      <c r="K169" s="682"/>
    </row>
    <row r="170" spans="1:11">
      <c r="A170" s="674"/>
      <c r="B170" s="674"/>
      <c r="C170" s="674"/>
      <c r="D170" s="678"/>
      <c r="E170" s="536"/>
      <c r="F170" s="674"/>
      <c r="G170" s="673"/>
      <c r="H170" s="540" t="s">
        <v>1127</v>
      </c>
      <c r="I170" s="674"/>
      <c r="J170" s="674"/>
      <c r="K170" s="682"/>
    </row>
    <row r="171" spans="1:11" ht="30">
      <c r="A171" s="674"/>
      <c r="B171" s="674"/>
      <c r="C171" s="674"/>
      <c r="D171" s="678"/>
      <c r="E171" s="536"/>
      <c r="F171" s="674"/>
      <c r="G171" s="673"/>
      <c r="H171" s="540" t="s">
        <v>1128</v>
      </c>
      <c r="I171" s="674"/>
      <c r="J171" s="674"/>
      <c r="K171" s="682"/>
    </row>
    <row r="172" spans="1:11">
      <c r="A172" s="674"/>
      <c r="B172" s="674"/>
      <c r="C172" s="674"/>
      <c r="D172" s="678"/>
      <c r="E172" s="536"/>
      <c r="F172" s="674"/>
      <c r="G172" s="673"/>
      <c r="H172" s="540" t="s">
        <v>1129</v>
      </c>
      <c r="I172" s="674"/>
      <c r="J172" s="674"/>
      <c r="K172" s="682"/>
    </row>
    <row r="173" spans="1:11" ht="30">
      <c r="A173" s="674"/>
      <c r="B173" s="674"/>
      <c r="C173" s="674"/>
      <c r="D173" s="678"/>
      <c r="E173" s="536"/>
      <c r="F173" s="674"/>
      <c r="G173" s="673"/>
      <c r="H173" s="540" t="s">
        <v>1130</v>
      </c>
      <c r="I173" s="674"/>
      <c r="J173" s="674"/>
      <c r="K173" s="682"/>
    </row>
    <row r="174" spans="1:11" ht="30">
      <c r="A174" s="674" t="s">
        <v>1131</v>
      </c>
      <c r="B174" s="674" t="s">
        <v>1132</v>
      </c>
      <c r="C174" s="674" t="s">
        <v>1133</v>
      </c>
      <c r="D174" s="678" t="s">
        <v>1134</v>
      </c>
      <c r="E174" s="675" t="s">
        <v>1135</v>
      </c>
      <c r="F174" s="675" t="s">
        <v>1136</v>
      </c>
      <c r="G174" s="673" t="s">
        <v>1137</v>
      </c>
      <c r="H174" s="540" t="s">
        <v>1138</v>
      </c>
      <c r="I174" s="673" t="s">
        <v>1139</v>
      </c>
      <c r="J174" s="674" t="str">
        <f>+'P12'!B31</f>
        <v>Se estima la realización de mesas de trabajo institucionales virtuales y presenciales por región, la realización de talleres y/o eventos nacionales y regionales  virtuales y presenciales, Se estima un plan de medios radia regional   y un monto global de material promocional. talleres practicos, campañas publicitarias regionales, recurso humano anivel nacional y regional y desplazacmiento y viaticos. Por presupuestar otros mecanismos de fortalecimiento.</v>
      </c>
      <c r="K174" s="682">
        <f>+'P12'!Y10</f>
        <v>17530315691</v>
      </c>
    </row>
    <row r="175" spans="1:11" ht="30">
      <c r="A175" s="674"/>
      <c r="B175" s="674"/>
      <c r="C175" s="674"/>
      <c r="D175" s="678"/>
      <c r="E175" s="675"/>
      <c r="F175" s="675"/>
      <c r="G175" s="673"/>
      <c r="H175" s="540" t="s">
        <v>1140</v>
      </c>
      <c r="I175" s="673"/>
      <c r="J175" s="674"/>
      <c r="K175" s="682"/>
    </row>
    <row r="176" spans="1:11" ht="30">
      <c r="A176" s="674" t="s">
        <v>1131</v>
      </c>
      <c r="B176" s="674" t="s">
        <v>1132</v>
      </c>
      <c r="C176" s="674" t="s">
        <v>1133</v>
      </c>
      <c r="D176" s="678" t="s">
        <v>1141</v>
      </c>
      <c r="E176" s="675" t="s">
        <v>1142</v>
      </c>
      <c r="F176" s="675" t="s">
        <v>1143</v>
      </c>
      <c r="G176" s="673" t="s">
        <v>1144</v>
      </c>
      <c r="H176" s="540" t="s">
        <v>1145</v>
      </c>
      <c r="I176" s="673" t="s">
        <v>1146</v>
      </c>
      <c r="J176" s="674" t="str">
        <f>+'P12'!B54</f>
        <v>Para llevar a cabo el proyecto se estima la realización de mesas de trabajo virtuales,  la realización de talleres nacionales y regionales  virtuales y presenciales, realización de eventos de promoción y divulgación nacional, regional de manera presencial y virtual.  Se estima material promocional. Talleres practicos, dias de campo, campaña institucional, material promocional.Se estima recurso humano  de 2 personas  con un salario promedio de $8.652.088.   Se estiman 4 viajes nacionales, con sus viáticos. Los años restantes para el fortalecimiento de la continuidad y consolidación en el desarrollo del sello a lo largo de la cadena láctea se deja por presupuestar.  En cuanto a la implementación de sistemas de producción sostenibles, la NAMA Ganadería bovina sostenible, propone llegar en 2030 a un área establecida en sistemas silvopastoriles no intensivos de 666.911 ha, a un área en silvopastoriles intensivos de 61.000 ha; y a un área en praderas mejoradas de 2.169.230 ha. Fuente: MADS, Actualización de la NDC (2020), de las cuales se estima un 40% de la meta para la producción de leche, y que se logre durante 7 años, con un incentivo del LEC del 10% así: SSP 266.764 ha (38.109 ha por año); SSPi  24.400 ha (3.486 ha por año) y praderas mejoradas 867.692 ha (123.956 ha por año). Valores de referencia USD/ha, tomados de Ortiz, J., Camacho, A. y Ayala, K. (2019). Lineamientos para el diseño de programas y proyectos de ganadería sostenible. Bogotá, Colombia: Instituto Global para el Crecimiento Verde (GGGI), SSP: 351 USD/ha, SSPi: 1.233 USD/ha y Mejoramiento de praderas: 207 USD/ha. Valor dólar promedio catálogo de costos $3.608.</v>
      </c>
      <c r="K176" s="682">
        <f>+'P12'!Y11</f>
        <v>118534744192.93961</v>
      </c>
    </row>
    <row r="177" spans="1:27" ht="49.5" customHeight="1">
      <c r="A177" s="674"/>
      <c r="B177" s="674"/>
      <c r="C177" s="674"/>
      <c r="D177" s="678"/>
      <c r="E177" s="675"/>
      <c r="F177" s="675"/>
      <c r="G177" s="673"/>
      <c r="H177" s="540" t="s">
        <v>1147</v>
      </c>
      <c r="I177" s="673"/>
      <c r="J177" s="674"/>
      <c r="K177" s="682"/>
    </row>
    <row r="178" spans="1:27" ht="45">
      <c r="A178" s="674"/>
      <c r="B178" s="674"/>
      <c r="C178" s="674"/>
      <c r="D178" s="678"/>
      <c r="E178" s="675"/>
      <c r="F178" s="675"/>
      <c r="G178" s="673"/>
      <c r="H178" s="540" t="s">
        <v>1148</v>
      </c>
      <c r="I178" s="673"/>
      <c r="J178" s="674"/>
      <c r="K178" s="682"/>
    </row>
    <row r="179" spans="1:27" ht="60">
      <c r="A179" s="674"/>
      <c r="B179" s="674"/>
      <c r="C179" s="674"/>
      <c r="D179" s="678"/>
      <c r="E179" s="675"/>
      <c r="F179" s="675"/>
      <c r="G179" s="673"/>
      <c r="H179" s="540" t="s">
        <v>1149</v>
      </c>
      <c r="I179" s="673"/>
      <c r="J179" s="674"/>
      <c r="K179" s="682"/>
    </row>
    <row r="180" spans="1:27" ht="30">
      <c r="A180" s="674"/>
      <c r="B180" s="674"/>
      <c r="C180" s="674"/>
      <c r="D180" s="678"/>
      <c r="E180" s="675"/>
      <c r="F180" s="675"/>
      <c r="G180" s="673"/>
      <c r="H180" s="538" t="s">
        <v>1150</v>
      </c>
      <c r="I180" s="673"/>
      <c r="J180" s="674"/>
      <c r="K180" s="682"/>
    </row>
    <row r="181" spans="1:27" ht="30">
      <c r="A181" s="674"/>
      <c r="B181" s="674"/>
      <c r="C181" s="674"/>
      <c r="D181" s="678"/>
      <c r="E181" s="675"/>
      <c r="F181" s="675"/>
      <c r="G181" s="673"/>
      <c r="H181" s="538" t="s">
        <v>1151</v>
      </c>
      <c r="I181" s="673"/>
      <c r="J181" s="674"/>
      <c r="K181" s="682"/>
    </row>
    <row r="182" spans="1:27">
      <c r="A182" s="674"/>
      <c r="B182" s="674"/>
      <c r="C182" s="674"/>
      <c r="D182" s="678"/>
      <c r="E182" s="675"/>
      <c r="F182" s="675"/>
      <c r="G182" s="673"/>
      <c r="H182" s="538" t="s">
        <v>1152</v>
      </c>
      <c r="I182" s="673"/>
      <c r="J182" s="674"/>
      <c r="K182" s="682"/>
    </row>
    <row r="183" spans="1:27" s="523" customFormat="1" ht="30">
      <c r="A183" s="674" t="s">
        <v>1131</v>
      </c>
      <c r="B183" s="674" t="s">
        <v>1153</v>
      </c>
      <c r="C183" s="674" t="s">
        <v>1154</v>
      </c>
      <c r="D183" s="678" t="s">
        <v>1155</v>
      </c>
      <c r="E183" s="675" t="s">
        <v>1156</v>
      </c>
      <c r="F183" s="675" t="s">
        <v>1157</v>
      </c>
      <c r="G183" s="673" t="s">
        <v>1158</v>
      </c>
      <c r="H183" s="538" t="s">
        <v>1159</v>
      </c>
      <c r="I183" s="673" t="s">
        <v>1160</v>
      </c>
      <c r="J183" s="674" t="str">
        <f>+'P13'!B35</f>
        <v>Para llevar a cabo el proyecto se estima la realización de mesas de trabajo institucionales virtuales y presenciales por región, la realización de talleres nacionales y regionales  virtuales.  Campaña publicitaria, material promocional, talleres practicos 2 por region. se estima recurso humano  nacional  de 5 personas  con un salario promedio de $6.982.386 y equipo humano regional   Desplazamiento equipo humano. Se estiman un ICR del 20% para reservorios de 20 ha, 1 para cada región lechera - 2 por año y acueductos ganaderos y división de potreros se toman para las hectáreas en SSPi 24.400 ha en 7 años, es decir 3.486 ha por año. Se estima un 40% de la meta de Sistema silvopastoriles intensivos de la NAMA, el valor calculado es el 35% del 474 dólares por ha, de acuerdo al valor de referencia tomados de  Ortiz, J., Camacho, A. y Ayala, K. (2019). Lineamientos para el diseño de programas y proyectos de ganadería sostenible . De acuerdo con la Resolución 957 del 2019  de la DIAN, relacionado con la clasificación de las empresas por el valor de ingresos, en micro, pequeñas y medianas, se tomó el valor de los ingresos  y se estimó un porcentaje del 20% , 10% y 10%  respectivamente. Se estima apoyar 250 microempresas, 150 pequeñas empresas y 100 medianas empresas. es decir 25, 15  y 10 cada año, durante 10 años. Se estima un ICR del 15%, 10% y 5% para las micro, pequeñas y medianas empresas.</v>
      </c>
      <c r="K183" s="682">
        <f>+'P13'!Y9</f>
        <v>38667776194.600014</v>
      </c>
      <c r="L183" s="519"/>
      <c r="M183" s="519"/>
      <c r="N183" s="521"/>
      <c r="O183" s="519"/>
      <c r="P183" s="519"/>
      <c r="Q183" s="519"/>
      <c r="R183" s="519"/>
      <c r="S183" s="519"/>
      <c r="T183" s="519"/>
      <c r="U183" s="519"/>
      <c r="V183" s="519"/>
      <c r="W183" s="519"/>
      <c r="X183" s="519"/>
      <c r="Y183" s="519"/>
      <c r="Z183" s="519"/>
      <c r="AA183" s="519"/>
    </row>
    <row r="184" spans="1:27" s="523" customFormat="1" ht="30">
      <c r="A184" s="674"/>
      <c r="B184" s="674"/>
      <c r="C184" s="674"/>
      <c r="D184" s="678"/>
      <c r="E184" s="675"/>
      <c r="F184" s="675"/>
      <c r="G184" s="673"/>
      <c r="H184" s="538" t="s">
        <v>1161</v>
      </c>
      <c r="I184" s="673"/>
      <c r="J184" s="674"/>
      <c r="K184" s="682"/>
      <c r="L184" s="519"/>
      <c r="M184" s="519"/>
      <c r="N184" s="521"/>
      <c r="O184" s="519"/>
      <c r="P184" s="519"/>
      <c r="Q184" s="519"/>
      <c r="R184" s="519"/>
      <c r="S184" s="519"/>
      <c r="T184" s="519"/>
      <c r="U184" s="519"/>
      <c r="V184" s="519"/>
      <c r="W184" s="519"/>
      <c r="X184" s="519"/>
      <c r="Y184" s="519"/>
      <c r="Z184" s="519"/>
      <c r="AA184" s="519"/>
    </row>
    <row r="185" spans="1:27" s="523" customFormat="1" ht="30">
      <c r="A185" s="674"/>
      <c r="B185" s="674"/>
      <c r="C185" s="674"/>
      <c r="D185" s="678"/>
      <c r="E185" s="675"/>
      <c r="F185" s="675"/>
      <c r="G185" s="673"/>
      <c r="H185" s="538" t="s">
        <v>1162</v>
      </c>
      <c r="I185" s="673"/>
      <c r="J185" s="674"/>
      <c r="K185" s="682"/>
      <c r="L185" s="519"/>
      <c r="M185" s="519"/>
      <c r="N185" s="521"/>
      <c r="O185" s="519"/>
      <c r="P185" s="519"/>
      <c r="Q185" s="519"/>
      <c r="R185" s="519"/>
      <c r="S185" s="519"/>
      <c r="T185" s="519"/>
      <c r="U185" s="519"/>
      <c r="V185" s="519"/>
      <c r="W185" s="519"/>
      <c r="X185" s="519"/>
      <c r="Y185" s="519"/>
      <c r="Z185" s="519"/>
      <c r="AA185" s="519"/>
    </row>
    <row r="186" spans="1:27" s="523" customFormat="1" ht="30">
      <c r="A186" s="674"/>
      <c r="B186" s="674"/>
      <c r="C186" s="674"/>
      <c r="D186" s="678"/>
      <c r="E186" s="675"/>
      <c r="F186" s="675"/>
      <c r="G186" s="673"/>
      <c r="H186" s="538" t="s">
        <v>1163</v>
      </c>
      <c r="I186" s="673"/>
      <c r="J186" s="674"/>
      <c r="K186" s="682"/>
      <c r="L186" s="519"/>
      <c r="M186" s="519"/>
      <c r="N186" s="521"/>
      <c r="O186" s="519"/>
      <c r="P186" s="519"/>
      <c r="Q186" s="519"/>
      <c r="R186" s="519"/>
      <c r="S186" s="519"/>
      <c r="T186" s="519"/>
      <c r="U186" s="519"/>
      <c r="V186" s="519"/>
      <c r="W186" s="519"/>
      <c r="X186" s="519"/>
      <c r="Y186" s="519"/>
      <c r="Z186" s="519"/>
      <c r="AA186" s="519"/>
    </row>
    <row r="187" spans="1:27" s="523" customFormat="1">
      <c r="A187" s="674"/>
      <c r="B187" s="674"/>
      <c r="C187" s="674"/>
      <c r="D187" s="678"/>
      <c r="E187" s="675"/>
      <c r="F187" s="675"/>
      <c r="G187" s="673"/>
      <c r="H187" s="538" t="s">
        <v>1164</v>
      </c>
      <c r="I187" s="673"/>
      <c r="J187" s="674"/>
      <c r="K187" s="682"/>
      <c r="L187" s="519"/>
      <c r="M187" s="519"/>
      <c r="N187" s="521"/>
      <c r="O187" s="519"/>
      <c r="P187" s="519"/>
      <c r="Q187" s="519"/>
      <c r="R187" s="519"/>
      <c r="S187" s="519"/>
      <c r="T187" s="519"/>
      <c r="U187" s="519"/>
      <c r="V187" s="519"/>
      <c r="W187" s="519"/>
      <c r="X187" s="519"/>
      <c r="Y187" s="519"/>
      <c r="Z187" s="519"/>
      <c r="AA187" s="519"/>
    </row>
    <row r="188" spans="1:27" s="523" customFormat="1" ht="45">
      <c r="A188" s="674"/>
      <c r="B188" s="674"/>
      <c r="C188" s="674"/>
      <c r="D188" s="678"/>
      <c r="E188" s="675"/>
      <c r="F188" s="675"/>
      <c r="G188" s="673"/>
      <c r="H188" s="538" t="s">
        <v>1165</v>
      </c>
      <c r="I188" s="673"/>
      <c r="J188" s="674"/>
      <c r="K188" s="682"/>
      <c r="L188" s="519"/>
      <c r="M188" s="519"/>
      <c r="N188" s="521"/>
      <c r="O188" s="519"/>
      <c r="P188" s="519"/>
      <c r="Q188" s="519"/>
      <c r="R188" s="519"/>
      <c r="S188" s="519"/>
      <c r="T188" s="519"/>
      <c r="U188" s="519"/>
      <c r="V188" s="519"/>
      <c r="W188" s="519"/>
      <c r="X188" s="519"/>
      <c r="Y188" s="519"/>
      <c r="Z188" s="519"/>
      <c r="AA188" s="519"/>
    </row>
    <row r="189" spans="1:27" s="523" customFormat="1" ht="44.25" customHeight="1">
      <c r="A189" s="674" t="s">
        <v>1131</v>
      </c>
      <c r="B189" s="674" t="s">
        <v>1166</v>
      </c>
      <c r="C189" s="674" t="s">
        <v>1154</v>
      </c>
      <c r="D189" s="678" t="s">
        <v>1167</v>
      </c>
      <c r="E189" s="675" t="s">
        <v>1168</v>
      </c>
      <c r="F189" s="674" t="s">
        <v>1169</v>
      </c>
      <c r="G189" s="673" t="s">
        <v>1170</v>
      </c>
      <c r="H189" s="538" t="s">
        <v>1171</v>
      </c>
      <c r="I189" s="674" t="s">
        <v>1172</v>
      </c>
      <c r="J189" s="674" t="str">
        <f>+'P13'!B53</f>
        <v xml:space="preserve">Para llevar a cabo el proyecto se estima la realización de mesas de trabajo institucionales virtuales y presenciales por región, la realización de talleres nacionales y regionales  virtuales.  Campaña publicitaria, material promocional, talleres practicos 2 por subregion. se estima recurso humano  nacional  de 2 personas  con un salario promedio de $6.982.386 y equipo humano regional   Desplazamiento equipo humano. Se toma meta de áreas liberadas para restauración de la NAMA de ganadería sostenible (en formulación) 68.675 ha a 2030, la cual se proyecta un 40% de cumplimiento para la cadena láctea equivalente a 27.470 ha, considerando la ejecución desde el año 4 al año 10, es decir 3.924 ha por año; para el aislamiento de áreas para conservación un ICR del 20% para el costo global de instalación de una cerca que incluye materiales, mano de obra. </v>
      </c>
      <c r="K189" s="682">
        <f>+'P13'!Y10</f>
        <v>22413423494</v>
      </c>
      <c r="L189" s="519"/>
      <c r="M189" s="519"/>
      <c r="N189" s="521"/>
      <c r="O189" s="519"/>
      <c r="P189" s="519"/>
      <c r="Q189" s="519"/>
      <c r="R189" s="519"/>
      <c r="S189" s="519"/>
      <c r="T189" s="519"/>
      <c r="U189" s="519"/>
      <c r="V189" s="519"/>
      <c r="W189" s="519"/>
      <c r="X189" s="519"/>
      <c r="Y189" s="519"/>
      <c r="Z189" s="519"/>
      <c r="AA189" s="519"/>
    </row>
    <row r="190" spans="1:27" s="523" customFormat="1" ht="38.25" customHeight="1">
      <c r="A190" s="674"/>
      <c r="B190" s="674"/>
      <c r="C190" s="674"/>
      <c r="D190" s="678"/>
      <c r="E190" s="675"/>
      <c r="F190" s="674"/>
      <c r="G190" s="673"/>
      <c r="H190" s="538" t="s">
        <v>1173</v>
      </c>
      <c r="I190" s="674"/>
      <c r="J190" s="674"/>
      <c r="K190" s="682"/>
      <c r="L190" s="519"/>
      <c r="M190" s="519"/>
      <c r="N190" s="521"/>
      <c r="O190" s="519"/>
      <c r="P190" s="519"/>
      <c r="Q190" s="519"/>
      <c r="R190" s="519"/>
      <c r="S190" s="519"/>
      <c r="T190" s="519"/>
      <c r="U190" s="519"/>
      <c r="V190" s="519"/>
      <c r="W190" s="519"/>
      <c r="X190" s="519"/>
      <c r="Y190" s="519"/>
      <c r="Z190" s="519"/>
      <c r="AA190" s="519"/>
    </row>
    <row r="191" spans="1:27" s="523" customFormat="1" ht="30">
      <c r="A191" s="674"/>
      <c r="B191" s="674"/>
      <c r="C191" s="674"/>
      <c r="D191" s="678"/>
      <c r="E191" s="675"/>
      <c r="F191" s="674"/>
      <c r="G191" s="673"/>
      <c r="H191" s="538" t="s">
        <v>1174</v>
      </c>
      <c r="I191" s="674"/>
      <c r="J191" s="674"/>
      <c r="K191" s="682"/>
      <c r="L191" s="519"/>
      <c r="M191" s="519"/>
      <c r="N191" s="521"/>
      <c r="O191" s="519"/>
      <c r="P191" s="519"/>
      <c r="Q191" s="519"/>
      <c r="R191" s="519"/>
      <c r="S191" s="519"/>
      <c r="T191" s="519"/>
      <c r="U191" s="519"/>
      <c r="V191" s="519"/>
      <c r="W191" s="519"/>
      <c r="X191" s="519"/>
      <c r="Y191" s="519"/>
      <c r="Z191" s="519"/>
      <c r="AA191" s="519"/>
    </row>
    <row r="192" spans="1:27" s="523" customFormat="1" ht="30">
      <c r="A192" s="674"/>
      <c r="B192" s="674"/>
      <c r="C192" s="674"/>
      <c r="D192" s="678"/>
      <c r="E192" s="675"/>
      <c r="F192" s="674"/>
      <c r="G192" s="673"/>
      <c r="H192" s="538" t="s">
        <v>1175</v>
      </c>
      <c r="I192" s="674"/>
      <c r="J192" s="674"/>
      <c r="K192" s="682"/>
      <c r="L192" s="519"/>
      <c r="M192" s="519"/>
      <c r="N192" s="521"/>
      <c r="O192" s="519"/>
      <c r="P192" s="519"/>
      <c r="Q192" s="519"/>
      <c r="R192" s="519"/>
      <c r="S192" s="519"/>
      <c r="T192" s="519"/>
      <c r="U192" s="519"/>
      <c r="V192" s="519"/>
      <c r="W192" s="519"/>
      <c r="X192" s="519"/>
      <c r="Y192" s="519"/>
      <c r="Z192" s="519"/>
      <c r="AA192" s="519"/>
    </row>
    <row r="193" spans="1:27" s="523" customFormat="1">
      <c r="A193" s="674"/>
      <c r="B193" s="674"/>
      <c r="C193" s="674"/>
      <c r="D193" s="678"/>
      <c r="E193" s="675"/>
      <c r="F193" s="674"/>
      <c r="G193" s="673"/>
      <c r="H193" s="538" t="s">
        <v>1176</v>
      </c>
      <c r="I193" s="674"/>
      <c r="J193" s="674"/>
      <c r="K193" s="682"/>
      <c r="L193" s="519"/>
      <c r="M193" s="519"/>
      <c r="N193" s="521"/>
      <c r="O193" s="519"/>
      <c r="P193" s="519"/>
      <c r="Q193" s="519"/>
      <c r="R193" s="519"/>
      <c r="S193" s="519"/>
      <c r="T193" s="519"/>
      <c r="U193" s="519"/>
      <c r="V193" s="519"/>
      <c r="W193" s="519"/>
      <c r="X193" s="519"/>
      <c r="Y193" s="519"/>
      <c r="Z193" s="519"/>
      <c r="AA193" s="519"/>
    </row>
    <row r="194" spans="1:27" s="523" customFormat="1" ht="30">
      <c r="A194" s="674"/>
      <c r="B194" s="674"/>
      <c r="C194" s="674"/>
      <c r="D194" s="678"/>
      <c r="E194" s="539"/>
      <c r="F194" s="674"/>
      <c r="G194" s="673"/>
      <c r="H194" s="538" t="s">
        <v>1177</v>
      </c>
      <c r="I194" s="674"/>
      <c r="J194" s="674"/>
      <c r="K194" s="682"/>
      <c r="L194" s="519"/>
      <c r="M194" s="519"/>
      <c r="N194" s="521"/>
      <c r="O194" s="519"/>
      <c r="P194" s="519"/>
      <c r="Q194" s="519"/>
      <c r="R194" s="519"/>
      <c r="S194" s="519"/>
      <c r="T194" s="519"/>
      <c r="U194" s="519"/>
      <c r="V194" s="519"/>
      <c r="W194" s="519"/>
      <c r="X194" s="519"/>
      <c r="Y194" s="519"/>
      <c r="Z194" s="519"/>
      <c r="AA194" s="519"/>
    </row>
    <row r="195" spans="1:27" s="523" customFormat="1" ht="30">
      <c r="A195" s="674" t="s">
        <v>1131</v>
      </c>
      <c r="B195" s="674" t="s">
        <v>1166</v>
      </c>
      <c r="C195" s="674" t="s">
        <v>1178</v>
      </c>
      <c r="D195" s="678" t="s">
        <v>1179</v>
      </c>
      <c r="E195" s="675" t="s">
        <v>1180</v>
      </c>
      <c r="F195" s="675" t="s">
        <v>1181</v>
      </c>
      <c r="G195" s="673" t="s">
        <v>1182</v>
      </c>
      <c r="H195" s="538" t="s">
        <v>1183</v>
      </c>
      <c r="I195" s="673" t="s">
        <v>1184</v>
      </c>
      <c r="J195" s="674" t="str">
        <f>+'P14'!B38</f>
        <v>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material promocional. Se estima recurso humano  nacional de 2 personas  con un salario promedio de $7.589.549 y recurso humano regional de 10 personas con salario promedio de 5.464.476.  Se estiman 14 desplazamientos para el equipo humano durante el desarrollo del proyecto con viajes nacionales, con sus viáticos, se estima 1 taller práctico por subregion y 5 predios demostrativos  con 5 días de campo por subregión.  Se estima intervenir 50.000 predios, de los cuales 35.000 se estiman como predios de pequeños productores y el resto como medianos y grandes, por un período de 10 años, es decir 3.500 predios anuales y 1.500 para predios de medianos productores  y un apoyo directo de 3 millones y 2.5 millones respectivamente. Por presupuestar otras formas de levantamiento de información y mejora de la gestión de residuos.</v>
      </c>
      <c r="K195" s="682">
        <f>+'P14'!Y9</f>
        <v>197661577473</v>
      </c>
      <c r="L195" s="519"/>
      <c r="M195" s="519"/>
      <c r="N195" s="521"/>
      <c r="O195" s="519"/>
      <c r="P195" s="519"/>
      <c r="Q195" s="519"/>
      <c r="R195" s="519"/>
      <c r="S195" s="519"/>
      <c r="T195" s="519"/>
      <c r="U195" s="519"/>
      <c r="V195" s="519"/>
      <c r="W195" s="519"/>
      <c r="X195" s="519"/>
      <c r="Y195" s="519"/>
      <c r="Z195" s="519"/>
      <c r="AA195" s="519"/>
    </row>
    <row r="196" spans="1:27" s="523" customFormat="1" ht="30">
      <c r="A196" s="674"/>
      <c r="B196" s="674"/>
      <c r="C196" s="674"/>
      <c r="D196" s="678"/>
      <c r="E196" s="675"/>
      <c r="F196" s="675"/>
      <c r="G196" s="673"/>
      <c r="H196" s="538" t="s">
        <v>1185</v>
      </c>
      <c r="I196" s="673"/>
      <c r="J196" s="674"/>
      <c r="K196" s="682"/>
      <c r="L196" s="519"/>
      <c r="M196" s="519"/>
      <c r="N196" s="521"/>
      <c r="O196" s="519"/>
      <c r="P196" s="519"/>
      <c r="Q196" s="519"/>
      <c r="R196" s="519"/>
      <c r="S196" s="519"/>
      <c r="T196" s="519"/>
      <c r="U196" s="519"/>
      <c r="V196" s="519"/>
      <c r="W196" s="519"/>
      <c r="X196" s="519"/>
      <c r="Y196" s="519"/>
      <c r="Z196" s="519"/>
      <c r="AA196" s="519"/>
    </row>
    <row r="197" spans="1:27" s="523" customFormat="1" ht="42.75" customHeight="1">
      <c r="A197" s="674"/>
      <c r="B197" s="674"/>
      <c r="C197" s="674"/>
      <c r="D197" s="678"/>
      <c r="E197" s="675"/>
      <c r="F197" s="675"/>
      <c r="G197" s="673"/>
      <c r="H197" s="538" t="s">
        <v>1186</v>
      </c>
      <c r="I197" s="673"/>
      <c r="J197" s="674"/>
      <c r="K197" s="682"/>
      <c r="L197" s="519"/>
      <c r="M197" s="519"/>
      <c r="N197" s="521"/>
      <c r="O197" s="519"/>
      <c r="P197" s="519"/>
      <c r="Q197" s="519"/>
      <c r="R197" s="519"/>
      <c r="S197" s="519"/>
      <c r="T197" s="519"/>
      <c r="U197" s="519"/>
      <c r="V197" s="519"/>
      <c r="W197" s="519"/>
      <c r="X197" s="519"/>
      <c r="Y197" s="519"/>
      <c r="Z197" s="519"/>
      <c r="AA197" s="519"/>
    </row>
    <row r="198" spans="1:27" s="523" customFormat="1" ht="30">
      <c r="A198" s="674"/>
      <c r="B198" s="674"/>
      <c r="C198" s="674"/>
      <c r="D198" s="678"/>
      <c r="E198" s="675"/>
      <c r="F198" s="675"/>
      <c r="G198" s="673"/>
      <c r="H198" s="538" t="s">
        <v>1187</v>
      </c>
      <c r="I198" s="673"/>
      <c r="J198" s="674"/>
      <c r="K198" s="682"/>
      <c r="L198" s="519"/>
      <c r="M198" s="519"/>
      <c r="N198" s="521"/>
      <c r="O198" s="519"/>
      <c r="P198" s="519"/>
      <c r="Q198" s="519"/>
      <c r="R198" s="519"/>
      <c r="S198" s="519"/>
      <c r="T198" s="519"/>
      <c r="U198" s="519"/>
      <c r="V198" s="519"/>
      <c r="W198" s="519"/>
      <c r="X198" s="519"/>
      <c r="Y198" s="519"/>
      <c r="Z198" s="519"/>
      <c r="AA198" s="519"/>
    </row>
    <row r="199" spans="1:27">
      <c r="A199" s="674" t="s">
        <v>1131</v>
      </c>
      <c r="B199" s="674" t="s">
        <v>1166</v>
      </c>
      <c r="C199" s="674" t="s">
        <v>1178</v>
      </c>
      <c r="D199" s="678" t="s">
        <v>1188</v>
      </c>
      <c r="E199" s="675" t="s">
        <v>1189</v>
      </c>
      <c r="F199" s="675" t="s">
        <v>1190</v>
      </c>
      <c r="G199" s="673" t="s">
        <v>1182</v>
      </c>
      <c r="H199" s="538" t="s">
        <v>1191</v>
      </c>
      <c r="I199" s="673" t="s">
        <v>1192</v>
      </c>
      <c r="J199" s="674" t="str">
        <f>+'P14'!B61</f>
        <v>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3 personas  con un salario promedio de $7.589.549. Se estiman 4 desplazamientos para el equipo humano durante el desarrollo del proyecto con viajes nacionales, con sus viáticos, Diplomados en gestión de residuos y cursos libres virtuales.Certificaciones en temas ambientales (43 millones por empresa - el costo incluye asesoría y certificación). Se estima apoyar a 250 empresas, durante 10 años, es decir 25 empresas año.Se estima un ICR del 20%,15% y 10% de acuerdo al tamaño de la planta, para incentivar la compra y modernización de plantas de tratamiento a 250 empresas durante 10 años, es decir intervenir a  25 micro empresas, 15 pequeñas y 10 medianas al año. Por presupuestar otras formas de mejoramiento.</v>
      </c>
      <c r="K199" s="682">
        <f>+'P14'!Y10</f>
        <v>192261620920.5</v>
      </c>
    </row>
    <row r="200" spans="1:27" ht="30">
      <c r="A200" s="674"/>
      <c r="B200" s="674"/>
      <c r="C200" s="674"/>
      <c r="D200" s="678"/>
      <c r="E200" s="675"/>
      <c r="F200" s="675"/>
      <c r="G200" s="673"/>
      <c r="H200" s="538" t="s">
        <v>1193</v>
      </c>
      <c r="I200" s="673"/>
      <c r="J200" s="674"/>
      <c r="K200" s="682"/>
    </row>
    <row r="201" spans="1:27">
      <c r="A201" s="674"/>
      <c r="B201" s="674"/>
      <c r="C201" s="674"/>
      <c r="D201" s="678"/>
      <c r="E201" s="675"/>
      <c r="F201" s="675"/>
      <c r="G201" s="673"/>
      <c r="H201" s="538" t="s">
        <v>1194</v>
      </c>
      <c r="I201" s="673"/>
      <c r="J201" s="674"/>
      <c r="K201" s="682"/>
    </row>
    <row r="202" spans="1:27" ht="30">
      <c r="A202" s="674"/>
      <c r="B202" s="674"/>
      <c r="C202" s="674"/>
      <c r="D202" s="678"/>
      <c r="E202" s="675"/>
      <c r="F202" s="675"/>
      <c r="G202" s="673"/>
      <c r="H202" s="538" t="s">
        <v>1195</v>
      </c>
      <c r="I202" s="673"/>
      <c r="J202" s="674"/>
      <c r="K202" s="682"/>
    </row>
    <row r="203" spans="1:27" ht="30">
      <c r="A203" s="674" t="s">
        <v>1131</v>
      </c>
      <c r="B203" s="674" t="s">
        <v>1166</v>
      </c>
      <c r="C203" s="674" t="s">
        <v>1178</v>
      </c>
      <c r="D203" s="678" t="s">
        <v>1196</v>
      </c>
      <c r="E203" s="675" t="s">
        <v>1197</v>
      </c>
      <c r="F203" s="675" t="s">
        <v>1198</v>
      </c>
      <c r="G203" s="673" t="s">
        <v>1199</v>
      </c>
      <c r="H203" s="538" t="s">
        <v>1200</v>
      </c>
      <c r="I203" s="673" t="s">
        <v>1201</v>
      </c>
      <c r="J203" s="674" t="str">
        <f>+'P14'!B84</f>
        <v>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virtuales.De acuerdo con la Resolución 957 del 2019  de la DIAN, relacionado con la clasificación de las empresas por el valor de ingresos, en micro, pequeñas y medianas, se tomó el valor de los ingresos  y se estimó un porcentaje del 20%, 10% y 5%  respectivamente, para implementar procesos que agreguen  valor al lactosuero. Se estima intervenir 250 empresas durante 8 años, así: 150 microempresas, pequeñas 75 y 25 medianas, es decir 19 microempresas, 9 pequeñas y 3 medianas por año.</v>
      </c>
      <c r="K203" s="682">
        <f>+'P14'!Y11</f>
        <v>25510629848.119999</v>
      </c>
    </row>
    <row r="204" spans="1:27" ht="30">
      <c r="A204" s="674"/>
      <c r="B204" s="674"/>
      <c r="C204" s="674"/>
      <c r="D204" s="678"/>
      <c r="E204" s="675"/>
      <c r="F204" s="675"/>
      <c r="G204" s="673"/>
      <c r="H204" s="538" t="s">
        <v>1202</v>
      </c>
      <c r="I204" s="673"/>
      <c r="J204" s="674"/>
      <c r="K204" s="682"/>
    </row>
    <row r="205" spans="1:27" ht="45" customHeight="1">
      <c r="A205" s="674"/>
      <c r="B205" s="674"/>
      <c r="C205" s="674"/>
      <c r="D205" s="678"/>
      <c r="E205" s="675"/>
      <c r="F205" s="675"/>
      <c r="G205" s="673"/>
      <c r="H205" s="538" t="s">
        <v>1203</v>
      </c>
      <c r="I205" s="673"/>
      <c r="J205" s="674"/>
      <c r="K205" s="682"/>
    </row>
    <row r="206" spans="1:27" ht="30">
      <c r="A206" s="674" t="s">
        <v>1131</v>
      </c>
      <c r="B206" s="674" t="s">
        <v>1166</v>
      </c>
      <c r="C206" s="674" t="s">
        <v>1178</v>
      </c>
      <c r="D206" s="678" t="s">
        <v>1204</v>
      </c>
      <c r="E206" s="675"/>
      <c r="F206" s="675" t="s">
        <v>1198</v>
      </c>
      <c r="G206" s="673" t="s">
        <v>1205</v>
      </c>
      <c r="H206" s="538" t="s">
        <v>1206</v>
      </c>
      <c r="I206" s="673" t="s">
        <v>1207</v>
      </c>
      <c r="J206" s="674" t="str">
        <f>+'P14'!B104</f>
        <v>Para llevar a cabo el proyecto se estima la realización de mesas de trabajo institucionales virtuales y presenciales por región. Los viáticos y tiquetes de un consultor internacional,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 y cursos cortos. .De acuerdo con la Resolución 957 del 2019  de la DIAN, relacionado con la clasificación de las empresas por el valor de ingresos se estima intervenir 250 empresas durante 8 años, así: 150 microempresas, pequeñas 75 y 25 medianas, es decir 19 microempresas, 9 pequeñas y 3 medianas por año.</v>
      </c>
      <c r="K206" s="682">
        <f>+'P14'!Y12</f>
        <v>32127466895.399998</v>
      </c>
    </row>
    <row r="207" spans="1:27" ht="30">
      <c r="A207" s="674"/>
      <c r="B207" s="674"/>
      <c r="C207" s="674"/>
      <c r="D207" s="678"/>
      <c r="E207" s="675"/>
      <c r="F207" s="675"/>
      <c r="G207" s="673"/>
      <c r="H207" s="538" t="s">
        <v>1208</v>
      </c>
      <c r="I207" s="673"/>
      <c r="J207" s="674"/>
      <c r="K207" s="682"/>
    </row>
    <row r="208" spans="1:27" ht="30">
      <c r="A208" s="674"/>
      <c r="B208" s="674"/>
      <c r="C208" s="674"/>
      <c r="D208" s="678"/>
      <c r="E208" s="675"/>
      <c r="F208" s="675"/>
      <c r="G208" s="673"/>
      <c r="H208" s="538" t="s">
        <v>1209</v>
      </c>
      <c r="I208" s="673"/>
      <c r="J208" s="674"/>
      <c r="K208" s="682"/>
    </row>
    <row r="209" spans="1:11" ht="30">
      <c r="A209" s="674"/>
      <c r="B209" s="674"/>
      <c r="C209" s="674"/>
      <c r="D209" s="678"/>
      <c r="E209" s="675"/>
      <c r="F209" s="675"/>
      <c r="G209" s="673"/>
      <c r="H209" s="538" t="s">
        <v>1210</v>
      </c>
      <c r="I209" s="673"/>
      <c r="J209" s="674"/>
      <c r="K209" s="682"/>
    </row>
    <row r="210" spans="1:11">
      <c r="A210" s="674" t="s">
        <v>1131</v>
      </c>
      <c r="B210" s="674" t="s">
        <v>1166</v>
      </c>
      <c r="C210" s="674" t="s">
        <v>1178</v>
      </c>
      <c r="D210" s="678" t="s">
        <v>1211</v>
      </c>
      <c r="E210" s="675"/>
      <c r="F210" s="675" t="s">
        <v>1181</v>
      </c>
      <c r="G210" s="673" t="s">
        <v>1212</v>
      </c>
      <c r="H210" s="538" t="s">
        <v>1213</v>
      </c>
      <c r="I210" s="673" t="s">
        <v>1214</v>
      </c>
      <c r="J210" s="674" t="str">
        <f>+'P14'!B117</f>
        <v>Para llevar a cabo el proyecto se estima la realización de talleres nacionales y regionales  virtuales y presenciales, realización de eventos de promoción y divulgación nacional, regional de manera presencial y virtual. Campaña institucional. Se estima recurso humano  nacional de 2 personas  con un salario promedio de $7.589.549. Se estiman 4 desplazamientos para el equipo humano durante el desarrollo del proyecto con viajes nacionales, con sus viáticos, Diplomados en gestión de residuos y cursos libres virtuales y cursos cortos.</v>
      </c>
      <c r="K210" s="682">
        <f>+'P14'!Y13</f>
        <v>6490803942</v>
      </c>
    </row>
    <row r="211" spans="1:11" ht="42" customHeight="1">
      <c r="A211" s="674"/>
      <c r="B211" s="674"/>
      <c r="C211" s="674"/>
      <c r="D211" s="678"/>
      <c r="E211" s="675"/>
      <c r="F211" s="675"/>
      <c r="G211" s="673"/>
      <c r="H211" s="538" t="s">
        <v>1215</v>
      </c>
      <c r="I211" s="673"/>
      <c r="J211" s="674"/>
      <c r="K211" s="682"/>
    </row>
    <row r="212" spans="1:11" ht="30">
      <c r="A212" s="674"/>
      <c r="B212" s="674"/>
      <c r="C212" s="674"/>
      <c r="D212" s="678"/>
      <c r="E212" s="675"/>
      <c r="F212" s="675"/>
      <c r="G212" s="673"/>
      <c r="H212" s="538" t="s">
        <v>1216</v>
      </c>
      <c r="I212" s="673"/>
      <c r="J212" s="674"/>
      <c r="K212" s="682"/>
    </row>
    <row r="213" spans="1:11">
      <c r="A213" s="674"/>
      <c r="B213" s="674"/>
      <c r="C213" s="674"/>
      <c r="D213" s="678"/>
      <c r="E213" s="675"/>
      <c r="F213" s="675"/>
      <c r="G213" s="673"/>
      <c r="H213" s="538" t="s">
        <v>1217</v>
      </c>
      <c r="I213" s="673"/>
      <c r="J213" s="674"/>
      <c r="K213" s="682"/>
    </row>
    <row r="214" spans="1:11" ht="45">
      <c r="A214" s="674" t="s">
        <v>1218</v>
      </c>
      <c r="B214" s="674" t="s">
        <v>1219</v>
      </c>
      <c r="C214" s="674" t="s">
        <v>1220</v>
      </c>
      <c r="D214" s="678" t="s">
        <v>1221</v>
      </c>
      <c r="E214" s="675" t="s">
        <v>1222</v>
      </c>
      <c r="F214" s="675" t="s">
        <v>1223</v>
      </c>
      <c r="G214" s="673" t="s">
        <v>1224</v>
      </c>
      <c r="H214" s="538" t="s">
        <v>1699</v>
      </c>
      <c r="I214" s="673" t="s">
        <v>1225</v>
      </c>
      <c r="J214" s="674" t="str">
        <f>+'P15'!B26</f>
        <v>Para llevar a cabo el proyecto se estima la realización de mesas de trabajo virtuales,  la realización de talleres nacionales y regionales  virtuales y presenciales, realización de eventos de promoción y divulgación nacional, regional de manera presencial y virtual.  Se estima material promocional. Se estima recurso humano  de 5 personas  con un salario promedio de $5.464.476.   Se estiman 6 viajes nacionales, con sus viáticos. Se considera por presupuestar el valor del convenio de operatividad del observatorio, así como los sistemas de información y servicios tecnológicos. El dominios del sistemas de información: debe contener el desarrollo de la metodología que cubra el ciclo de vida del observatorio, fase inicial (diseño), gobernabilidad y administración. El dominio de servicios tecnológicos está conformado por los diferentes componentes de Hardware, software y conectividad necesarios para el despliegue del observatorio y estrategias de operación.   Tomado de Anexo Resolución 000383 de 2019 de MADR (lineamientos para el diseño e implementación del observatorio de tierras).</v>
      </c>
      <c r="K214" s="682">
        <f>+'P15'!Y8</f>
        <v>4576234290</v>
      </c>
    </row>
    <row r="215" spans="1:11" ht="45">
      <c r="A215" s="674"/>
      <c r="B215" s="674"/>
      <c r="C215" s="674"/>
      <c r="D215" s="678"/>
      <c r="E215" s="675"/>
      <c r="F215" s="675"/>
      <c r="G215" s="673"/>
      <c r="H215" s="538" t="s">
        <v>1700</v>
      </c>
      <c r="I215" s="673"/>
      <c r="J215" s="674"/>
      <c r="K215" s="682"/>
    </row>
    <row r="216" spans="1:11" ht="60">
      <c r="A216" s="674"/>
      <c r="B216" s="674"/>
      <c r="C216" s="674"/>
      <c r="D216" s="678"/>
      <c r="E216" s="675"/>
      <c r="F216" s="675"/>
      <c r="G216" s="673"/>
      <c r="H216" s="538" t="s">
        <v>1701</v>
      </c>
      <c r="I216" s="673"/>
      <c r="J216" s="674"/>
      <c r="K216" s="682"/>
    </row>
    <row r="217" spans="1:11" ht="30">
      <c r="A217" s="674"/>
      <c r="B217" s="674"/>
      <c r="C217" s="674"/>
      <c r="D217" s="678"/>
      <c r="E217" s="675"/>
      <c r="F217" s="675"/>
      <c r="G217" s="673"/>
      <c r="H217" s="538" t="s">
        <v>1702</v>
      </c>
      <c r="I217" s="673"/>
      <c r="J217" s="674"/>
      <c r="K217" s="682"/>
    </row>
    <row r="218" spans="1:11" ht="30">
      <c r="A218" s="674"/>
      <c r="B218" s="674"/>
      <c r="C218" s="674"/>
      <c r="D218" s="678"/>
      <c r="E218" s="675"/>
      <c r="F218" s="675"/>
      <c r="G218" s="673"/>
      <c r="H218" s="538" t="s">
        <v>1703</v>
      </c>
      <c r="I218" s="673"/>
      <c r="J218" s="674"/>
      <c r="K218" s="682"/>
    </row>
    <row r="219" spans="1:11" ht="30">
      <c r="A219" s="674" t="s">
        <v>1218</v>
      </c>
      <c r="B219" s="674" t="s">
        <v>1219</v>
      </c>
      <c r="C219" s="674" t="s">
        <v>1220</v>
      </c>
      <c r="D219" s="678" t="s">
        <v>1226</v>
      </c>
      <c r="E219" s="675" t="s">
        <v>1227</v>
      </c>
      <c r="F219" s="675" t="s">
        <v>1228</v>
      </c>
      <c r="G219" s="673" t="s">
        <v>1229</v>
      </c>
      <c r="H219" s="537" t="s">
        <v>1230</v>
      </c>
      <c r="I219" s="674" t="s">
        <v>1231</v>
      </c>
      <c r="J219" s="674" t="str">
        <f>+'P15'!B46</f>
        <v>Para llevar a cabo el proyecto se estima la realización de mesas de trabajo virtuales,  la realización de talleres nacionales y regionales  virtuales y presenciales, realización de eventos de promoción y divulgación nacional, regional de manera presencial y virtual, viáticos y tiquetes de un consultor internacional, se estima la realizacion de 150 analisis de productos y mercadeo en 5 años, es decir 1 por subregion al año. estima recurso humano nacional  de 3 personas  con un salario promedio de $7.589.549 y 10 personas con recurso humano regional con un salario promedio de $4.857.310.   Se estiman 4 viajes nacionales, con sus viáticos. Se considera por presupuestar otros mecanismos de desarrollo</v>
      </c>
      <c r="K219" s="682">
        <f>+'P15'!Y9</f>
        <v>11062859229</v>
      </c>
    </row>
    <row r="220" spans="1:11" ht="108" customHeight="1">
      <c r="A220" s="674"/>
      <c r="B220" s="674"/>
      <c r="C220" s="674"/>
      <c r="D220" s="678"/>
      <c r="E220" s="675"/>
      <c r="F220" s="675"/>
      <c r="G220" s="673"/>
      <c r="H220" s="538" t="s">
        <v>1232</v>
      </c>
      <c r="I220" s="674"/>
      <c r="J220" s="674"/>
      <c r="K220" s="682"/>
    </row>
    <row r="221" spans="1:11" ht="45">
      <c r="A221" s="674"/>
      <c r="B221" s="674"/>
      <c r="C221" s="674"/>
      <c r="D221" s="678"/>
      <c r="E221" s="675"/>
      <c r="F221" s="675"/>
      <c r="G221" s="673"/>
      <c r="H221" s="538" t="s">
        <v>1233</v>
      </c>
      <c r="I221" s="674"/>
      <c r="J221" s="674"/>
      <c r="K221" s="682"/>
    </row>
    <row r="222" spans="1:11" ht="30">
      <c r="A222" s="674"/>
      <c r="B222" s="674"/>
      <c r="C222" s="674"/>
      <c r="D222" s="678"/>
      <c r="E222" s="675"/>
      <c r="F222" s="675"/>
      <c r="G222" s="673"/>
      <c r="H222" s="538" t="s">
        <v>1234</v>
      </c>
      <c r="I222" s="674"/>
      <c r="J222" s="674"/>
      <c r="K222" s="682"/>
    </row>
    <row r="223" spans="1:11" ht="30">
      <c r="A223" s="674"/>
      <c r="B223" s="674"/>
      <c r="C223" s="674"/>
      <c r="D223" s="678"/>
      <c r="E223" s="675"/>
      <c r="F223" s="675"/>
      <c r="G223" s="673"/>
      <c r="H223" s="540" t="s">
        <v>1235</v>
      </c>
      <c r="I223" s="674"/>
      <c r="J223" s="674"/>
      <c r="K223" s="682"/>
    </row>
    <row r="224" spans="1:11" ht="30">
      <c r="A224" s="674"/>
      <c r="B224" s="674"/>
      <c r="C224" s="674"/>
      <c r="D224" s="678"/>
      <c r="E224" s="675"/>
      <c r="F224" s="675"/>
      <c r="G224" s="673"/>
      <c r="H224" s="536" t="s">
        <v>1236</v>
      </c>
      <c r="I224" s="674"/>
      <c r="J224" s="674"/>
      <c r="K224" s="682"/>
    </row>
    <row r="225" spans="1:11" ht="30">
      <c r="A225" s="674" t="s">
        <v>1218</v>
      </c>
      <c r="B225" s="674" t="s">
        <v>1237</v>
      </c>
      <c r="C225" s="674" t="s">
        <v>1238</v>
      </c>
      <c r="D225" s="678" t="s">
        <v>1239</v>
      </c>
      <c r="E225" s="675" t="s">
        <v>1240</v>
      </c>
      <c r="F225" s="675" t="s">
        <v>1241</v>
      </c>
      <c r="G225" s="673" t="s">
        <v>1242</v>
      </c>
      <c r="H225" s="538" t="s">
        <v>1243</v>
      </c>
      <c r="I225" s="673" t="s">
        <v>1244</v>
      </c>
      <c r="J225" s="674" t="str">
        <f>+'P16'!B23</f>
        <v>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recurso humano  de 3 personas  con un salario promedio de $6.372.222.  Se considera por presupuestar otras formas de evaluación.</v>
      </c>
      <c r="K225" s="682">
        <f>+'P16'!Y9</f>
        <v>1561737296</v>
      </c>
    </row>
    <row r="226" spans="1:11" ht="30">
      <c r="A226" s="674"/>
      <c r="B226" s="674"/>
      <c r="C226" s="674"/>
      <c r="D226" s="678"/>
      <c r="E226" s="675"/>
      <c r="F226" s="675"/>
      <c r="G226" s="673"/>
      <c r="H226" s="538" t="s">
        <v>1245</v>
      </c>
      <c r="I226" s="673"/>
      <c r="J226" s="674"/>
      <c r="K226" s="682"/>
    </row>
    <row r="227" spans="1:11" ht="30">
      <c r="A227" s="674"/>
      <c r="B227" s="674"/>
      <c r="C227" s="674"/>
      <c r="D227" s="678"/>
      <c r="E227" s="675"/>
      <c r="F227" s="675"/>
      <c r="G227" s="673"/>
      <c r="H227" s="538" t="s">
        <v>1246</v>
      </c>
      <c r="I227" s="673"/>
      <c r="J227" s="674"/>
      <c r="K227" s="682"/>
    </row>
    <row r="228" spans="1:11" ht="30">
      <c r="A228" s="674"/>
      <c r="B228" s="674"/>
      <c r="C228" s="674"/>
      <c r="D228" s="678"/>
      <c r="E228" s="675"/>
      <c r="F228" s="675"/>
      <c r="G228" s="673"/>
      <c r="H228" s="538" t="s">
        <v>1247</v>
      </c>
      <c r="I228" s="673"/>
      <c r="J228" s="674"/>
      <c r="K228" s="682"/>
    </row>
    <row r="229" spans="1:11" ht="30">
      <c r="A229" s="674"/>
      <c r="B229" s="674"/>
      <c r="C229" s="674"/>
      <c r="D229" s="678"/>
      <c r="E229" s="675"/>
      <c r="F229" s="675"/>
      <c r="G229" s="673"/>
      <c r="H229" s="538" t="s">
        <v>1248</v>
      </c>
      <c r="I229" s="673"/>
      <c r="J229" s="674"/>
      <c r="K229" s="682"/>
    </row>
    <row r="230" spans="1:11" ht="30">
      <c r="A230" s="674"/>
      <c r="B230" s="674"/>
      <c r="C230" s="674"/>
      <c r="D230" s="678"/>
      <c r="E230" s="675"/>
      <c r="F230" s="675"/>
      <c r="G230" s="673"/>
      <c r="H230" s="540" t="s">
        <v>1249</v>
      </c>
      <c r="I230" s="673"/>
      <c r="J230" s="674"/>
      <c r="K230" s="682"/>
    </row>
    <row r="231" spans="1:11" ht="30">
      <c r="A231" s="674"/>
      <c r="B231" s="674"/>
      <c r="C231" s="674"/>
      <c r="D231" s="678"/>
      <c r="E231" s="675"/>
      <c r="F231" s="675"/>
      <c r="G231" s="673"/>
      <c r="H231" s="538" t="s">
        <v>1250</v>
      </c>
      <c r="I231" s="673"/>
      <c r="J231" s="674"/>
      <c r="K231" s="682"/>
    </row>
    <row r="232" spans="1:11" ht="30">
      <c r="A232" s="674" t="s">
        <v>1218</v>
      </c>
      <c r="B232" s="674" t="s">
        <v>1237</v>
      </c>
      <c r="C232" s="674" t="s">
        <v>1238</v>
      </c>
      <c r="D232" s="678" t="s">
        <v>1251</v>
      </c>
      <c r="E232" s="675" t="s">
        <v>1252</v>
      </c>
      <c r="F232" s="675" t="s">
        <v>1253</v>
      </c>
      <c r="G232" s="673" t="s">
        <v>1727</v>
      </c>
      <c r="H232" s="538" t="s">
        <v>1254</v>
      </c>
      <c r="I232" s="673" t="s">
        <v>1255</v>
      </c>
      <c r="J232" s="674" t="str">
        <f>+'P16'!B34</f>
        <v>Para llevar a cabo el proyecto se estima la realización de mesas de trabajo institucionales virtuales y presenciales por región, la realización de talleres nacionales y regionales  virtuales. Se estima recurso humano  de 2 personas  con un salario promedio de $6.982.386. Se considera por presupuestar otras formas de evaluación y de socialización.</v>
      </c>
      <c r="K232" s="682">
        <f>+'P16'!Y10</f>
        <v>429554528</v>
      </c>
    </row>
    <row r="233" spans="1:11" ht="75" customHeight="1">
      <c r="A233" s="674"/>
      <c r="B233" s="674"/>
      <c r="C233" s="674"/>
      <c r="D233" s="678"/>
      <c r="E233" s="675"/>
      <c r="F233" s="675"/>
      <c r="G233" s="673"/>
      <c r="H233" s="538" t="s">
        <v>1256</v>
      </c>
      <c r="I233" s="673"/>
      <c r="J233" s="674"/>
      <c r="K233" s="682"/>
    </row>
    <row r="234" spans="1:11" ht="30">
      <c r="A234" s="674"/>
      <c r="B234" s="674"/>
      <c r="C234" s="674"/>
      <c r="D234" s="678"/>
      <c r="E234" s="675"/>
      <c r="F234" s="675"/>
      <c r="G234" s="673"/>
      <c r="H234" s="538" t="s">
        <v>1257</v>
      </c>
      <c r="I234" s="673"/>
      <c r="J234" s="674"/>
      <c r="K234" s="682"/>
    </row>
    <row r="235" spans="1:11" ht="30">
      <c r="A235" s="674"/>
      <c r="B235" s="674"/>
      <c r="C235" s="674"/>
      <c r="D235" s="678"/>
      <c r="E235" s="675"/>
      <c r="F235" s="675"/>
      <c r="G235" s="673"/>
      <c r="H235" s="538" t="s">
        <v>1719</v>
      </c>
      <c r="I235" s="673"/>
      <c r="J235" s="674"/>
      <c r="K235" s="682"/>
    </row>
    <row r="236" spans="1:11" ht="30">
      <c r="A236" s="674" t="s">
        <v>1218</v>
      </c>
      <c r="B236" s="674" t="s">
        <v>1237</v>
      </c>
      <c r="C236" s="674" t="s">
        <v>1258</v>
      </c>
      <c r="D236" s="678" t="s">
        <v>1259</v>
      </c>
      <c r="E236" s="675" t="s">
        <v>1260</v>
      </c>
      <c r="F236" s="675" t="s">
        <v>1261</v>
      </c>
      <c r="G236" s="673" t="s">
        <v>1262</v>
      </c>
      <c r="H236" s="538" t="s">
        <v>1263</v>
      </c>
      <c r="I236" s="673" t="s">
        <v>1264</v>
      </c>
      <c r="J236" s="674" t="str">
        <f>+'P17'!B32</f>
        <v>Para llevar a cabo el proyecto se estima la realización de mesas de trabajo institucionales virtuales y presenciales por región. Los viáticos y tiquetes, la realización de talleres nacionales y regionales  virtuales y presenciales, realización de eventos de promoción y divulgación nacional, regional de manera presencial y virtual , 1 campaña institucional, matarial promocional. Se estima recurso humano  de 5 personas  con un salario promedio de $6.982.386.   Se estiman 10 viajes nacionales, con sus viáticos.  se estima recurso humano subregional con sus desplazamientos.Se estima el fortalecimiento de laboratorios, dos por región al finalizar el plan, también se estima un ICR del 20%.  Se estima un valor global de 5.500 mill para fortalecer la IVC para residuos de medicamentos y contaminantes en leche. Se considera por presupuestar  la necesidad de tercerización u otras estrategias para fortalecer la capacidad operativa de la entidad y otros mecanismos de fortalecimiento.</v>
      </c>
      <c r="K236" s="682">
        <f>+'P17'!Y8</f>
        <v>148240623100</v>
      </c>
    </row>
    <row r="237" spans="1:11">
      <c r="A237" s="674"/>
      <c r="B237" s="674"/>
      <c r="C237" s="674"/>
      <c r="D237" s="678"/>
      <c r="E237" s="675"/>
      <c r="F237" s="675"/>
      <c r="G237" s="673"/>
      <c r="H237" s="538" t="s">
        <v>1265</v>
      </c>
      <c r="I237" s="673"/>
      <c r="J237" s="674"/>
      <c r="K237" s="682"/>
    </row>
    <row r="238" spans="1:11" ht="45">
      <c r="A238" s="674"/>
      <c r="B238" s="674"/>
      <c r="C238" s="674"/>
      <c r="D238" s="678"/>
      <c r="E238" s="675"/>
      <c r="F238" s="675"/>
      <c r="G238" s="673"/>
      <c r="H238" s="538" t="s">
        <v>1266</v>
      </c>
      <c r="I238" s="673"/>
      <c r="J238" s="674"/>
      <c r="K238" s="682"/>
    </row>
    <row r="239" spans="1:11" ht="45">
      <c r="A239" s="674"/>
      <c r="B239" s="674"/>
      <c r="C239" s="674"/>
      <c r="D239" s="678"/>
      <c r="E239" s="675"/>
      <c r="F239" s="675"/>
      <c r="G239" s="673"/>
      <c r="H239" s="538" t="s">
        <v>1267</v>
      </c>
      <c r="I239" s="673"/>
      <c r="J239" s="674"/>
      <c r="K239" s="682"/>
    </row>
    <row r="240" spans="1:11" ht="60">
      <c r="A240" s="674"/>
      <c r="B240" s="674"/>
      <c r="C240" s="674"/>
      <c r="D240" s="678"/>
      <c r="E240" s="675"/>
      <c r="F240" s="675"/>
      <c r="G240" s="673"/>
      <c r="H240" s="538" t="s">
        <v>1268</v>
      </c>
      <c r="I240" s="673"/>
      <c r="J240" s="674"/>
      <c r="K240" s="682"/>
    </row>
    <row r="241" spans="1:11" ht="30">
      <c r="A241" s="674"/>
      <c r="B241" s="674"/>
      <c r="C241" s="674"/>
      <c r="D241" s="678"/>
      <c r="E241" s="675"/>
      <c r="F241" s="675"/>
      <c r="G241" s="673"/>
      <c r="H241" s="538" t="s">
        <v>1269</v>
      </c>
      <c r="I241" s="673"/>
      <c r="J241" s="674"/>
      <c r="K241" s="682"/>
    </row>
    <row r="242" spans="1:11" ht="37.5" customHeight="1">
      <c r="A242" s="674"/>
      <c r="B242" s="674"/>
      <c r="C242" s="674"/>
      <c r="D242" s="678"/>
      <c r="E242" s="675"/>
      <c r="F242" s="675"/>
      <c r="G242" s="673"/>
      <c r="H242" s="538" t="s">
        <v>1270</v>
      </c>
      <c r="I242" s="673"/>
      <c r="J242" s="674"/>
      <c r="K242" s="682"/>
    </row>
    <row r="243" spans="1:11">
      <c r="A243" s="674"/>
      <c r="B243" s="674"/>
      <c r="C243" s="674"/>
      <c r="D243" s="678"/>
      <c r="E243" s="675"/>
      <c r="F243" s="675"/>
      <c r="G243" s="673"/>
      <c r="H243" s="538" t="s">
        <v>1271</v>
      </c>
      <c r="I243" s="673"/>
      <c r="J243" s="674"/>
      <c r="K243" s="682"/>
    </row>
    <row r="244" spans="1:11" ht="45">
      <c r="A244" s="674"/>
      <c r="B244" s="674"/>
      <c r="C244" s="674"/>
      <c r="D244" s="678"/>
      <c r="E244" s="675"/>
      <c r="F244" s="675"/>
      <c r="G244" s="673"/>
      <c r="H244" s="540" t="s">
        <v>1272</v>
      </c>
      <c r="I244" s="673"/>
      <c r="J244" s="674"/>
      <c r="K244" s="682"/>
    </row>
    <row r="245" spans="1:11" ht="30">
      <c r="A245" s="674"/>
      <c r="B245" s="674"/>
      <c r="C245" s="674"/>
      <c r="D245" s="678"/>
      <c r="E245" s="675"/>
      <c r="F245" s="675"/>
      <c r="G245" s="673"/>
      <c r="H245" s="540" t="s">
        <v>1273</v>
      </c>
      <c r="I245" s="673"/>
      <c r="J245" s="674"/>
      <c r="K245" s="682"/>
    </row>
    <row r="246" spans="1:11" ht="59.25" customHeight="1">
      <c r="A246" s="674"/>
      <c r="B246" s="674"/>
      <c r="C246" s="674"/>
      <c r="D246" s="678"/>
      <c r="E246" s="675"/>
      <c r="F246" s="675"/>
      <c r="G246" s="673"/>
      <c r="H246" s="540" t="s">
        <v>1274</v>
      </c>
      <c r="I246" s="673"/>
      <c r="J246" s="674"/>
      <c r="K246" s="682"/>
    </row>
    <row r="247" spans="1:11" ht="52.5" customHeight="1">
      <c r="A247" s="674" t="s">
        <v>1218</v>
      </c>
      <c r="B247" s="674" t="s">
        <v>1275</v>
      </c>
      <c r="C247" s="674" t="s">
        <v>1276</v>
      </c>
      <c r="D247" s="678" t="s">
        <v>1277</v>
      </c>
      <c r="E247" s="675" t="s">
        <v>1278</v>
      </c>
      <c r="F247" s="675" t="s">
        <v>1279</v>
      </c>
      <c r="G247" s="673" t="s">
        <v>1280</v>
      </c>
      <c r="H247" s="538" t="s">
        <v>1281</v>
      </c>
      <c r="I247" s="673" t="s">
        <v>1282</v>
      </c>
      <c r="J247" s="674" t="str">
        <f>+'P18'!B32</f>
        <v>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desplazamiento del equipo humano, se estima 10 cursos libres virtuales por región,  se estiman la realización de 200 cursos libres, es decir 20 por región, 10 diplomados por región, 2 personas por región para realizar maestría, y 10 personas para realizar doctorado, una por región.Se estima recurso humano  de 5 personas  con un salario promedio de $10.018.207.  Por presupuestar otros mecanismos de concertación y diseño.</v>
      </c>
      <c r="K247" s="682">
        <f>+'P18'!Y8</f>
        <v>21065565800</v>
      </c>
    </row>
    <row r="248" spans="1:11" ht="60">
      <c r="A248" s="674"/>
      <c r="B248" s="674"/>
      <c r="C248" s="674"/>
      <c r="D248" s="678"/>
      <c r="E248" s="675"/>
      <c r="F248" s="675"/>
      <c r="G248" s="673"/>
      <c r="H248" s="538" t="s">
        <v>1283</v>
      </c>
      <c r="I248" s="673"/>
      <c r="J248" s="674"/>
      <c r="K248" s="682"/>
    </row>
    <row r="249" spans="1:11" ht="30">
      <c r="A249" s="674"/>
      <c r="B249" s="674"/>
      <c r="C249" s="674"/>
      <c r="D249" s="678"/>
      <c r="E249" s="675"/>
      <c r="F249" s="675"/>
      <c r="G249" s="673"/>
      <c r="H249" s="538" t="s">
        <v>1284</v>
      </c>
      <c r="I249" s="673"/>
      <c r="J249" s="674"/>
      <c r="K249" s="682"/>
    </row>
    <row r="250" spans="1:11" ht="45">
      <c r="A250" s="674"/>
      <c r="B250" s="674"/>
      <c r="C250" s="674"/>
      <c r="D250" s="678"/>
      <c r="E250" s="675"/>
      <c r="F250" s="675"/>
      <c r="G250" s="673"/>
      <c r="H250" s="538" t="s">
        <v>1285</v>
      </c>
      <c r="I250" s="673"/>
      <c r="J250" s="674"/>
      <c r="K250" s="682"/>
    </row>
    <row r="251" spans="1:11" ht="45">
      <c r="A251" s="674"/>
      <c r="B251" s="674"/>
      <c r="C251" s="674"/>
      <c r="D251" s="678"/>
      <c r="E251" s="675"/>
      <c r="F251" s="675"/>
      <c r="G251" s="673"/>
      <c r="H251" s="538" t="s">
        <v>1286</v>
      </c>
      <c r="I251" s="673"/>
      <c r="J251" s="674"/>
      <c r="K251" s="682"/>
    </row>
    <row r="252" spans="1:11">
      <c r="A252" s="674"/>
      <c r="B252" s="674"/>
      <c r="C252" s="674"/>
      <c r="D252" s="678"/>
      <c r="E252" s="675"/>
      <c r="F252" s="675"/>
      <c r="G252" s="673"/>
      <c r="H252" s="538" t="s">
        <v>1287</v>
      </c>
      <c r="I252" s="673"/>
      <c r="J252" s="674"/>
      <c r="K252" s="682"/>
    </row>
    <row r="253" spans="1:11" ht="42.75" customHeight="1">
      <c r="A253" s="674"/>
      <c r="B253" s="674"/>
      <c r="C253" s="674"/>
      <c r="D253" s="678"/>
      <c r="E253" s="675"/>
      <c r="F253" s="675"/>
      <c r="G253" s="673"/>
      <c r="H253" s="538" t="s">
        <v>1288</v>
      </c>
      <c r="I253" s="673"/>
      <c r="J253" s="674"/>
      <c r="K253" s="682"/>
    </row>
    <row r="254" spans="1:11">
      <c r="A254" s="674"/>
      <c r="B254" s="674"/>
      <c r="C254" s="674"/>
      <c r="D254" s="678"/>
      <c r="E254" s="675"/>
      <c r="F254" s="675"/>
      <c r="G254" s="673"/>
      <c r="H254" s="538" t="s">
        <v>1289</v>
      </c>
      <c r="I254" s="673"/>
      <c r="J254" s="674"/>
      <c r="K254" s="682"/>
    </row>
    <row r="255" spans="1:11" ht="45">
      <c r="A255" s="674" t="s">
        <v>1218</v>
      </c>
      <c r="B255" s="674" t="s">
        <v>1275</v>
      </c>
      <c r="C255" s="674" t="s">
        <v>1276</v>
      </c>
      <c r="D255" s="678" t="s">
        <v>1290</v>
      </c>
      <c r="E255" s="675" t="s">
        <v>1291</v>
      </c>
      <c r="F255" s="675" t="s">
        <v>1046</v>
      </c>
      <c r="G255" s="673" t="s">
        <v>1292</v>
      </c>
      <c r="H255" s="538" t="s">
        <v>1704</v>
      </c>
      <c r="I255" s="673" t="s">
        <v>1293</v>
      </c>
      <c r="J255" s="674" t="str">
        <f>+'P18'!B49</f>
        <v>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campaña institucional, material promocional. Se estima recurso humano  de 4 personas  con un salario promedio de $8.652.088.   Se estiman 8 viajes nacionales, con sus viáticos y por presupuestar otros mecanismos de diseño y puesta en marcha.</v>
      </c>
      <c r="K255" s="682">
        <f>+'P18'!Y9</f>
        <v>11208785680</v>
      </c>
    </row>
    <row r="256" spans="1:11" ht="30">
      <c r="A256" s="674"/>
      <c r="B256" s="674"/>
      <c r="C256" s="674"/>
      <c r="D256" s="678"/>
      <c r="E256" s="675"/>
      <c r="F256" s="675"/>
      <c r="G256" s="673"/>
      <c r="H256" s="538" t="s">
        <v>1294</v>
      </c>
      <c r="I256" s="673"/>
      <c r="J256" s="674"/>
      <c r="K256" s="682"/>
    </row>
    <row r="257" spans="1:27">
      <c r="A257" s="674"/>
      <c r="B257" s="674"/>
      <c r="C257" s="674"/>
      <c r="D257" s="678"/>
      <c r="E257" s="675"/>
      <c r="F257" s="675"/>
      <c r="G257" s="673"/>
      <c r="H257" s="538" t="s">
        <v>1295</v>
      </c>
      <c r="I257" s="673"/>
      <c r="J257" s="674"/>
      <c r="K257" s="682"/>
    </row>
    <row r="258" spans="1:27" ht="33.75" customHeight="1">
      <c r="A258" s="674" t="s">
        <v>1218</v>
      </c>
      <c r="B258" s="674" t="s">
        <v>1275</v>
      </c>
      <c r="C258" s="674" t="s">
        <v>1276</v>
      </c>
      <c r="D258" s="678" t="s">
        <v>1296</v>
      </c>
      <c r="E258" s="675"/>
      <c r="F258" s="675"/>
      <c r="G258" s="673" t="s">
        <v>1297</v>
      </c>
      <c r="H258" s="538" t="s">
        <v>1298</v>
      </c>
      <c r="I258" s="673" t="s">
        <v>1299</v>
      </c>
      <c r="J258" s="674" t="str">
        <f>+'P18'!B62</f>
        <v>Para llevar a cabo el proyecto se estima la realización de mesas de trabajo institucionales virtuales y presenciales por región, la realización de talleres nacionales y regionales  virtuales y presenciales, realización de eventos de promoción y divulgación nacional, regional de manera presencial y virtual.  Se estima recurso humano  de 4 personas  con un salario promedio de $5.464.476.   Por presupuestar otros mecanismos de fortalecimiento.</v>
      </c>
      <c r="K258" s="682">
        <f>+'P18'!Y10</f>
        <v>6732159840</v>
      </c>
    </row>
    <row r="259" spans="1:27">
      <c r="A259" s="674"/>
      <c r="B259" s="674"/>
      <c r="C259" s="674"/>
      <c r="D259" s="678"/>
      <c r="E259" s="675"/>
      <c r="F259" s="675"/>
      <c r="G259" s="673"/>
      <c r="H259" s="538" t="s">
        <v>1300</v>
      </c>
      <c r="I259" s="673"/>
      <c r="J259" s="674"/>
      <c r="K259" s="682"/>
    </row>
    <row r="260" spans="1:27" ht="70.5" customHeight="1">
      <c r="A260" s="674"/>
      <c r="B260" s="674"/>
      <c r="C260" s="674"/>
      <c r="D260" s="678"/>
      <c r="E260" s="675"/>
      <c r="F260" s="675"/>
      <c r="G260" s="673"/>
      <c r="H260" s="538" t="s">
        <v>1301</v>
      </c>
      <c r="I260" s="673"/>
      <c r="J260" s="674"/>
      <c r="K260" s="682"/>
    </row>
    <row r="261" spans="1:27" ht="45.75" customHeight="1">
      <c r="A261" s="674"/>
      <c r="B261" s="674"/>
      <c r="C261" s="674"/>
      <c r="D261" s="678"/>
      <c r="E261" s="675"/>
      <c r="F261" s="675"/>
      <c r="G261" s="673"/>
      <c r="H261" s="538" t="s">
        <v>1302</v>
      </c>
      <c r="I261" s="673"/>
      <c r="J261" s="674"/>
      <c r="K261" s="682"/>
    </row>
    <row r="262" spans="1:27" ht="38.1" customHeight="1">
      <c r="K262" s="529">
        <f>SUM(K2:K261)</f>
        <v>2756182660806.564</v>
      </c>
    </row>
    <row r="268" spans="1:27" s="523" customFormat="1">
      <c r="A268" s="522"/>
      <c r="C268" s="524"/>
      <c r="D268" s="525"/>
      <c r="E268" s="526"/>
      <c r="F268" s="526"/>
      <c r="G268" s="524"/>
      <c r="H268" s="527"/>
      <c r="I268" s="527"/>
      <c r="J268" s="528"/>
      <c r="K268" s="530"/>
      <c r="L268" s="519"/>
      <c r="M268" s="519"/>
      <c r="N268" s="521"/>
      <c r="O268" s="519"/>
      <c r="P268" s="519"/>
      <c r="Q268" s="519"/>
      <c r="R268" s="519"/>
      <c r="S268" s="519"/>
      <c r="T268" s="519"/>
      <c r="U268" s="519"/>
      <c r="V268" s="519"/>
      <c r="W268" s="519"/>
      <c r="X268" s="519"/>
      <c r="Y268" s="519"/>
      <c r="Z268" s="519"/>
      <c r="AA268" s="519"/>
    </row>
    <row r="269" spans="1:27" s="523" customFormat="1">
      <c r="A269" s="522"/>
      <c r="C269" s="524"/>
      <c r="D269" s="525"/>
      <c r="E269" s="526"/>
      <c r="F269" s="526"/>
      <c r="G269" s="524"/>
      <c r="H269" s="527"/>
      <c r="I269" s="527"/>
      <c r="J269" s="528"/>
      <c r="K269" s="530"/>
      <c r="L269" s="519"/>
      <c r="M269" s="519"/>
      <c r="N269" s="521"/>
      <c r="O269" s="519"/>
      <c r="P269" s="519"/>
      <c r="Q269" s="519"/>
      <c r="R269" s="519"/>
      <c r="S269" s="519"/>
      <c r="T269" s="519"/>
      <c r="U269" s="519"/>
      <c r="V269" s="519"/>
      <c r="W269" s="519"/>
      <c r="X269" s="519"/>
      <c r="Y269" s="519"/>
      <c r="Z269" s="519"/>
      <c r="AA269" s="519"/>
    </row>
    <row r="270" spans="1:27" s="523" customFormat="1">
      <c r="A270" s="522"/>
      <c r="C270" s="524"/>
      <c r="D270" s="525"/>
      <c r="E270" s="526"/>
      <c r="F270" s="526"/>
      <c r="G270" s="524"/>
      <c r="H270" s="527"/>
      <c r="I270" s="527"/>
      <c r="J270" s="528"/>
      <c r="K270" s="530"/>
      <c r="L270" s="519"/>
      <c r="M270" s="519"/>
      <c r="N270" s="521"/>
      <c r="O270" s="519"/>
      <c r="P270" s="519"/>
      <c r="Q270" s="519"/>
      <c r="R270" s="519"/>
      <c r="S270" s="519"/>
      <c r="T270" s="519"/>
      <c r="U270" s="519"/>
      <c r="V270" s="519"/>
      <c r="W270" s="519"/>
      <c r="X270" s="519"/>
      <c r="Y270" s="519"/>
      <c r="Z270" s="519"/>
      <c r="AA270" s="519"/>
    </row>
    <row r="271" spans="1:27" s="523" customFormat="1">
      <c r="A271" s="522"/>
      <c r="C271" s="524"/>
      <c r="D271" s="525"/>
      <c r="E271" s="526"/>
      <c r="F271" s="526"/>
      <c r="G271" s="524"/>
      <c r="H271" s="527"/>
      <c r="I271" s="527"/>
      <c r="J271" s="528"/>
      <c r="K271" s="530"/>
      <c r="L271" s="519"/>
      <c r="M271" s="519"/>
      <c r="N271" s="521"/>
      <c r="O271" s="519"/>
      <c r="P271" s="519"/>
      <c r="Q271" s="519"/>
      <c r="R271" s="519"/>
      <c r="S271" s="519"/>
      <c r="T271" s="519"/>
      <c r="U271" s="519"/>
      <c r="V271" s="519"/>
      <c r="W271" s="519"/>
      <c r="X271" s="519"/>
      <c r="Y271" s="519"/>
      <c r="Z271" s="519"/>
      <c r="AA271" s="519"/>
    </row>
    <row r="272" spans="1:27" s="523" customFormat="1">
      <c r="A272" s="522"/>
      <c r="C272" s="524"/>
      <c r="D272" s="525"/>
      <c r="E272" s="526"/>
      <c r="F272" s="526"/>
      <c r="G272" s="524"/>
      <c r="H272" s="527"/>
      <c r="I272" s="527"/>
      <c r="J272" s="528"/>
      <c r="K272" s="530"/>
      <c r="L272" s="519"/>
      <c r="M272" s="519"/>
      <c r="N272" s="521"/>
      <c r="O272" s="519"/>
      <c r="P272" s="519"/>
      <c r="Q272" s="519"/>
      <c r="R272" s="519"/>
      <c r="S272" s="519"/>
      <c r="T272" s="519"/>
      <c r="U272" s="519"/>
      <c r="V272" s="519"/>
      <c r="W272" s="519"/>
      <c r="X272" s="519"/>
      <c r="Y272" s="519"/>
      <c r="Z272" s="519"/>
      <c r="AA272" s="519"/>
    </row>
    <row r="273" spans="1:27" s="523" customFormat="1">
      <c r="A273" s="522"/>
      <c r="C273" s="524"/>
      <c r="D273" s="525"/>
      <c r="E273" s="526"/>
      <c r="F273" s="526"/>
      <c r="G273" s="524"/>
      <c r="H273" s="527"/>
      <c r="I273" s="527"/>
      <c r="J273" s="528"/>
      <c r="K273" s="530"/>
      <c r="L273" s="519"/>
      <c r="M273" s="519"/>
      <c r="N273" s="521"/>
      <c r="O273" s="519"/>
      <c r="P273" s="519"/>
      <c r="Q273" s="519"/>
      <c r="R273" s="519"/>
      <c r="S273" s="519"/>
      <c r="T273" s="519"/>
      <c r="U273" s="519"/>
      <c r="V273" s="519"/>
      <c r="W273" s="519"/>
      <c r="X273" s="519"/>
      <c r="Y273" s="519"/>
      <c r="Z273" s="519"/>
      <c r="AA273" s="519"/>
    </row>
    <row r="274" spans="1:27" s="523" customFormat="1">
      <c r="A274" s="522"/>
      <c r="C274" s="524"/>
      <c r="D274" s="525"/>
      <c r="E274" s="526"/>
      <c r="F274" s="526"/>
      <c r="G274" s="524"/>
      <c r="H274" s="527"/>
      <c r="I274" s="527"/>
      <c r="J274" s="528"/>
      <c r="K274" s="530"/>
      <c r="L274" s="519"/>
      <c r="M274" s="519"/>
      <c r="N274" s="521"/>
      <c r="O274" s="519"/>
      <c r="P274" s="519"/>
      <c r="Q274" s="519"/>
      <c r="R274" s="519"/>
      <c r="S274" s="519"/>
      <c r="T274" s="519"/>
      <c r="U274" s="519"/>
      <c r="V274" s="519"/>
      <c r="W274" s="519"/>
      <c r="X274" s="519"/>
      <c r="Y274" s="519"/>
      <c r="Z274" s="519"/>
      <c r="AA274" s="519"/>
    </row>
    <row r="275" spans="1:27" s="523" customFormat="1">
      <c r="A275" s="522"/>
      <c r="C275" s="524"/>
      <c r="D275" s="525"/>
      <c r="E275" s="526"/>
      <c r="F275" s="526"/>
      <c r="G275" s="524"/>
      <c r="H275" s="527"/>
      <c r="I275" s="527"/>
      <c r="J275" s="528"/>
      <c r="K275" s="530"/>
      <c r="L275" s="519"/>
      <c r="M275" s="519"/>
      <c r="N275" s="521"/>
      <c r="O275" s="519"/>
      <c r="P275" s="519"/>
      <c r="Q275" s="519"/>
      <c r="R275" s="519"/>
      <c r="S275" s="519"/>
      <c r="T275" s="519"/>
      <c r="U275" s="519"/>
      <c r="V275" s="519"/>
      <c r="W275" s="519"/>
      <c r="X275" s="519"/>
      <c r="Y275" s="519"/>
      <c r="Z275" s="519"/>
      <c r="AA275" s="519"/>
    </row>
    <row r="276" spans="1:27" s="523" customFormat="1">
      <c r="A276" s="522"/>
      <c r="C276" s="524"/>
      <c r="D276" s="525"/>
      <c r="E276" s="526"/>
      <c r="F276" s="526"/>
      <c r="G276" s="524"/>
      <c r="H276" s="527"/>
      <c r="I276" s="527"/>
      <c r="J276" s="528"/>
      <c r="K276" s="530"/>
      <c r="L276" s="519"/>
      <c r="M276" s="519"/>
      <c r="N276" s="521"/>
      <c r="O276" s="519"/>
      <c r="P276" s="519"/>
      <c r="Q276" s="519"/>
      <c r="R276" s="519"/>
      <c r="S276" s="519"/>
      <c r="T276" s="519"/>
      <c r="U276" s="519"/>
      <c r="V276" s="519"/>
      <c r="W276" s="519"/>
      <c r="X276" s="519"/>
      <c r="Y276" s="519"/>
      <c r="Z276" s="519"/>
      <c r="AA276" s="519"/>
    </row>
    <row r="277" spans="1:27" s="523" customFormat="1">
      <c r="A277" s="522"/>
      <c r="C277" s="524"/>
      <c r="D277" s="525"/>
      <c r="E277" s="526"/>
      <c r="F277" s="526"/>
      <c r="G277" s="524"/>
      <c r="H277" s="527"/>
      <c r="I277" s="527"/>
      <c r="J277" s="528"/>
      <c r="K277" s="530"/>
      <c r="L277" s="519"/>
      <c r="M277" s="519"/>
      <c r="N277" s="521"/>
      <c r="O277" s="519"/>
      <c r="P277" s="519"/>
      <c r="Q277" s="519"/>
      <c r="R277" s="519"/>
      <c r="S277" s="519"/>
      <c r="T277" s="519"/>
      <c r="U277" s="519"/>
      <c r="V277" s="519"/>
      <c r="W277" s="519"/>
      <c r="X277" s="519"/>
      <c r="Y277" s="519"/>
      <c r="Z277" s="519"/>
      <c r="AA277" s="519"/>
    </row>
    <row r="278" spans="1:27" s="523" customFormat="1">
      <c r="A278" s="522"/>
      <c r="C278" s="524"/>
      <c r="D278" s="525"/>
      <c r="E278" s="526"/>
      <c r="F278" s="526"/>
      <c r="G278" s="524"/>
      <c r="H278" s="527"/>
      <c r="I278" s="527"/>
      <c r="J278" s="528"/>
      <c r="K278" s="530"/>
      <c r="L278" s="519"/>
      <c r="M278" s="519"/>
      <c r="N278" s="521"/>
      <c r="O278" s="519"/>
      <c r="P278" s="519"/>
      <c r="Q278" s="519"/>
      <c r="R278" s="519"/>
      <c r="S278" s="519"/>
      <c r="T278" s="519"/>
      <c r="U278" s="519"/>
      <c r="V278" s="519"/>
      <c r="W278" s="519"/>
      <c r="X278" s="519"/>
      <c r="Y278" s="519"/>
      <c r="Z278" s="519"/>
      <c r="AA278" s="519"/>
    </row>
    <row r="279" spans="1:27" s="523" customFormat="1">
      <c r="A279" s="522"/>
      <c r="C279" s="524"/>
      <c r="D279" s="525"/>
      <c r="E279" s="526"/>
      <c r="F279" s="526"/>
      <c r="G279" s="524"/>
      <c r="H279" s="527"/>
      <c r="I279" s="527"/>
      <c r="J279" s="528"/>
      <c r="K279" s="530"/>
      <c r="L279" s="519"/>
      <c r="M279" s="519"/>
      <c r="N279" s="521"/>
      <c r="O279" s="519"/>
      <c r="P279" s="519"/>
      <c r="Q279" s="519"/>
      <c r="R279" s="519"/>
      <c r="S279" s="519"/>
      <c r="T279" s="519"/>
      <c r="U279" s="519"/>
      <c r="V279" s="519"/>
      <c r="W279" s="519"/>
      <c r="X279" s="519"/>
      <c r="Y279" s="519"/>
      <c r="Z279" s="519"/>
      <c r="AA279" s="519"/>
    </row>
    <row r="280" spans="1:27" s="523" customFormat="1">
      <c r="A280" s="522"/>
      <c r="C280" s="524"/>
      <c r="D280" s="525"/>
      <c r="E280" s="526"/>
      <c r="F280" s="526"/>
      <c r="G280" s="524"/>
      <c r="H280" s="527"/>
      <c r="I280" s="527"/>
      <c r="J280" s="528"/>
      <c r="K280" s="530"/>
      <c r="L280" s="519"/>
      <c r="M280" s="519"/>
      <c r="N280" s="521"/>
      <c r="O280" s="519"/>
      <c r="P280" s="519"/>
      <c r="Q280" s="519"/>
      <c r="R280" s="519"/>
      <c r="S280" s="519"/>
      <c r="T280" s="519"/>
      <c r="U280" s="519"/>
      <c r="V280" s="519"/>
      <c r="W280" s="519"/>
      <c r="X280" s="519"/>
      <c r="Y280" s="519"/>
      <c r="Z280" s="519"/>
      <c r="AA280" s="519"/>
    </row>
    <row r="281" spans="1:27" s="523" customFormat="1">
      <c r="A281" s="522"/>
      <c r="C281" s="524"/>
      <c r="D281" s="525"/>
      <c r="E281" s="526"/>
      <c r="F281" s="526"/>
      <c r="G281" s="524"/>
      <c r="H281" s="527"/>
      <c r="I281" s="527"/>
      <c r="J281" s="528"/>
      <c r="K281" s="530"/>
      <c r="L281" s="519"/>
      <c r="M281" s="519"/>
      <c r="N281" s="521"/>
      <c r="O281" s="519"/>
      <c r="P281" s="519"/>
      <c r="Q281" s="519"/>
      <c r="R281" s="519"/>
      <c r="S281" s="519"/>
      <c r="T281" s="519"/>
      <c r="U281" s="519"/>
      <c r="V281" s="519"/>
      <c r="W281" s="519"/>
      <c r="X281" s="519"/>
      <c r="Y281" s="519"/>
      <c r="Z281" s="519"/>
      <c r="AA281" s="519"/>
    </row>
    <row r="282" spans="1:27" s="523" customFormat="1">
      <c r="A282" s="522"/>
      <c r="C282" s="524"/>
      <c r="D282" s="525"/>
      <c r="E282" s="526"/>
      <c r="F282" s="526"/>
      <c r="G282" s="524"/>
      <c r="H282" s="527"/>
      <c r="I282" s="527"/>
      <c r="J282" s="528"/>
      <c r="K282" s="530"/>
      <c r="L282" s="519"/>
      <c r="M282" s="519"/>
      <c r="N282" s="521"/>
      <c r="O282" s="519"/>
      <c r="P282" s="519"/>
      <c r="Q282" s="519"/>
      <c r="R282" s="519"/>
      <c r="S282" s="519"/>
      <c r="T282" s="519"/>
      <c r="U282" s="519"/>
      <c r="V282" s="519"/>
      <c r="W282" s="519"/>
      <c r="X282" s="519"/>
      <c r="Y282" s="519"/>
      <c r="Z282" s="519"/>
      <c r="AA282" s="519"/>
    </row>
    <row r="283" spans="1:27" s="523" customFormat="1">
      <c r="A283" s="522"/>
      <c r="C283" s="524"/>
      <c r="D283" s="525"/>
      <c r="E283" s="526"/>
      <c r="F283" s="526"/>
      <c r="G283" s="524"/>
      <c r="H283" s="527"/>
      <c r="I283" s="527"/>
      <c r="J283" s="528"/>
      <c r="K283" s="530"/>
      <c r="L283" s="519"/>
      <c r="M283" s="519"/>
      <c r="N283" s="521"/>
      <c r="O283" s="519"/>
      <c r="P283" s="519"/>
      <c r="Q283" s="519"/>
      <c r="R283" s="519"/>
      <c r="S283" s="519"/>
      <c r="T283" s="519"/>
      <c r="U283" s="519"/>
      <c r="V283" s="519"/>
      <c r="W283" s="519"/>
      <c r="X283" s="519"/>
      <c r="Y283" s="519"/>
      <c r="Z283" s="519"/>
      <c r="AA283" s="519"/>
    </row>
    <row r="284" spans="1:27" s="523" customFormat="1">
      <c r="A284" s="522"/>
      <c r="C284" s="524"/>
      <c r="D284" s="525"/>
      <c r="E284" s="526"/>
      <c r="F284" s="526"/>
      <c r="G284" s="524"/>
      <c r="H284" s="527"/>
      <c r="I284" s="527"/>
      <c r="J284" s="528"/>
      <c r="K284" s="530"/>
      <c r="L284" s="519"/>
      <c r="M284" s="519"/>
      <c r="N284" s="521"/>
      <c r="O284" s="519"/>
      <c r="P284" s="519"/>
      <c r="Q284" s="519"/>
      <c r="R284" s="519"/>
      <c r="S284" s="519"/>
      <c r="T284" s="519"/>
      <c r="U284" s="519"/>
      <c r="V284" s="519"/>
      <c r="W284" s="519"/>
      <c r="X284" s="519"/>
      <c r="Y284" s="519"/>
      <c r="Z284" s="519"/>
      <c r="AA284" s="519"/>
    </row>
    <row r="285" spans="1:27" s="523" customFormat="1">
      <c r="A285" s="522"/>
      <c r="C285" s="524"/>
      <c r="D285" s="525"/>
      <c r="E285" s="526"/>
      <c r="F285" s="526"/>
      <c r="G285" s="524"/>
      <c r="H285" s="527"/>
      <c r="I285" s="527"/>
      <c r="J285" s="528"/>
      <c r="K285" s="530"/>
      <c r="L285" s="519"/>
      <c r="M285" s="519"/>
      <c r="N285" s="521"/>
      <c r="O285" s="519"/>
      <c r="P285" s="519"/>
      <c r="Q285" s="519"/>
      <c r="R285" s="519"/>
      <c r="S285" s="519"/>
      <c r="T285" s="519"/>
      <c r="U285" s="519"/>
      <c r="V285" s="519"/>
      <c r="W285" s="519"/>
      <c r="X285" s="519"/>
      <c r="Y285" s="519"/>
      <c r="Z285" s="519"/>
      <c r="AA285" s="519"/>
    </row>
    <row r="286" spans="1:27" s="523" customFormat="1">
      <c r="A286" s="522"/>
      <c r="C286" s="524"/>
      <c r="D286" s="525"/>
      <c r="E286" s="526"/>
      <c r="F286" s="526"/>
      <c r="G286" s="524"/>
      <c r="H286" s="527"/>
      <c r="I286" s="527"/>
      <c r="J286" s="528"/>
      <c r="K286" s="530"/>
      <c r="L286" s="519"/>
      <c r="M286" s="519"/>
      <c r="N286" s="521"/>
      <c r="O286" s="519"/>
      <c r="P286" s="519"/>
      <c r="Q286" s="519"/>
      <c r="R286" s="519"/>
      <c r="S286" s="519"/>
      <c r="T286" s="519"/>
      <c r="U286" s="519"/>
      <c r="V286" s="519"/>
      <c r="W286" s="519"/>
      <c r="X286" s="519"/>
      <c r="Y286" s="519"/>
      <c r="Z286" s="519"/>
      <c r="AA286" s="519"/>
    </row>
    <row r="287" spans="1:27" s="523" customFormat="1">
      <c r="A287" s="522"/>
      <c r="C287" s="524"/>
      <c r="D287" s="525"/>
      <c r="E287" s="526"/>
      <c r="F287" s="526"/>
      <c r="G287" s="524"/>
      <c r="H287" s="527"/>
      <c r="I287" s="527"/>
      <c r="J287" s="528"/>
      <c r="K287" s="530"/>
      <c r="L287" s="519"/>
      <c r="M287" s="519"/>
      <c r="N287" s="521"/>
      <c r="O287" s="519"/>
      <c r="P287" s="519"/>
      <c r="Q287" s="519"/>
      <c r="R287" s="519"/>
      <c r="S287" s="519"/>
      <c r="T287" s="519"/>
      <c r="U287" s="519"/>
      <c r="V287" s="519"/>
      <c r="W287" s="519"/>
      <c r="X287" s="519"/>
      <c r="Y287" s="519"/>
      <c r="Z287" s="519"/>
      <c r="AA287" s="519"/>
    </row>
    <row r="288" spans="1:27" s="523" customFormat="1">
      <c r="A288" s="522"/>
      <c r="C288" s="524"/>
      <c r="D288" s="525"/>
      <c r="E288" s="526"/>
      <c r="F288" s="526"/>
      <c r="G288" s="524"/>
      <c r="H288" s="527"/>
      <c r="I288" s="527"/>
      <c r="J288" s="528"/>
      <c r="K288" s="530"/>
      <c r="L288" s="519"/>
      <c r="M288" s="519"/>
      <c r="N288" s="521"/>
      <c r="O288" s="519"/>
      <c r="P288" s="519"/>
      <c r="Q288" s="519"/>
      <c r="R288" s="519"/>
      <c r="S288" s="519"/>
      <c r="T288" s="519"/>
      <c r="U288" s="519"/>
      <c r="V288" s="519"/>
      <c r="W288" s="519"/>
      <c r="X288" s="519"/>
      <c r="Y288" s="519"/>
      <c r="Z288" s="519"/>
      <c r="AA288" s="519"/>
    </row>
    <row r="289" spans="1:27" s="523" customFormat="1">
      <c r="A289" s="522"/>
      <c r="C289" s="524"/>
      <c r="D289" s="525"/>
      <c r="E289" s="526"/>
      <c r="F289" s="526"/>
      <c r="G289" s="524"/>
      <c r="H289" s="527"/>
      <c r="I289" s="527"/>
      <c r="J289" s="528"/>
      <c r="K289" s="530"/>
      <c r="L289" s="519"/>
      <c r="M289" s="519"/>
      <c r="N289" s="521"/>
      <c r="O289" s="519"/>
      <c r="P289" s="519"/>
      <c r="Q289" s="519"/>
      <c r="R289" s="519"/>
      <c r="S289" s="519"/>
      <c r="T289" s="519"/>
      <c r="U289" s="519"/>
      <c r="V289" s="519"/>
      <c r="W289" s="519"/>
      <c r="X289" s="519"/>
      <c r="Y289" s="519"/>
      <c r="Z289" s="519"/>
      <c r="AA289" s="519"/>
    </row>
    <row r="290" spans="1:27" s="523" customFormat="1">
      <c r="A290" s="522"/>
      <c r="C290" s="524"/>
      <c r="D290" s="525"/>
      <c r="E290" s="526"/>
      <c r="F290" s="526"/>
      <c r="G290" s="524"/>
      <c r="H290" s="527"/>
      <c r="I290" s="527"/>
      <c r="J290" s="528"/>
      <c r="K290" s="530"/>
      <c r="L290" s="519"/>
      <c r="M290" s="519"/>
      <c r="N290" s="521"/>
      <c r="O290" s="519"/>
      <c r="P290" s="519"/>
      <c r="Q290" s="519"/>
      <c r="R290" s="519"/>
      <c r="S290" s="519"/>
      <c r="T290" s="519"/>
      <c r="U290" s="519"/>
      <c r="V290" s="519"/>
      <c r="W290" s="519"/>
      <c r="X290" s="519"/>
      <c r="Y290" s="519"/>
      <c r="Z290" s="519"/>
      <c r="AA290" s="519"/>
    </row>
    <row r="291" spans="1:27" s="523" customFormat="1">
      <c r="A291" s="522"/>
      <c r="C291" s="524"/>
      <c r="D291" s="525"/>
      <c r="E291" s="526"/>
      <c r="F291" s="526"/>
      <c r="G291" s="524"/>
      <c r="H291" s="527"/>
      <c r="I291" s="527"/>
      <c r="J291" s="528"/>
      <c r="K291" s="530"/>
      <c r="L291" s="519"/>
      <c r="M291" s="519"/>
      <c r="N291" s="521"/>
      <c r="O291" s="519"/>
      <c r="P291" s="519"/>
      <c r="Q291" s="519"/>
      <c r="R291" s="519"/>
      <c r="S291" s="519"/>
      <c r="T291" s="519"/>
      <c r="U291" s="519"/>
      <c r="V291" s="519"/>
      <c r="W291" s="519"/>
      <c r="X291" s="519"/>
      <c r="Y291" s="519"/>
      <c r="Z291" s="519"/>
      <c r="AA291" s="519"/>
    </row>
    <row r="292" spans="1:27" s="523" customFormat="1">
      <c r="A292" s="522"/>
      <c r="C292" s="524"/>
      <c r="D292" s="525"/>
      <c r="E292" s="526"/>
      <c r="F292" s="526"/>
      <c r="G292" s="524"/>
      <c r="H292" s="527"/>
      <c r="I292" s="527"/>
      <c r="J292" s="528"/>
      <c r="K292" s="530"/>
      <c r="L292" s="519"/>
      <c r="M292" s="519"/>
      <c r="N292" s="521"/>
      <c r="O292" s="519"/>
      <c r="P292" s="519"/>
      <c r="Q292" s="519"/>
      <c r="R292" s="519"/>
      <c r="S292" s="519"/>
      <c r="T292" s="519"/>
      <c r="U292" s="519"/>
      <c r="V292" s="519"/>
      <c r="W292" s="519"/>
      <c r="X292" s="519"/>
      <c r="Y292" s="519"/>
      <c r="Z292" s="519"/>
      <c r="AA292" s="519"/>
    </row>
    <row r="293" spans="1:27" s="523" customFormat="1">
      <c r="A293" s="522"/>
      <c r="C293" s="524"/>
      <c r="D293" s="525"/>
      <c r="E293" s="526"/>
      <c r="F293" s="526"/>
      <c r="G293" s="524"/>
      <c r="H293" s="527"/>
      <c r="I293" s="527"/>
      <c r="J293" s="528"/>
      <c r="K293" s="530"/>
      <c r="L293" s="519"/>
      <c r="M293" s="519"/>
      <c r="N293" s="521"/>
      <c r="O293" s="519"/>
      <c r="P293" s="519"/>
      <c r="Q293" s="519"/>
      <c r="R293" s="519"/>
      <c r="S293" s="519"/>
      <c r="T293" s="519"/>
      <c r="U293" s="519"/>
      <c r="V293" s="519"/>
      <c r="W293" s="519"/>
      <c r="X293" s="519"/>
      <c r="Y293" s="519"/>
      <c r="Z293" s="519"/>
      <c r="AA293" s="519"/>
    </row>
    <row r="294" spans="1:27" s="523" customFormat="1">
      <c r="A294" s="522"/>
      <c r="C294" s="524"/>
      <c r="D294" s="525"/>
      <c r="E294" s="526"/>
      <c r="F294" s="526"/>
      <c r="G294" s="524"/>
      <c r="H294" s="527"/>
      <c r="I294" s="527"/>
      <c r="J294" s="528"/>
      <c r="K294" s="530"/>
      <c r="L294" s="519"/>
      <c r="M294" s="519"/>
      <c r="N294" s="521"/>
      <c r="O294" s="519"/>
      <c r="P294" s="519"/>
      <c r="Q294" s="519"/>
      <c r="R294" s="519"/>
      <c r="S294" s="519"/>
      <c r="T294" s="519"/>
      <c r="U294" s="519"/>
      <c r="V294" s="519"/>
      <c r="W294" s="519"/>
      <c r="X294" s="519"/>
      <c r="Y294" s="519"/>
      <c r="Z294" s="519"/>
      <c r="AA294" s="519"/>
    </row>
    <row r="295" spans="1:27" s="523" customFormat="1">
      <c r="A295" s="522"/>
      <c r="C295" s="524"/>
      <c r="D295" s="525"/>
      <c r="E295" s="526"/>
      <c r="F295" s="526"/>
      <c r="G295" s="524"/>
      <c r="H295" s="527"/>
      <c r="I295" s="527"/>
      <c r="J295" s="528"/>
      <c r="K295" s="530"/>
      <c r="L295" s="519"/>
      <c r="M295" s="519"/>
      <c r="N295" s="521"/>
      <c r="O295" s="519"/>
      <c r="P295" s="519"/>
      <c r="Q295" s="519"/>
      <c r="R295" s="519"/>
      <c r="S295" s="519"/>
      <c r="T295" s="519"/>
      <c r="U295" s="519"/>
      <c r="V295" s="519"/>
      <c r="W295" s="519"/>
      <c r="X295" s="519"/>
      <c r="Y295" s="519"/>
      <c r="Z295" s="519"/>
      <c r="AA295" s="519"/>
    </row>
    <row r="296" spans="1:27" s="523" customFormat="1">
      <c r="A296" s="522"/>
      <c r="C296" s="524"/>
      <c r="D296" s="525"/>
      <c r="E296" s="526"/>
      <c r="F296" s="526"/>
      <c r="G296" s="524"/>
      <c r="H296" s="527"/>
      <c r="I296" s="527"/>
      <c r="J296" s="528"/>
      <c r="K296" s="530"/>
      <c r="L296" s="519"/>
      <c r="M296" s="519"/>
      <c r="N296" s="521"/>
      <c r="O296" s="519"/>
      <c r="P296" s="519"/>
      <c r="Q296" s="519"/>
      <c r="R296" s="519"/>
      <c r="S296" s="519"/>
      <c r="T296" s="519"/>
      <c r="U296" s="519"/>
      <c r="V296" s="519"/>
      <c r="W296" s="519"/>
      <c r="X296" s="519"/>
      <c r="Y296" s="519"/>
      <c r="Z296" s="519"/>
      <c r="AA296" s="519"/>
    </row>
    <row r="297" spans="1:27" s="523" customFormat="1">
      <c r="A297" s="522"/>
      <c r="C297" s="524"/>
      <c r="D297" s="525"/>
      <c r="E297" s="526"/>
      <c r="F297" s="526"/>
      <c r="G297" s="524"/>
      <c r="H297" s="527"/>
      <c r="I297" s="527"/>
      <c r="J297" s="528"/>
      <c r="K297" s="530"/>
      <c r="L297" s="519"/>
      <c r="M297" s="519"/>
      <c r="N297" s="521"/>
      <c r="O297" s="519"/>
      <c r="P297" s="519"/>
      <c r="Q297" s="519"/>
      <c r="R297" s="519"/>
      <c r="S297" s="519"/>
      <c r="T297" s="519"/>
      <c r="U297" s="519"/>
      <c r="V297" s="519"/>
      <c r="W297" s="519"/>
      <c r="X297" s="519"/>
      <c r="Y297" s="519"/>
      <c r="Z297" s="519"/>
      <c r="AA297" s="519"/>
    </row>
    <row r="298" spans="1:27" s="523" customFormat="1">
      <c r="A298" s="522"/>
      <c r="C298" s="524"/>
      <c r="D298" s="525"/>
      <c r="E298" s="526"/>
      <c r="F298" s="526"/>
      <c r="G298" s="524"/>
      <c r="H298" s="527"/>
      <c r="I298" s="527"/>
      <c r="J298" s="528"/>
      <c r="K298" s="530"/>
      <c r="L298" s="519"/>
      <c r="M298" s="519"/>
      <c r="N298" s="521"/>
      <c r="O298" s="519"/>
      <c r="P298" s="519"/>
      <c r="Q298" s="519"/>
      <c r="R298" s="519"/>
      <c r="S298" s="519"/>
      <c r="T298" s="519"/>
      <c r="U298" s="519"/>
      <c r="V298" s="519"/>
      <c r="W298" s="519"/>
      <c r="X298" s="519"/>
      <c r="Y298" s="519"/>
      <c r="Z298" s="519"/>
      <c r="AA298" s="519"/>
    </row>
    <row r="299" spans="1:27" s="523" customFormat="1">
      <c r="A299" s="522"/>
      <c r="C299" s="524"/>
      <c r="D299" s="525"/>
      <c r="E299" s="526"/>
      <c r="F299" s="526"/>
      <c r="G299" s="524"/>
      <c r="H299" s="527"/>
      <c r="I299" s="527"/>
      <c r="J299" s="528"/>
      <c r="K299" s="530"/>
      <c r="L299" s="519"/>
      <c r="M299" s="519"/>
      <c r="N299" s="521"/>
      <c r="O299" s="519"/>
      <c r="P299" s="519"/>
      <c r="Q299" s="519"/>
      <c r="R299" s="519"/>
      <c r="S299" s="519"/>
      <c r="T299" s="519"/>
      <c r="U299" s="519"/>
      <c r="V299" s="519"/>
      <c r="W299" s="519"/>
      <c r="X299" s="519"/>
      <c r="Y299" s="519"/>
      <c r="Z299" s="519"/>
      <c r="AA299" s="519"/>
    </row>
    <row r="300" spans="1:27" s="523" customFormat="1">
      <c r="A300" s="522"/>
      <c r="C300" s="524"/>
      <c r="D300" s="525"/>
      <c r="E300" s="526"/>
      <c r="F300" s="526"/>
      <c r="G300" s="524"/>
      <c r="H300" s="527"/>
      <c r="I300" s="527"/>
      <c r="J300" s="528"/>
      <c r="K300" s="530"/>
      <c r="L300" s="519"/>
      <c r="M300" s="519"/>
      <c r="N300" s="521"/>
      <c r="O300" s="519"/>
      <c r="P300" s="519"/>
      <c r="Q300" s="519"/>
      <c r="R300" s="519"/>
      <c r="S300" s="519"/>
      <c r="T300" s="519"/>
      <c r="U300" s="519"/>
      <c r="V300" s="519"/>
      <c r="W300" s="519"/>
      <c r="X300" s="519"/>
      <c r="Y300" s="519"/>
      <c r="Z300" s="519"/>
      <c r="AA300" s="519"/>
    </row>
    <row r="301" spans="1:27" s="523" customFormat="1">
      <c r="A301" s="522"/>
      <c r="C301" s="524"/>
      <c r="D301" s="525"/>
      <c r="E301" s="526"/>
      <c r="F301" s="526"/>
      <c r="G301" s="524"/>
      <c r="H301" s="527"/>
      <c r="I301" s="527"/>
      <c r="J301" s="528"/>
      <c r="K301" s="530"/>
      <c r="L301" s="519"/>
      <c r="M301" s="519"/>
      <c r="N301" s="521"/>
      <c r="O301" s="519"/>
      <c r="P301" s="519"/>
      <c r="Q301" s="519"/>
      <c r="R301" s="519"/>
      <c r="S301" s="519"/>
      <c r="T301" s="519"/>
      <c r="U301" s="519"/>
      <c r="V301" s="519"/>
      <c r="W301" s="519"/>
      <c r="X301" s="519"/>
      <c r="Y301" s="519"/>
      <c r="Z301" s="519"/>
      <c r="AA301" s="519"/>
    </row>
    <row r="302" spans="1:27" s="523" customFormat="1">
      <c r="A302" s="522"/>
      <c r="C302" s="524"/>
      <c r="D302" s="525"/>
      <c r="E302" s="526"/>
      <c r="F302" s="526"/>
      <c r="G302" s="524"/>
      <c r="H302" s="527"/>
      <c r="I302" s="527"/>
      <c r="J302" s="528"/>
      <c r="K302" s="530"/>
      <c r="L302" s="519"/>
      <c r="M302" s="519"/>
      <c r="N302" s="521"/>
      <c r="O302" s="519"/>
      <c r="P302" s="519"/>
      <c r="Q302" s="519"/>
      <c r="R302" s="519"/>
      <c r="S302" s="519"/>
      <c r="T302" s="519"/>
      <c r="U302" s="519"/>
      <c r="V302" s="519"/>
      <c r="W302" s="519"/>
      <c r="X302" s="519"/>
      <c r="Y302" s="519"/>
      <c r="Z302" s="519"/>
      <c r="AA302" s="519"/>
    </row>
  </sheetData>
  <mergeCells count="459">
    <mergeCell ref="J255:J257"/>
    <mergeCell ref="J258:J261"/>
    <mergeCell ref="J225:J231"/>
    <mergeCell ref="J232:J235"/>
    <mergeCell ref="J236:J246"/>
    <mergeCell ref="J247:J254"/>
    <mergeCell ref="J146:J150"/>
    <mergeCell ref="J151:J154"/>
    <mergeCell ref="K225:K231"/>
    <mergeCell ref="K232:K235"/>
    <mergeCell ref="K236:K246"/>
    <mergeCell ref="K247:K254"/>
    <mergeCell ref="K255:K257"/>
    <mergeCell ref="K258:K261"/>
    <mergeCell ref="K183:K188"/>
    <mergeCell ref="K189:K194"/>
    <mergeCell ref="K195:K198"/>
    <mergeCell ref="K199:K202"/>
    <mergeCell ref="K203:K205"/>
    <mergeCell ref="K206:K209"/>
    <mergeCell ref="K210:K213"/>
    <mergeCell ref="K214:K218"/>
    <mergeCell ref="K219:K224"/>
    <mergeCell ref="K135:K136"/>
    <mergeCell ref="K137:K145"/>
    <mergeCell ref="K146:K150"/>
    <mergeCell ref="K151:K154"/>
    <mergeCell ref="K155:K161"/>
    <mergeCell ref="K162:K166"/>
    <mergeCell ref="K167:K173"/>
    <mergeCell ref="K174:K175"/>
    <mergeCell ref="K176:K182"/>
    <mergeCell ref="K2:K8"/>
    <mergeCell ref="K9:K17"/>
    <mergeCell ref="K18:K24"/>
    <mergeCell ref="K25:K32"/>
    <mergeCell ref="K33:K38"/>
    <mergeCell ref="K39:K45"/>
    <mergeCell ref="K46:K51"/>
    <mergeCell ref="K52:K58"/>
    <mergeCell ref="K59:K68"/>
    <mergeCell ref="K69:K74"/>
    <mergeCell ref="K75:K78"/>
    <mergeCell ref="K79:K84"/>
    <mergeCell ref="K85:K90"/>
    <mergeCell ref="K91:K95"/>
    <mergeCell ref="K96:K102"/>
    <mergeCell ref="K103:K106"/>
    <mergeCell ref="K107:K111"/>
    <mergeCell ref="K112:K116"/>
    <mergeCell ref="K117:K121"/>
    <mergeCell ref="K122:K127"/>
    <mergeCell ref="K128:K131"/>
    <mergeCell ref="K132:K134"/>
    <mergeCell ref="J203:J205"/>
    <mergeCell ref="J206:J209"/>
    <mergeCell ref="J210:J213"/>
    <mergeCell ref="J214:J218"/>
    <mergeCell ref="J219:J224"/>
    <mergeCell ref="J155:J161"/>
    <mergeCell ref="J162:J166"/>
    <mergeCell ref="J167:J173"/>
    <mergeCell ref="J174:J175"/>
    <mergeCell ref="J176:J182"/>
    <mergeCell ref="J183:J188"/>
    <mergeCell ref="J189:J194"/>
    <mergeCell ref="J195:J198"/>
    <mergeCell ref="J199:J202"/>
    <mergeCell ref="J117:J121"/>
    <mergeCell ref="J122:J127"/>
    <mergeCell ref="J128:J131"/>
    <mergeCell ref="J132:J134"/>
    <mergeCell ref="J135:J136"/>
    <mergeCell ref="J137:J145"/>
    <mergeCell ref="A219:A224"/>
    <mergeCell ref="D195:D198"/>
    <mergeCell ref="J2:J8"/>
    <mergeCell ref="J9:J17"/>
    <mergeCell ref="J18:J24"/>
    <mergeCell ref="J25:J32"/>
    <mergeCell ref="J33:J38"/>
    <mergeCell ref="J39:J45"/>
    <mergeCell ref="J46:J51"/>
    <mergeCell ref="J52:J58"/>
    <mergeCell ref="J59:J68"/>
    <mergeCell ref="J69:J74"/>
    <mergeCell ref="J75:J78"/>
    <mergeCell ref="J79:J84"/>
    <mergeCell ref="J85:J90"/>
    <mergeCell ref="J91:J95"/>
    <mergeCell ref="J96:J102"/>
    <mergeCell ref="J103:J106"/>
    <mergeCell ref="J107:J111"/>
    <mergeCell ref="J112:J116"/>
    <mergeCell ref="C176:C182"/>
    <mergeCell ref="D176:D182"/>
    <mergeCell ref="A176:A182"/>
    <mergeCell ref="B176:B182"/>
    <mergeCell ref="C206:C209"/>
    <mergeCell ref="D206:D209"/>
    <mergeCell ref="C210:C213"/>
    <mergeCell ref="D210:D213"/>
    <mergeCell ref="C214:C218"/>
    <mergeCell ref="D214:D218"/>
    <mergeCell ref="D69:D74"/>
    <mergeCell ref="C75:C78"/>
    <mergeCell ref="D75:D78"/>
    <mergeCell ref="C79:C84"/>
    <mergeCell ref="D79:D84"/>
    <mergeCell ref="C85:C90"/>
    <mergeCell ref="D85:D90"/>
    <mergeCell ref="C91:C95"/>
    <mergeCell ref="D91:D95"/>
    <mergeCell ref="C183:C188"/>
    <mergeCell ref="D183:D188"/>
    <mergeCell ref="C189:C194"/>
    <mergeCell ref="D189:D194"/>
    <mergeCell ref="C2:C8"/>
    <mergeCell ref="D2:D8"/>
    <mergeCell ref="C9:C17"/>
    <mergeCell ref="D9:D17"/>
    <mergeCell ref="C18:C24"/>
    <mergeCell ref="D18:D24"/>
    <mergeCell ref="C25:C32"/>
    <mergeCell ref="D25:D32"/>
    <mergeCell ref="C33:C38"/>
    <mergeCell ref="D33:D38"/>
    <mergeCell ref="G255:G257"/>
    <mergeCell ref="I255:I257"/>
    <mergeCell ref="A258:A261"/>
    <mergeCell ref="B258:B261"/>
    <mergeCell ref="E258:E261"/>
    <mergeCell ref="F258:F261"/>
    <mergeCell ref="G258:G261"/>
    <mergeCell ref="I258:I261"/>
    <mergeCell ref="A255:A257"/>
    <mergeCell ref="B255:B257"/>
    <mergeCell ref="E255:E257"/>
    <mergeCell ref="F255:F257"/>
    <mergeCell ref="C255:C257"/>
    <mergeCell ref="D255:D257"/>
    <mergeCell ref="C258:C261"/>
    <mergeCell ref="D258:D261"/>
    <mergeCell ref="G236:G246"/>
    <mergeCell ref="I236:I246"/>
    <mergeCell ref="A247:A254"/>
    <mergeCell ref="B247:B254"/>
    <mergeCell ref="E247:E254"/>
    <mergeCell ref="F247:F254"/>
    <mergeCell ref="G247:G254"/>
    <mergeCell ref="I247:I254"/>
    <mergeCell ref="E232:E235"/>
    <mergeCell ref="F232:F235"/>
    <mergeCell ref="G232:G235"/>
    <mergeCell ref="I232:I235"/>
    <mergeCell ref="A236:A246"/>
    <mergeCell ref="B236:B246"/>
    <mergeCell ref="E236:E246"/>
    <mergeCell ref="F236:F246"/>
    <mergeCell ref="C232:C235"/>
    <mergeCell ref="D232:D235"/>
    <mergeCell ref="C236:C246"/>
    <mergeCell ref="D236:D246"/>
    <mergeCell ref="C247:C254"/>
    <mergeCell ref="D247:D254"/>
    <mergeCell ref="F214:F218"/>
    <mergeCell ref="G214:G218"/>
    <mergeCell ref="I214:I218"/>
    <mergeCell ref="B219:B224"/>
    <mergeCell ref="E219:E224"/>
    <mergeCell ref="F219:F224"/>
    <mergeCell ref="G219:G224"/>
    <mergeCell ref="C225:C231"/>
    <mergeCell ref="D225:D231"/>
    <mergeCell ref="C219:C224"/>
    <mergeCell ref="D219:D224"/>
    <mergeCell ref="A214:A218"/>
    <mergeCell ref="B214:B218"/>
    <mergeCell ref="E214:E218"/>
    <mergeCell ref="A232:A235"/>
    <mergeCell ref="B232:B235"/>
    <mergeCell ref="G206:G209"/>
    <mergeCell ref="I206:I209"/>
    <mergeCell ref="A210:A213"/>
    <mergeCell ref="B210:B213"/>
    <mergeCell ref="E210:E213"/>
    <mergeCell ref="F210:F213"/>
    <mergeCell ref="G210:G213"/>
    <mergeCell ref="I210:I213"/>
    <mergeCell ref="A206:A209"/>
    <mergeCell ref="B206:B209"/>
    <mergeCell ref="E206:E209"/>
    <mergeCell ref="F206:F209"/>
    <mergeCell ref="I219:I224"/>
    <mergeCell ref="A225:A231"/>
    <mergeCell ref="B225:B231"/>
    <mergeCell ref="E225:E231"/>
    <mergeCell ref="F225:F231"/>
    <mergeCell ref="G225:G231"/>
    <mergeCell ref="I225:I231"/>
    <mergeCell ref="A203:A205"/>
    <mergeCell ref="B203:B205"/>
    <mergeCell ref="E203:E205"/>
    <mergeCell ref="F203:F205"/>
    <mergeCell ref="G203:G205"/>
    <mergeCell ref="I203:I205"/>
    <mergeCell ref="A199:A202"/>
    <mergeCell ref="B199:B202"/>
    <mergeCell ref="E199:E202"/>
    <mergeCell ref="F199:F202"/>
    <mergeCell ref="C203:C205"/>
    <mergeCell ref="D203:D205"/>
    <mergeCell ref="C199:C202"/>
    <mergeCell ref="D199:D202"/>
    <mergeCell ref="A189:A194"/>
    <mergeCell ref="B189:B194"/>
    <mergeCell ref="C195:C198"/>
    <mergeCell ref="G199:G202"/>
    <mergeCell ref="I199:I202"/>
    <mergeCell ref="G189:G194"/>
    <mergeCell ref="I189:I194"/>
    <mergeCell ref="A195:A198"/>
    <mergeCell ref="B195:B198"/>
    <mergeCell ref="E195:E198"/>
    <mergeCell ref="F195:F198"/>
    <mergeCell ref="G195:G198"/>
    <mergeCell ref="I195:I198"/>
    <mergeCell ref="E189:E193"/>
    <mergeCell ref="F189:F194"/>
    <mergeCell ref="G176:G182"/>
    <mergeCell ref="I176:I182"/>
    <mergeCell ref="A183:A188"/>
    <mergeCell ref="G146:G150"/>
    <mergeCell ref="A151:A154"/>
    <mergeCell ref="B151:B154"/>
    <mergeCell ref="E151:E154"/>
    <mergeCell ref="F151:F154"/>
    <mergeCell ref="E174:E175"/>
    <mergeCell ref="F174:F175"/>
    <mergeCell ref="G174:G175"/>
    <mergeCell ref="I174:I175"/>
    <mergeCell ref="A167:A173"/>
    <mergeCell ref="B167:B173"/>
    <mergeCell ref="F167:F173"/>
    <mergeCell ref="G167:G173"/>
    <mergeCell ref="I167:I173"/>
    <mergeCell ref="E176:E182"/>
    <mergeCell ref="F176:F182"/>
    <mergeCell ref="B183:B188"/>
    <mergeCell ref="E183:E188"/>
    <mergeCell ref="F183:F188"/>
    <mergeCell ref="G183:G188"/>
    <mergeCell ref="I183:I188"/>
    <mergeCell ref="A174:A175"/>
    <mergeCell ref="B174:B175"/>
    <mergeCell ref="G155:G161"/>
    <mergeCell ref="I155:I161"/>
    <mergeCell ref="A162:A166"/>
    <mergeCell ref="B162:B166"/>
    <mergeCell ref="E162:E166"/>
    <mergeCell ref="F162:F166"/>
    <mergeCell ref="G162:G166"/>
    <mergeCell ref="I162:I166"/>
    <mergeCell ref="A155:A161"/>
    <mergeCell ref="B155:B161"/>
    <mergeCell ref="E155:E161"/>
    <mergeCell ref="F155:F161"/>
    <mergeCell ref="C155:C161"/>
    <mergeCell ref="D155:D161"/>
    <mergeCell ref="C162:C166"/>
    <mergeCell ref="D162:D166"/>
    <mergeCell ref="C167:C173"/>
    <mergeCell ref="D167:D173"/>
    <mergeCell ref="C174:C175"/>
    <mergeCell ref="D174:D175"/>
    <mergeCell ref="G151:G154"/>
    <mergeCell ref="I151:I154"/>
    <mergeCell ref="E137:E145"/>
    <mergeCell ref="F137:F145"/>
    <mergeCell ref="G137:G145"/>
    <mergeCell ref="I137:I145"/>
    <mergeCell ref="E146:E150"/>
    <mergeCell ref="F146:F150"/>
    <mergeCell ref="A137:A145"/>
    <mergeCell ref="B137:B145"/>
    <mergeCell ref="C137:C145"/>
    <mergeCell ref="D137:D145"/>
    <mergeCell ref="C146:C150"/>
    <mergeCell ref="D146:D150"/>
    <mergeCell ref="B146:B150"/>
    <mergeCell ref="A146:A150"/>
    <mergeCell ref="C151:C154"/>
    <mergeCell ref="D151:D154"/>
    <mergeCell ref="I146:I150"/>
    <mergeCell ref="I132:I134"/>
    <mergeCell ref="A135:A136"/>
    <mergeCell ref="B135:B136"/>
    <mergeCell ref="E135:E136"/>
    <mergeCell ref="F135:F136"/>
    <mergeCell ref="G135:G136"/>
    <mergeCell ref="I135:I136"/>
    <mergeCell ref="F128:F131"/>
    <mergeCell ref="G128:G131"/>
    <mergeCell ref="I128:I131"/>
    <mergeCell ref="A132:A134"/>
    <mergeCell ref="B132:B134"/>
    <mergeCell ref="E132:E134"/>
    <mergeCell ref="F132:F134"/>
    <mergeCell ref="G132:G134"/>
    <mergeCell ref="A128:A131"/>
    <mergeCell ref="B128:B131"/>
    <mergeCell ref="E128:E131"/>
    <mergeCell ref="C128:C131"/>
    <mergeCell ref="D128:D131"/>
    <mergeCell ref="C132:C134"/>
    <mergeCell ref="D132:D134"/>
    <mergeCell ref="C135:C136"/>
    <mergeCell ref="D135:D136"/>
    <mergeCell ref="G117:G121"/>
    <mergeCell ref="I117:I121"/>
    <mergeCell ref="A122:A127"/>
    <mergeCell ref="B122:B127"/>
    <mergeCell ref="E122:E127"/>
    <mergeCell ref="F122:F127"/>
    <mergeCell ref="G122:G127"/>
    <mergeCell ref="I122:I127"/>
    <mergeCell ref="A117:A121"/>
    <mergeCell ref="B117:B121"/>
    <mergeCell ref="E117:E121"/>
    <mergeCell ref="F117:F121"/>
    <mergeCell ref="C117:C121"/>
    <mergeCell ref="D117:D121"/>
    <mergeCell ref="C122:C127"/>
    <mergeCell ref="D122:D127"/>
    <mergeCell ref="G107:G111"/>
    <mergeCell ref="I107:I111"/>
    <mergeCell ref="A112:A116"/>
    <mergeCell ref="B112:B116"/>
    <mergeCell ref="E112:E116"/>
    <mergeCell ref="F112:F116"/>
    <mergeCell ref="G112:G116"/>
    <mergeCell ref="I112:I116"/>
    <mergeCell ref="E107:E111"/>
    <mergeCell ref="F107:F111"/>
    <mergeCell ref="C107:C111"/>
    <mergeCell ref="D107:D111"/>
    <mergeCell ref="A107:A111"/>
    <mergeCell ref="B107:B111"/>
    <mergeCell ref="C112:C116"/>
    <mergeCell ref="D112:D116"/>
    <mergeCell ref="G96:G102"/>
    <mergeCell ref="I96:I102"/>
    <mergeCell ref="A103:A106"/>
    <mergeCell ref="B103:B106"/>
    <mergeCell ref="E103:E106"/>
    <mergeCell ref="F103:F106"/>
    <mergeCell ref="G103:G106"/>
    <mergeCell ref="I103:I106"/>
    <mergeCell ref="A96:A102"/>
    <mergeCell ref="B96:B102"/>
    <mergeCell ref="E96:E102"/>
    <mergeCell ref="F96:F102"/>
    <mergeCell ref="C96:C102"/>
    <mergeCell ref="D96:D102"/>
    <mergeCell ref="C103:C106"/>
    <mergeCell ref="D103:D106"/>
    <mergeCell ref="G85:G90"/>
    <mergeCell ref="I85:I90"/>
    <mergeCell ref="A91:A95"/>
    <mergeCell ref="B91:B95"/>
    <mergeCell ref="E91:E95"/>
    <mergeCell ref="F91:F95"/>
    <mergeCell ref="G91:G95"/>
    <mergeCell ref="I91:I95"/>
    <mergeCell ref="A85:A90"/>
    <mergeCell ref="B85:B90"/>
    <mergeCell ref="E85:E90"/>
    <mergeCell ref="F85:F90"/>
    <mergeCell ref="G75:G78"/>
    <mergeCell ref="I75:I78"/>
    <mergeCell ref="A79:A84"/>
    <mergeCell ref="B79:B84"/>
    <mergeCell ref="E79:E84"/>
    <mergeCell ref="F79:F84"/>
    <mergeCell ref="G79:G84"/>
    <mergeCell ref="I79:I84"/>
    <mergeCell ref="A75:A78"/>
    <mergeCell ref="B75:B78"/>
    <mergeCell ref="E75:E78"/>
    <mergeCell ref="F75:F78"/>
    <mergeCell ref="I39:I45"/>
    <mergeCell ref="G59:G68"/>
    <mergeCell ref="I59:I68"/>
    <mergeCell ref="A69:A74"/>
    <mergeCell ref="B69:B74"/>
    <mergeCell ref="E69:E74"/>
    <mergeCell ref="F69:F74"/>
    <mergeCell ref="G69:G74"/>
    <mergeCell ref="I69:I74"/>
    <mergeCell ref="A59:A68"/>
    <mergeCell ref="B59:B68"/>
    <mergeCell ref="E59:E68"/>
    <mergeCell ref="F59:F68"/>
    <mergeCell ref="D39:D45"/>
    <mergeCell ref="C39:C45"/>
    <mergeCell ref="C46:C51"/>
    <mergeCell ref="D46:D51"/>
    <mergeCell ref="C52:C58"/>
    <mergeCell ref="D52:D58"/>
    <mergeCell ref="C59:C68"/>
    <mergeCell ref="D59:D68"/>
    <mergeCell ref="C69:C74"/>
    <mergeCell ref="I46:I51"/>
    <mergeCell ref="A52:A58"/>
    <mergeCell ref="B52:B58"/>
    <mergeCell ref="E52:E58"/>
    <mergeCell ref="F52:F58"/>
    <mergeCell ref="G52:G58"/>
    <mergeCell ref="I52:I58"/>
    <mergeCell ref="A46:A51"/>
    <mergeCell ref="B46:B51"/>
    <mergeCell ref="E46:E51"/>
    <mergeCell ref="F46:F51"/>
    <mergeCell ref="F9:F17"/>
    <mergeCell ref="A33:A38"/>
    <mergeCell ref="B33:B38"/>
    <mergeCell ref="E33:E38"/>
    <mergeCell ref="F33:F38"/>
    <mergeCell ref="G46:G51"/>
    <mergeCell ref="B39:B45"/>
    <mergeCell ref="E39:E45"/>
    <mergeCell ref="F39:F45"/>
    <mergeCell ref="G39:G45"/>
    <mergeCell ref="G9:G17"/>
    <mergeCell ref="G33:G38"/>
    <mergeCell ref="I33:I38"/>
    <mergeCell ref="A39:A45"/>
    <mergeCell ref="E25:E32"/>
    <mergeCell ref="F25:F32"/>
    <mergeCell ref="G25:G32"/>
    <mergeCell ref="I25:I32"/>
    <mergeCell ref="A2:A8"/>
    <mergeCell ref="B2:B8"/>
    <mergeCell ref="E2:E8"/>
    <mergeCell ref="A25:A32"/>
    <mergeCell ref="B25:B32"/>
    <mergeCell ref="I9:I17"/>
    <mergeCell ref="A18:A24"/>
    <mergeCell ref="B18:B24"/>
    <mergeCell ref="E18:E24"/>
    <mergeCell ref="F18:F24"/>
    <mergeCell ref="G18:G24"/>
    <mergeCell ref="I18:I24"/>
    <mergeCell ref="F2:F8"/>
    <mergeCell ref="G2:G8"/>
    <mergeCell ref="I2:I8"/>
    <mergeCell ref="A9:A17"/>
    <mergeCell ref="B9:B17"/>
    <mergeCell ref="E9:E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2"/>
  <sheetViews>
    <sheetView windowProtection="1" showGridLines="0" zoomScale="110" zoomScaleNormal="110" workbookViewId="0"/>
  </sheetViews>
  <sheetFormatPr baseColWidth="10" defaultColWidth="10.85546875" defaultRowHeight="15"/>
  <cols>
    <col min="1" max="1" width="112.42578125" style="260" customWidth="1"/>
    <col min="2" max="4" width="23.28515625" style="413" customWidth="1"/>
    <col min="5" max="5" width="25" style="413" bestFit="1" customWidth="1"/>
    <col min="6" max="6" width="24.42578125" style="413" bestFit="1" customWidth="1"/>
    <col min="7" max="8" width="25" style="413" bestFit="1" customWidth="1"/>
    <col min="9" max="10" width="24.42578125" style="413" bestFit="1" customWidth="1"/>
    <col min="11" max="14" width="25" style="413" bestFit="1" customWidth="1"/>
    <col min="15" max="17" width="24.42578125" style="413" bestFit="1" customWidth="1"/>
    <col min="18" max="18" width="25" style="413" bestFit="1" customWidth="1"/>
    <col min="19" max="19" width="24.42578125" style="413" bestFit="1" customWidth="1"/>
    <col min="20" max="21" width="23.28515625" style="413" customWidth="1"/>
    <col min="22" max="22" width="27" style="413" bestFit="1" customWidth="1"/>
    <col min="23" max="23" width="14" style="415" bestFit="1" customWidth="1"/>
    <col min="24" max="84" width="10.85546875" style="205"/>
  </cols>
  <sheetData>
    <row r="1" spans="1:84" ht="39" customHeight="1">
      <c r="A1" s="391" t="s">
        <v>1303</v>
      </c>
      <c r="B1" s="392"/>
      <c r="C1" s="392"/>
      <c r="D1" s="392"/>
      <c r="E1" s="238"/>
      <c r="F1" s="238"/>
      <c r="G1" s="238"/>
      <c r="H1" s="238"/>
      <c r="I1" s="238"/>
      <c r="J1" s="238"/>
      <c r="K1" s="238"/>
      <c r="L1" s="238"/>
      <c r="M1" s="238"/>
      <c r="N1" s="238"/>
      <c r="O1" s="238"/>
      <c r="P1" s="238"/>
      <c r="Q1" s="238"/>
      <c r="R1" s="238"/>
      <c r="S1" s="238"/>
      <c r="T1" s="238"/>
      <c r="U1" s="238"/>
      <c r="V1" s="238"/>
      <c r="W1" s="238"/>
      <c r="BN1"/>
      <c r="BO1"/>
      <c r="BP1"/>
      <c r="BQ1"/>
      <c r="BR1"/>
      <c r="BS1"/>
      <c r="BT1"/>
      <c r="BU1"/>
      <c r="BV1"/>
      <c r="BW1"/>
      <c r="BX1"/>
      <c r="BY1"/>
      <c r="BZ1"/>
      <c r="CA1"/>
      <c r="CB1"/>
      <c r="CC1"/>
      <c r="CD1"/>
      <c r="CE1"/>
      <c r="CF1"/>
    </row>
    <row r="2" spans="1:84" ht="21.6" customHeight="1">
      <c r="A2" s="431"/>
      <c r="B2" s="51"/>
      <c r="C2" s="51"/>
      <c r="D2" s="51"/>
      <c r="E2" s="205"/>
      <c r="F2" s="205"/>
      <c r="G2" s="205"/>
      <c r="H2" s="205"/>
      <c r="I2" s="205"/>
      <c r="J2" s="205"/>
      <c r="K2" s="205"/>
      <c r="L2" s="205"/>
      <c r="M2" s="205"/>
      <c r="N2" s="205"/>
      <c r="O2" s="205"/>
      <c r="P2" s="205"/>
      <c r="Q2" s="205"/>
      <c r="R2" s="205"/>
      <c r="S2" s="205"/>
      <c r="T2" s="205"/>
      <c r="U2" s="205"/>
      <c r="V2" s="205"/>
      <c r="W2" s="205"/>
      <c r="BN2"/>
      <c r="BO2"/>
      <c r="BP2"/>
      <c r="BQ2"/>
      <c r="BR2"/>
      <c r="BS2"/>
      <c r="BT2"/>
      <c r="BU2"/>
      <c r="BV2"/>
      <c r="BW2"/>
      <c r="BX2"/>
      <c r="BY2"/>
      <c r="BZ2"/>
      <c r="CA2"/>
      <c r="CB2"/>
      <c r="CC2"/>
      <c r="CD2"/>
      <c r="CE2"/>
      <c r="CF2"/>
    </row>
    <row r="3" spans="1:84" s="205" customFormat="1">
      <c r="A3" s="260"/>
      <c r="B3" s="389"/>
      <c r="C3" s="389"/>
      <c r="D3" s="389"/>
      <c r="E3" s="389"/>
      <c r="F3" s="389"/>
      <c r="G3" s="389"/>
      <c r="H3" s="389"/>
      <c r="I3" s="389"/>
      <c r="J3" s="389"/>
      <c r="K3" s="389"/>
      <c r="L3" s="389"/>
      <c r="M3" s="389"/>
      <c r="N3" s="389"/>
      <c r="O3" s="389"/>
      <c r="P3" s="389"/>
      <c r="Q3" s="389"/>
      <c r="R3" s="389"/>
      <c r="S3" s="389"/>
      <c r="T3" s="389"/>
      <c r="U3" s="389"/>
      <c r="V3" s="389"/>
      <c r="W3" s="394"/>
    </row>
    <row r="4" spans="1:84">
      <c r="A4" s="395" t="s">
        <v>1715</v>
      </c>
      <c r="B4" s="396">
        <v>1</v>
      </c>
      <c r="C4" s="396">
        <v>2</v>
      </c>
      <c r="D4" s="396">
        <v>3</v>
      </c>
      <c r="E4" s="396">
        <v>4</v>
      </c>
      <c r="F4" s="396">
        <v>5</v>
      </c>
      <c r="G4" s="396">
        <v>6</v>
      </c>
      <c r="H4" s="396">
        <v>7</v>
      </c>
      <c r="I4" s="396">
        <v>8</v>
      </c>
      <c r="J4" s="396">
        <v>9</v>
      </c>
      <c r="K4" s="396">
        <v>10</v>
      </c>
      <c r="L4" s="396">
        <v>11</v>
      </c>
      <c r="M4" s="396">
        <v>12</v>
      </c>
      <c r="N4" s="396">
        <v>13</v>
      </c>
      <c r="O4" s="396">
        <v>14</v>
      </c>
      <c r="P4" s="396">
        <v>15</v>
      </c>
      <c r="Q4" s="396">
        <v>16</v>
      </c>
      <c r="R4" s="396">
        <v>17</v>
      </c>
      <c r="S4" s="396">
        <v>18</v>
      </c>
      <c r="T4" s="396">
        <v>19</v>
      </c>
      <c r="U4" s="396">
        <v>20</v>
      </c>
      <c r="V4" s="396" t="s">
        <v>46</v>
      </c>
      <c r="W4" s="397" t="s">
        <v>1304</v>
      </c>
    </row>
    <row r="5" spans="1:84" s="401" customFormat="1">
      <c r="A5" s="398" t="s">
        <v>811</v>
      </c>
      <c r="B5" s="399">
        <f t="shared" ref="B5:V5" si="0">B6+B7+B8</f>
        <v>0</v>
      </c>
      <c r="C5" s="399">
        <f t="shared" si="0"/>
        <v>11243555906</v>
      </c>
      <c r="D5" s="399">
        <f t="shared" si="0"/>
        <v>11243555906</v>
      </c>
      <c r="E5" s="399">
        <f t="shared" si="0"/>
        <v>26313233154</v>
      </c>
      <c r="F5" s="399">
        <f t="shared" si="0"/>
        <v>26313233154</v>
      </c>
      <c r="G5" s="399">
        <f t="shared" si="0"/>
        <v>26313233154</v>
      </c>
      <c r="H5" s="399">
        <f t="shared" si="0"/>
        <v>26313233154</v>
      </c>
      <c r="I5" s="399">
        <f t="shared" si="0"/>
        <v>26313233154</v>
      </c>
      <c r="J5" s="399">
        <f t="shared" si="0"/>
        <v>26313233154</v>
      </c>
      <c r="K5" s="399">
        <f t="shared" si="0"/>
        <v>26313233154</v>
      </c>
      <c r="L5" s="399">
        <f t="shared" si="0"/>
        <v>26313233154</v>
      </c>
      <c r="M5" s="399">
        <f t="shared" si="0"/>
        <v>26313233154</v>
      </c>
      <c r="N5" s="399">
        <f t="shared" si="0"/>
        <v>26313233154</v>
      </c>
      <c r="O5" s="399">
        <f t="shared" si="0"/>
        <v>13193555906</v>
      </c>
      <c r="P5" s="399">
        <f t="shared" si="0"/>
        <v>13193555906</v>
      </c>
      <c r="Q5" s="399">
        <f t="shared" si="0"/>
        <v>13193555906</v>
      </c>
      <c r="R5" s="399">
        <f t="shared" si="0"/>
        <v>13193555906</v>
      </c>
      <c r="S5" s="399">
        <f t="shared" si="0"/>
        <v>13193555906</v>
      </c>
      <c r="T5" s="399">
        <f t="shared" si="0"/>
        <v>11243555906</v>
      </c>
      <c r="U5" s="399">
        <f t="shared" si="0"/>
        <v>11243555906</v>
      </c>
      <c r="V5" s="399">
        <f t="shared" si="0"/>
        <v>374074334694</v>
      </c>
      <c r="W5" s="400">
        <f t="shared" ref="W5:W36" si="1">V5/$V$69</f>
        <v>0.13572189536397841</v>
      </c>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row>
    <row r="6" spans="1:84">
      <c r="A6" s="402" t="s">
        <v>812</v>
      </c>
      <c r="B6" s="403">
        <f>+'P1'!E8</f>
        <v>0</v>
      </c>
      <c r="C6" s="403">
        <f>+'P1'!F8</f>
        <v>766614517.5</v>
      </c>
      <c r="D6" s="403">
        <f>+'P1'!G8</f>
        <v>766614517.5</v>
      </c>
      <c r="E6" s="403">
        <f>+'P1'!H8</f>
        <v>766614517.5</v>
      </c>
      <c r="F6" s="403">
        <f>+'P1'!I8</f>
        <v>766614517.5</v>
      </c>
      <c r="G6" s="403">
        <f>+'P1'!J8</f>
        <v>766614517.5</v>
      </c>
      <c r="H6" s="403">
        <f>+'P1'!K8</f>
        <v>766614517.5</v>
      </c>
      <c r="I6" s="403">
        <f>+'P1'!L8</f>
        <v>766614517.5</v>
      </c>
      <c r="J6" s="403">
        <f>+'P1'!M8</f>
        <v>766614517.5</v>
      </c>
      <c r="K6" s="403">
        <f>+'P1'!N8</f>
        <v>766614517.5</v>
      </c>
      <c r="L6" s="403">
        <f>+'P1'!O8</f>
        <v>766614517.5</v>
      </c>
      <c r="M6" s="403">
        <f>+'P1'!P8</f>
        <v>766614517.5</v>
      </c>
      <c r="N6" s="403">
        <f>+'P1'!Q8</f>
        <v>766614517.5</v>
      </c>
      <c r="O6" s="403">
        <f>+'P1'!R8</f>
        <v>766614517.5</v>
      </c>
      <c r="P6" s="403">
        <f>+'P1'!S8</f>
        <v>766614517.5</v>
      </c>
      <c r="Q6" s="403">
        <f>+'P1'!T8</f>
        <v>766614517.5</v>
      </c>
      <c r="R6" s="403">
        <f>+'P1'!U8</f>
        <v>766614517.5</v>
      </c>
      <c r="S6" s="403">
        <f>+'P1'!V8</f>
        <v>766614517.5</v>
      </c>
      <c r="T6" s="403">
        <f>+'P1'!W8</f>
        <v>766614517.5</v>
      </c>
      <c r="U6" s="403">
        <f>+'P1'!X8</f>
        <v>766614517.5</v>
      </c>
      <c r="V6" s="403">
        <f>+'P1'!Y8</f>
        <v>14565675832.5</v>
      </c>
      <c r="W6" s="404">
        <f t="shared" si="1"/>
        <v>5.2847280550838132E-3</v>
      </c>
    </row>
    <row r="7" spans="1:84" ht="30">
      <c r="A7" s="402" t="s">
        <v>1305</v>
      </c>
      <c r="B7" s="403">
        <f>+'P1'!E9</f>
        <v>0</v>
      </c>
      <c r="C7" s="403">
        <f>+'P1'!F9</f>
        <v>1482365896</v>
      </c>
      <c r="D7" s="403">
        <f>+'P1'!G9</f>
        <v>1482365896</v>
      </c>
      <c r="E7" s="403">
        <f>+'P1'!H9</f>
        <v>4122043144</v>
      </c>
      <c r="F7" s="403">
        <f>+'P1'!I9</f>
        <v>4122043144</v>
      </c>
      <c r="G7" s="403">
        <f>+'P1'!J9</f>
        <v>4122043144</v>
      </c>
      <c r="H7" s="403">
        <f>+'P1'!K9</f>
        <v>4122043144</v>
      </c>
      <c r="I7" s="403">
        <f>+'P1'!L9</f>
        <v>4122043144</v>
      </c>
      <c r="J7" s="403">
        <f>+'P1'!M9</f>
        <v>4122043144</v>
      </c>
      <c r="K7" s="403">
        <f>+'P1'!N9</f>
        <v>4122043144</v>
      </c>
      <c r="L7" s="403">
        <f>+'P1'!O9</f>
        <v>4122043144</v>
      </c>
      <c r="M7" s="403">
        <f>+'P1'!P9</f>
        <v>4122043144</v>
      </c>
      <c r="N7" s="403">
        <f>+'P1'!Q9</f>
        <v>4122043144</v>
      </c>
      <c r="O7" s="403">
        <f>+'P1'!R9</f>
        <v>1482365896</v>
      </c>
      <c r="P7" s="403">
        <f>+'P1'!S9</f>
        <v>1482365896</v>
      </c>
      <c r="Q7" s="403">
        <f>+'P1'!T9</f>
        <v>1482365896</v>
      </c>
      <c r="R7" s="403">
        <f>+'P1'!U9</f>
        <v>1482365896</v>
      </c>
      <c r="S7" s="403">
        <f>+'P1'!V9</f>
        <v>1482365896</v>
      </c>
      <c r="T7" s="403">
        <f>+'P1'!W9</f>
        <v>1482365896</v>
      </c>
      <c r="U7" s="403">
        <f>+'P1'!X9</f>
        <v>1482365896</v>
      </c>
      <c r="V7" s="403">
        <f>+'P1'!Y9</f>
        <v>54561724504</v>
      </c>
      <c r="W7" s="404">
        <f t="shared" si="1"/>
        <v>1.9796120656253302E-2</v>
      </c>
    </row>
    <row r="8" spans="1:84">
      <c r="A8" s="402" t="s">
        <v>837</v>
      </c>
      <c r="B8" s="403">
        <f>+'P1'!E10</f>
        <v>0</v>
      </c>
      <c r="C8" s="403">
        <f>+'P1'!F10</f>
        <v>8994575492.5</v>
      </c>
      <c r="D8" s="403">
        <f>+'P1'!G10</f>
        <v>8994575492.5</v>
      </c>
      <c r="E8" s="403">
        <f>+'P1'!H10</f>
        <v>21424575492.5</v>
      </c>
      <c r="F8" s="403">
        <f>+'P1'!I10</f>
        <v>21424575492.5</v>
      </c>
      <c r="G8" s="403">
        <f>+'P1'!J10</f>
        <v>21424575492.5</v>
      </c>
      <c r="H8" s="403">
        <f>+'P1'!K10</f>
        <v>21424575492.5</v>
      </c>
      <c r="I8" s="403">
        <f>+'P1'!L10</f>
        <v>21424575492.5</v>
      </c>
      <c r="J8" s="403">
        <f>+'P1'!M10</f>
        <v>21424575492.5</v>
      </c>
      <c r="K8" s="403">
        <f>+'P1'!N10</f>
        <v>21424575492.5</v>
      </c>
      <c r="L8" s="403">
        <f>+'P1'!O10</f>
        <v>21424575492.5</v>
      </c>
      <c r="M8" s="403">
        <f>+'P1'!P10</f>
        <v>21424575492.5</v>
      </c>
      <c r="N8" s="403">
        <f>+'P1'!Q10</f>
        <v>21424575492.5</v>
      </c>
      <c r="O8" s="403">
        <f>+'P1'!R10</f>
        <v>10944575492.5</v>
      </c>
      <c r="P8" s="403">
        <f>+'P1'!S10</f>
        <v>10944575492.5</v>
      </c>
      <c r="Q8" s="403">
        <f>+'P1'!T10</f>
        <v>10944575492.5</v>
      </c>
      <c r="R8" s="403">
        <f>+'P1'!U10</f>
        <v>10944575492.5</v>
      </c>
      <c r="S8" s="403">
        <f>+'P1'!V10</f>
        <v>10944575492.5</v>
      </c>
      <c r="T8" s="403">
        <f>+'P1'!W10</f>
        <v>8994575492.5</v>
      </c>
      <c r="U8" s="403">
        <f>+'P1'!X10</f>
        <v>8994575492.5</v>
      </c>
      <c r="V8" s="403">
        <f>+'P1'!Y10</f>
        <v>304946934357.5</v>
      </c>
      <c r="W8" s="404">
        <f t="shared" si="1"/>
        <v>0.1106410466526413</v>
      </c>
    </row>
    <row r="9" spans="1:84" s="401" customFormat="1">
      <c r="A9" s="398" t="s">
        <v>849</v>
      </c>
      <c r="B9" s="399">
        <f t="shared" ref="B9:L9" si="2">B10+B11</f>
        <v>4680819035</v>
      </c>
      <c r="C9" s="399">
        <f t="shared" si="2"/>
        <v>9736682091</v>
      </c>
      <c r="D9" s="399">
        <f t="shared" si="2"/>
        <v>9736682091</v>
      </c>
      <c r="E9" s="399">
        <f t="shared" si="2"/>
        <v>9736682091</v>
      </c>
      <c r="F9" s="399">
        <f t="shared" si="2"/>
        <v>9736682091</v>
      </c>
      <c r="G9" s="399">
        <f t="shared" si="2"/>
        <v>9736682091</v>
      </c>
      <c r="H9" s="399">
        <f t="shared" si="2"/>
        <v>9736682091</v>
      </c>
      <c r="I9" s="399">
        <f t="shared" si="2"/>
        <v>9736682091</v>
      </c>
      <c r="J9" s="399">
        <f t="shared" si="2"/>
        <v>9736682091</v>
      </c>
      <c r="K9" s="399">
        <f t="shared" si="2"/>
        <v>9736682091</v>
      </c>
      <c r="L9" s="399">
        <f t="shared" si="2"/>
        <v>9736682091</v>
      </c>
      <c r="M9" s="399">
        <f>M11</f>
        <v>5055863056</v>
      </c>
      <c r="N9" s="399">
        <f t="shared" ref="N9:U9" si="3">N11</f>
        <v>5055863056</v>
      </c>
      <c r="O9" s="399">
        <f t="shared" si="3"/>
        <v>5055863056</v>
      </c>
      <c r="P9" s="399">
        <f t="shared" si="3"/>
        <v>5055863056</v>
      </c>
      <c r="Q9" s="399">
        <f t="shared" si="3"/>
        <v>5055863056</v>
      </c>
      <c r="R9" s="399">
        <f t="shared" si="3"/>
        <v>5055863056</v>
      </c>
      <c r="S9" s="399">
        <f t="shared" si="3"/>
        <v>5055863056</v>
      </c>
      <c r="T9" s="399">
        <f t="shared" si="3"/>
        <v>5055863056</v>
      </c>
      <c r="U9" s="399">
        <f t="shared" si="3"/>
        <v>5055863056</v>
      </c>
      <c r="V9" s="399">
        <f>V10+V11</f>
        <v>147550407449</v>
      </c>
      <c r="W9" s="400">
        <f t="shared" si="1"/>
        <v>5.3534335567520464E-2</v>
      </c>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row>
    <row r="10" spans="1:84">
      <c r="A10" s="402" t="s">
        <v>1713</v>
      </c>
      <c r="B10" s="403">
        <f>+'P2'!E8</f>
        <v>4680819035</v>
      </c>
      <c r="C10" s="403">
        <f>+'P2'!F8</f>
        <v>4680819035</v>
      </c>
      <c r="D10" s="403">
        <f>+'P2'!G8</f>
        <v>4680819035</v>
      </c>
      <c r="E10" s="403">
        <f>+'P2'!H8</f>
        <v>4680819035</v>
      </c>
      <c r="F10" s="403">
        <f>+'P2'!I8</f>
        <v>4680819035</v>
      </c>
      <c r="G10" s="403">
        <f>+'P2'!J8</f>
        <v>4680819035</v>
      </c>
      <c r="H10" s="403">
        <f>+'P2'!K8</f>
        <v>4680819035</v>
      </c>
      <c r="I10" s="403">
        <f>+'P2'!L8</f>
        <v>4680819035</v>
      </c>
      <c r="J10" s="403">
        <f>+'P2'!M8</f>
        <v>4680819035</v>
      </c>
      <c r="K10" s="403">
        <f>+'P2'!N8</f>
        <v>4680819035</v>
      </c>
      <c r="L10" s="403">
        <f>+'P2'!O8</f>
        <v>4680819035</v>
      </c>
      <c r="M10" s="403" t="s">
        <v>1331</v>
      </c>
      <c r="N10" s="403" t="str">
        <f>+'P2'!Q8</f>
        <v>Por definir</v>
      </c>
      <c r="O10" s="403" t="str">
        <f>+'P2'!R8</f>
        <v>Por definir</v>
      </c>
      <c r="P10" s="403" t="str">
        <f>+'P2'!S8</f>
        <v>Por definir</v>
      </c>
      <c r="Q10" s="403" t="str">
        <f>+'P2'!T8</f>
        <v>Por definir</v>
      </c>
      <c r="R10" s="403" t="str">
        <f>+'P2'!U8</f>
        <v>Por definir</v>
      </c>
      <c r="S10" s="403" t="str">
        <f>+'P2'!V8</f>
        <v>Por definir</v>
      </c>
      <c r="T10" s="403" t="str">
        <f>+'P2'!W8</f>
        <v>Por definir</v>
      </c>
      <c r="U10" s="403" t="str">
        <f>+'P2'!X8</f>
        <v>Por definir</v>
      </c>
      <c r="V10" s="403">
        <f>+'P2'!Y8</f>
        <v>51489009385</v>
      </c>
      <c r="W10" s="404">
        <f t="shared" si="1"/>
        <v>1.8681276142246815E-2</v>
      </c>
    </row>
    <row r="11" spans="1:84" s="276" customFormat="1">
      <c r="A11" s="518" t="s">
        <v>1306</v>
      </c>
      <c r="B11" s="403">
        <f>+'P2'!E9</f>
        <v>0</v>
      </c>
      <c r="C11" s="403">
        <f>+'P2'!F9</f>
        <v>5055863056</v>
      </c>
      <c r="D11" s="403">
        <f>+'P2'!G9</f>
        <v>5055863056</v>
      </c>
      <c r="E11" s="403">
        <f>+'P2'!H9</f>
        <v>5055863056</v>
      </c>
      <c r="F11" s="403">
        <f>+'P2'!I9</f>
        <v>5055863056</v>
      </c>
      <c r="G11" s="403">
        <f>+'P2'!J9</f>
        <v>5055863056</v>
      </c>
      <c r="H11" s="403">
        <f>+'P2'!K9</f>
        <v>5055863056</v>
      </c>
      <c r="I11" s="403">
        <f>+'P2'!L9</f>
        <v>5055863056</v>
      </c>
      <c r="J11" s="403">
        <f>+'P2'!M9</f>
        <v>5055863056</v>
      </c>
      <c r="K11" s="403">
        <f>+'P2'!N9</f>
        <v>5055863056</v>
      </c>
      <c r="L11" s="403">
        <f>+'P2'!O9</f>
        <v>5055863056</v>
      </c>
      <c r="M11" s="403">
        <f>+'P2'!P9</f>
        <v>5055863056</v>
      </c>
      <c r="N11" s="403">
        <f>+'P2'!Q9</f>
        <v>5055863056</v>
      </c>
      <c r="O11" s="403">
        <f>+'P2'!R9</f>
        <v>5055863056</v>
      </c>
      <c r="P11" s="403">
        <f>+'P2'!S9</f>
        <v>5055863056</v>
      </c>
      <c r="Q11" s="403">
        <f>+'P2'!T9</f>
        <v>5055863056</v>
      </c>
      <c r="R11" s="403">
        <f>+'P2'!U9</f>
        <v>5055863056</v>
      </c>
      <c r="S11" s="403">
        <f>+'P2'!V9</f>
        <v>5055863056</v>
      </c>
      <c r="T11" s="403">
        <f>+'P2'!W9</f>
        <v>5055863056</v>
      </c>
      <c r="U11" s="403">
        <f>+'P2'!X9</f>
        <v>5055863056</v>
      </c>
      <c r="V11" s="403">
        <f>+'P2'!Y9</f>
        <v>96061398064</v>
      </c>
      <c r="W11" s="406">
        <f t="shared" si="1"/>
        <v>3.4853059425273648E-2</v>
      </c>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row>
    <row r="12" spans="1:84" s="401" customFormat="1">
      <c r="A12" s="398" t="s">
        <v>868</v>
      </c>
      <c r="B12" s="399">
        <f t="shared" ref="B12:V12" si="4">B13</f>
        <v>0</v>
      </c>
      <c r="C12" s="399">
        <f t="shared" si="4"/>
        <v>0</v>
      </c>
      <c r="D12" s="399">
        <f t="shared" si="4"/>
        <v>1294344232</v>
      </c>
      <c r="E12" s="399">
        <f t="shared" si="4"/>
        <v>1294344232</v>
      </c>
      <c r="F12" s="399">
        <f t="shared" si="4"/>
        <v>1294344232</v>
      </c>
      <c r="G12" s="399">
        <f t="shared" si="4"/>
        <v>1294344232</v>
      </c>
      <c r="H12" s="399" t="str">
        <f t="shared" si="4"/>
        <v>Por definir</v>
      </c>
      <c r="I12" s="399" t="str">
        <f t="shared" si="4"/>
        <v>Por definir</v>
      </c>
      <c r="J12" s="399" t="str">
        <f t="shared" si="4"/>
        <v>Por definir</v>
      </c>
      <c r="K12" s="399" t="str">
        <f t="shared" si="4"/>
        <v>Por definir</v>
      </c>
      <c r="L12" s="399" t="str">
        <f t="shared" si="4"/>
        <v>Por definir</v>
      </c>
      <c r="M12" s="399" t="str">
        <f t="shared" si="4"/>
        <v>Por definir</v>
      </c>
      <c r="N12" s="399" t="str">
        <f t="shared" si="4"/>
        <v>Por definir</v>
      </c>
      <c r="O12" s="399" t="str">
        <f t="shared" si="4"/>
        <v>Por definir</v>
      </c>
      <c r="P12" s="399" t="str">
        <f t="shared" si="4"/>
        <v>Por definir</v>
      </c>
      <c r="Q12" s="399" t="str">
        <f t="shared" si="4"/>
        <v>Por definir</v>
      </c>
      <c r="R12" s="399" t="str">
        <f t="shared" si="4"/>
        <v>Por definir</v>
      </c>
      <c r="S12" s="399" t="str">
        <f t="shared" si="4"/>
        <v>Por definir</v>
      </c>
      <c r="T12" s="399" t="str">
        <f t="shared" si="4"/>
        <v>Por definir</v>
      </c>
      <c r="U12" s="399" t="str">
        <f t="shared" si="4"/>
        <v>Por definir</v>
      </c>
      <c r="V12" s="399">
        <f t="shared" si="4"/>
        <v>5177376928</v>
      </c>
      <c r="W12" s="400">
        <f t="shared" si="1"/>
        <v>1.8784592914044759E-3</v>
      </c>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row>
    <row r="13" spans="1:84" ht="30">
      <c r="A13" s="402" t="s">
        <v>1307</v>
      </c>
      <c r="B13" s="403">
        <f>+'P3'!E8</f>
        <v>0</v>
      </c>
      <c r="C13" s="403">
        <f>+'P3'!F8</f>
        <v>0</v>
      </c>
      <c r="D13" s="403">
        <f>+'P3'!G8</f>
        <v>1294344232</v>
      </c>
      <c r="E13" s="403">
        <f>+'P3'!H8</f>
        <v>1294344232</v>
      </c>
      <c r="F13" s="403">
        <f>+'P3'!I8</f>
        <v>1294344232</v>
      </c>
      <c r="G13" s="403">
        <f>+'P3'!J8</f>
        <v>1294344232</v>
      </c>
      <c r="H13" s="403" t="str">
        <f>+'P3'!K8</f>
        <v>Por definir</v>
      </c>
      <c r="I13" s="403" t="str">
        <f>+'P3'!L8</f>
        <v>Por definir</v>
      </c>
      <c r="J13" s="403" t="str">
        <f>+'P3'!M8</f>
        <v>Por definir</v>
      </c>
      <c r="K13" s="403" t="str">
        <f>+'P3'!N8</f>
        <v>Por definir</v>
      </c>
      <c r="L13" s="403" t="str">
        <f>+'P3'!O8</f>
        <v>Por definir</v>
      </c>
      <c r="M13" s="403" t="str">
        <f>+'P3'!P8</f>
        <v>Por definir</v>
      </c>
      <c r="N13" s="403" t="str">
        <f>+'P3'!Q8</f>
        <v>Por definir</v>
      </c>
      <c r="O13" s="403" t="str">
        <f>+'P3'!R8</f>
        <v>Por definir</v>
      </c>
      <c r="P13" s="403" t="str">
        <f>+'P3'!S8</f>
        <v>Por definir</v>
      </c>
      <c r="Q13" s="403" t="str">
        <f>+'P3'!T8</f>
        <v>Por definir</v>
      </c>
      <c r="R13" s="403" t="str">
        <f>+'P3'!U8</f>
        <v>Por definir</v>
      </c>
      <c r="S13" s="403" t="str">
        <f>+'P3'!V8</f>
        <v>Por definir</v>
      </c>
      <c r="T13" s="403" t="str">
        <f>+'P3'!W8</f>
        <v>Por definir</v>
      </c>
      <c r="U13" s="403" t="str">
        <f>+'P3'!X8</f>
        <v>Por definir</v>
      </c>
      <c r="V13" s="403">
        <f>+'P3'!Y8</f>
        <v>5177376928</v>
      </c>
      <c r="W13" s="404">
        <f t="shared" si="1"/>
        <v>1.8784592914044759E-3</v>
      </c>
    </row>
    <row r="14" spans="1:84" s="401" customFormat="1">
      <c r="A14" s="398" t="s">
        <v>881</v>
      </c>
      <c r="B14" s="399">
        <f t="shared" ref="B14:V14" si="5">B15+B16+B17+B18</f>
        <v>0</v>
      </c>
      <c r="C14" s="399">
        <f t="shared" si="5"/>
        <v>0</v>
      </c>
      <c r="D14" s="399">
        <f t="shared" si="5"/>
        <v>6168207570</v>
      </c>
      <c r="E14" s="399">
        <f t="shared" si="5"/>
        <v>7110815930</v>
      </c>
      <c r="F14" s="399">
        <f t="shared" si="5"/>
        <v>7110815930</v>
      </c>
      <c r="G14" s="399">
        <f t="shared" si="5"/>
        <v>6976232832.8000002</v>
      </c>
      <c r="H14" s="399">
        <f t="shared" si="5"/>
        <v>6976232832.8000002</v>
      </c>
      <c r="I14" s="399">
        <f t="shared" si="5"/>
        <v>7709683712.8000002</v>
      </c>
      <c r="J14" s="399">
        <f t="shared" si="5"/>
        <v>6976232832.8000002</v>
      </c>
      <c r="K14" s="399">
        <f t="shared" si="5"/>
        <v>6976232832.8000002</v>
      </c>
      <c r="L14" s="399">
        <f t="shared" si="5"/>
        <v>7709683712.8000002</v>
      </c>
      <c r="M14" s="399">
        <f t="shared" si="5"/>
        <v>6976232832.8000002</v>
      </c>
      <c r="N14" s="399">
        <f t="shared" si="5"/>
        <v>6976232832.8000002</v>
      </c>
      <c r="O14" s="399">
        <f t="shared" si="5"/>
        <v>7709683712.8000002</v>
      </c>
      <c r="P14" s="399">
        <f t="shared" si="5"/>
        <v>6976232832.8000002</v>
      </c>
      <c r="Q14" s="399">
        <f t="shared" si="5"/>
        <v>6377365050</v>
      </c>
      <c r="R14" s="399">
        <f t="shared" si="5"/>
        <v>7110815930</v>
      </c>
      <c r="S14" s="399">
        <f t="shared" si="5"/>
        <v>6377365050</v>
      </c>
      <c r="T14" s="399">
        <f t="shared" si="5"/>
        <v>6377365050</v>
      </c>
      <c r="U14" s="399">
        <f t="shared" si="5"/>
        <v>6168207570</v>
      </c>
      <c r="V14" s="399">
        <f t="shared" si="5"/>
        <v>124763639048</v>
      </c>
      <c r="W14" s="400">
        <f t="shared" si="1"/>
        <v>4.5266825316827672E-2</v>
      </c>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row>
    <row r="15" spans="1:84">
      <c r="A15" s="402" t="s">
        <v>882</v>
      </c>
      <c r="B15" s="403">
        <f>+'P4'!E8</f>
        <v>0</v>
      </c>
      <c r="C15" s="403">
        <f>+'P4'!F8</f>
        <v>0</v>
      </c>
      <c r="D15" s="403">
        <f>+'P4'!G8</f>
        <v>3122519035</v>
      </c>
      <c r="E15" s="403">
        <f>+'P4'!H8</f>
        <v>3122519035</v>
      </c>
      <c r="F15" s="403">
        <f>+'P4'!I8</f>
        <v>3122519035</v>
      </c>
      <c r="G15" s="403">
        <f>+'P4'!J8</f>
        <v>3122519035</v>
      </c>
      <c r="H15" s="403">
        <f>+'P4'!K8</f>
        <v>3122519035</v>
      </c>
      <c r="I15" s="403">
        <f>+'P4'!L8</f>
        <v>3122519035</v>
      </c>
      <c r="J15" s="403">
        <f>+'P4'!M8</f>
        <v>3122519035</v>
      </c>
      <c r="K15" s="403">
        <f>+'P4'!N8</f>
        <v>3122519035</v>
      </c>
      <c r="L15" s="403">
        <f>+'P4'!O8</f>
        <v>3122519035</v>
      </c>
      <c r="M15" s="403">
        <f>+'P4'!P8</f>
        <v>3122519035</v>
      </c>
      <c r="N15" s="403">
        <f>+'P4'!Q8</f>
        <v>3122519035</v>
      </c>
      <c r="O15" s="403">
        <f>+'P4'!R8</f>
        <v>3122519035</v>
      </c>
      <c r="P15" s="403">
        <f>+'P4'!S8</f>
        <v>3122519035</v>
      </c>
      <c r="Q15" s="403">
        <f>+'P4'!T8</f>
        <v>3122519035</v>
      </c>
      <c r="R15" s="403">
        <f>+'P4'!U8</f>
        <v>3122519035</v>
      </c>
      <c r="S15" s="403">
        <f>+'P4'!V8</f>
        <v>3122519035</v>
      </c>
      <c r="T15" s="403">
        <f>+'P4'!W8</f>
        <v>3122519035</v>
      </c>
      <c r="U15" s="403">
        <f>+'P4'!X8</f>
        <v>3122519035</v>
      </c>
      <c r="V15" s="403">
        <f>+'P4'!Y8</f>
        <v>56205342630</v>
      </c>
      <c r="W15" s="404">
        <f t="shared" si="1"/>
        <v>2.039245926231616E-2</v>
      </c>
    </row>
    <row r="16" spans="1:84" s="205" customFormat="1" ht="30">
      <c r="A16" s="402" t="s">
        <v>893</v>
      </c>
      <c r="B16" s="403">
        <f>+'P4'!E9</f>
        <v>0</v>
      </c>
      <c r="C16" s="403">
        <f>+'P4'!F9</f>
        <v>0</v>
      </c>
      <c r="D16" s="403">
        <f>+'P4'!G9</f>
        <v>733450880</v>
      </c>
      <c r="E16" s="403">
        <f>+'P4'!H9</f>
        <v>733450880</v>
      </c>
      <c r="F16" s="403">
        <f>+'P4'!I9</f>
        <v>733450880</v>
      </c>
      <c r="G16" s="403">
        <f>+'P4'!J9</f>
        <v>0</v>
      </c>
      <c r="H16" s="403">
        <f>+'P4'!K9</f>
        <v>0</v>
      </c>
      <c r="I16" s="403">
        <f>+'P4'!L9</f>
        <v>733450880</v>
      </c>
      <c r="J16" s="403">
        <f>+'P4'!M9</f>
        <v>0</v>
      </c>
      <c r="K16" s="403">
        <f>+'P4'!N9</f>
        <v>0</v>
      </c>
      <c r="L16" s="403">
        <f>+'P4'!O9</f>
        <v>733450880</v>
      </c>
      <c r="M16" s="403">
        <f>+'P4'!P9</f>
        <v>0</v>
      </c>
      <c r="N16" s="403">
        <f>+'P4'!Q9</f>
        <v>0</v>
      </c>
      <c r="O16" s="403">
        <f>+'P4'!R9</f>
        <v>733450880</v>
      </c>
      <c r="P16" s="403">
        <f>+'P4'!S9</f>
        <v>0</v>
      </c>
      <c r="Q16" s="403">
        <f>+'P4'!T9</f>
        <v>0</v>
      </c>
      <c r="R16" s="403">
        <f>+'P4'!U9</f>
        <v>733450880</v>
      </c>
      <c r="S16" s="403">
        <f>+'P4'!V9</f>
        <v>0</v>
      </c>
      <c r="T16" s="403">
        <f>+'P4'!W9</f>
        <v>0</v>
      </c>
      <c r="U16" s="403">
        <f>+'P4'!X9</f>
        <v>733450880</v>
      </c>
      <c r="V16" s="403">
        <f>+'P4'!Y9</f>
        <v>5867607040</v>
      </c>
      <c r="W16" s="404">
        <f t="shared" si="1"/>
        <v>2.1288890331684026E-3</v>
      </c>
    </row>
    <row r="17" spans="1:84" s="205" customFormat="1" ht="30">
      <c r="A17" s="402" t="s">
        <v>1308</v>
      </c>
      <c r="B17" s="403">
        <f>+'P4'!E10</f>
        <v>0</v>
      </c>
      <c r="C17" s="403">
        <f>+'P4'!F10</f>
        <v>0</v>
      </c>
      <c r="D17" s="403">
        <f>+'P4'!G10</f>
        <v>2312237655</v>
      </c>
      <c r="E17" s="403">
        <f>+'P4'!H10</f>
        <v>2312237655</v>
      </c>
      <c r="F17" s="403">
        <f>+'P4'!I10</f>
        <v>2312237655</v>
      </c>
      <c r="G17" s="403">
        <f>+'P4'!J10</f>
        <v>2312237655</v>
      </c>
      <c r="H17" s="403">
        <f>+'P4'!K10</f>
        <v>2312237655</v>
      </c>
      <c r="I17" s="403">
        <f>+'P4'!L10</f>
        <v>2312237655</v>
      </c>
      <c r="J17" s="403">
        <f>+'P4'!M10</f>
        <v>2312237655</v>
      </c>
      <c r="K17" s="403">
        <f>+'P4'!N10</f>
        <v>2312237655</v>
      </c>
      <c r="L17" s="403">
        <f>+'P4'!O10</f>
        <v>2312237655</v>
      </c>
      <c r="M17" s="403">
        <f>+'P4'!P10</f>
        <v>2312237655</v>
      </c>
      <c r="N17" s="403">
        <f>+'P4'!Q10</f>
        <v>2312237655</v>
      </c>
      <c r="O17" s="403">
        <f>+'P4'!R10</f>
        <v>2312237655</v>
      </c>
      <c r="P17" s="403">
        <f>+'P4'!S10</f>
        <v>2312237655</v>
      </c>
      <c r="Q17" s="403">
        <f>+'P4'!T10</f>
        <v>2312237655</v>
      </c>
      <c r="R17" s="403">
        <f>+'P4'!U10</f>
        <v>2312237655</v>
      </c>
      <c r="S17" s="403">
        <f>+'P4'!V10</f>
        <v>2312237655</v>
      </c>
      <c r="T17" s="403">
        <f>+'P4'!W10</f>
        <v>2312237655</v>
      </c>
      <c r="U17" s="403">
        <f>+'P4'!X10</f>
        <v>2312237655</v>
      </c>
      <c r="V17" s="403">
        <f>+'P4'!Y10</f>
        <v>41620277790</v>
      </c>
      <c r="W17" s="404">
        <f t="shared" si="1"/>
        <v>1.5100696474819391E-2</v>
      </c>
    </row>
    <row r="18" spans="1:84">
      <c r="A18" s="402" t="s">
        <v>917</v>
      </c>
      <c r="B18" s="403">
        <f>+'P4'!E11</f>
        <v>0</v>
      </c>
      <c r="C18" s="403">
        <f>+'P4'!F11</f>
        <v>0</v>
      </c>
      <c r="D18" s="403">
        <f>+'P4'!G11</f>
        <v>0</v>
      </c>
      <c r="E18" s="403">
        <f>+'P4'!H11</f>
        <v>942608360</v>
      </c>
      <c r="F18" s="403">
        <f>+'P4'!I11</f>
        <v>942608360</v>
      </c>
      <c r="G18" s="403">
        <f>+'P4'!J11</f>
        <v>1541476142.8</v>
      </c>
      <c r="H18" s="403">
        <f>+'P4'!K11</f>
        <v>1541476142.8</v>
      </c>
      <c r="I18" s="403">
        <f>+'P4'!L11</f>
        <v>1541476142.8</v>
      </c>
      <c r="J18" s="403">
        <f>+'P4'!M11</f>
        <v>1541476142.8</v>
      </c>
      <c r="K18" s="403">
        <f>+'P4'!N11</f>
        <v>1541476142.8</v>
      </c>
      <c r="L18" s="403">
        <f>+'P4'!O11</f>
        <v>1541476142.8</v>
      </c>
      <c r="M18" s="403">
        <f>+'P4'!P11</f>
        <v>1541476142.8</v>
      </c>
      <c r="N18" s="403">
        <f>+'P4'!Q11</f>
        <v>1541476142.8</v>
      </c>
      <c r="O18" s="403">
        <f>+'P4'!R11</f>
        <v>1541476142.8</v>
      </c>
      <c r="P18" s="403">
        <f>+'P4'!S11</f>
        <v>1541476142.8</v>
      </c>
      <c r="Q18" s="403">
        <f>+'P4'!T11</f>
        <v>942608360</v>
      </c>
      <c r="R18" s="403">
        <f>+'P4'!U11</f>
        <v>942608360</v>
      </c>
      <c r="S18" s="403">
        <f>+'P4'!V11</f>
        <v>942608360</v>
      </c>
      <c r="T18" s="403">
        <f>+'P4'!W11</f>
        <v>942608360</v>
      </c>
      <c r="U18" s="403">
        <f>+'P4'!X11</f>
        <v>0</v>
      </c>
      <c r="V18" s="403">
        <f>+'P4'!Y11</f>
        <v>21070411587.999996</v>
      </c>
      <c r="W18" s="404">
        <f t="shared" si="1"/>
        <v>7.6447805465237181E-3</v>
      </c>
    </row>
    <row r="19" spans="1:84" s="401" customFormat="1">
      <c r="A19" s="398" t="s">
        <v>929</v>
      </c>
      <c r="B19" s="399">
        <f t="shared" ref="B19:V19" si="6">B20+B21+B22+B23</f>
        <v>0</v>
      </c>
      <c r="C19" s="399">
        <f t="shared" si="6"/>
        <v>0</v>
      </c>
      <c r="D19" s="399">
        <f t="shared" si="6"/>
        <v>4697974743</v>
      </c>
      <c r="E19" s="399">
        <f t="shared" si="6"/>
        <v>6675598090.5</v>
      </c>
      <c r="F19" s="399">
        <f t="shared" si="6"/>
        <v>4866751013.1999998</v>
      </c>
      <c r="G19" s="399">
        <f t="shared" si="6"/>
        <v>10863214703.200001</v>
      </c>
      <c r="H19" s="399">
        <f t="shared" si="6"/>
        <v>8885591355.7000008</v>
      </c>
      <c r="I19" s="399">
        <f t="shared" si="6"/>
        <v>10863214703.200001</v>
      </c>
      <c r="J19" s="399">
        <f t="shared" si="6"/>
        <v>5533362850.5</v>
      </c>
      <c r="K19" s="399">
        <f t="shared" si="6"/>
        <v>10138264228.200001</v>
      </c>
      <c r="L19" s="399">
        <f t="shared" si="6"/>
        <v>6258313325.5</v>
      </c>
      <c r="M19" s="399">
        <f t="shared" si="6"/>
        <v>10138264228.200001</v>
      </c>
      <c r="N19" s="399">
        <f t="shared" si="6"/>
        <v>5533362850.5</v>
      </c>
      <c r="O19" s="399">
        <f t="shared" si="6"/>
        <v>10863214703.200001</v>
      </c>
      <c r="P19" s="399">
        <f t="shared" si="6"/>
        <v>5533362850.5</v>
      </c>
      <c r="Q19" s="399">
        <f t="shared" si="6"/>
        <v>7593983906.6999998</v>
      </c>
      <c r="R19" s="399">
        <f t="shared" si="6"/>
        <v>4424802289</v>
      </c>
      <c r="S19" s="399">
        <f t="shared" si="6"/>
        <v>7593983906.6999998</v>
      </c>
      <c r="T19" s="399">
        <f t="shared" si="6"/>
        <v>3699851814</v>
      </c>
      <c r="U19" s="399">
        <f t="shared" si="6"/>
        <v>8318934381.6999998</v>
      </c>
      <c r="V19" s="399">
        <f t="shared" si="6"/>
        <v>132482045943.5</v>
      </c>
      <c r="W19" s="400">
        <f t="shared" si="1"/>
        <v>4.8067222766988431E-2</v>
      </c>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row>
    <row r="20" spans="1:84">
      <c r="A20" s="402" t="s">
        <v>1309</v>
      </c>
      <c r="B20" s="403">
        <f>+'P5'!E8</f>
        <v>0</v>
      </c>
      <c r="C20" s="403">
        <f>+'P5'!F8</f>
        <v>0</v>
      </c>
      <c r="D20" s="403">
        <f>+'P5'!G8</f>
        <v>724950475</v>
      </c>
      <c r="E20" s="403">
        <f>+'P5'!H8</f>
        <v>724950475</v>
      </c>
      <c r="F20" s="403">
        <f>+'P5'!I8</f>
        <v>724950475</v>
      </c>
      <c r="G20" s="403">
        <f>+'P5'!J8</f>
        <v>724950475</v>
      </c>
      <c r="H20" s="403">
        <f>+'P5'!K8</f>
        <v>724950475</v>
      </c>
      <c r="I20" s="403">
        <f>+'P5'!L8</f>
        <v>724950475</v>
      </c>
      <c r="J20" s="403">
        <f>+'P5'!M8</f>
        <v>0</v>
      </c>
      <c r="K20" s="403">
        <f>+'P5'!N8</f>
        <v>0</v>
      </c>
      <c r="L20" s="403">
        <f>+'P5'!O8</f>
        <v>724950475</v>
      </c>
      <c r="M20" s="403">
        <f>+'P5'!P8</f>
        <v>0</v>
      </c>
      <c r="N20" s="403">
        <f>+'P5'!Q8</f>
        <v>0</v>
      </c>
      <c r="O20" s="403">
        <f>+'P5'!R8</f>
        <v>724950475</v>
      </c>
      <c r="P20" s="403">
        <f>+'P5'!S8</f>
        <v>0</v>
      </c>
      <c r="Q20" s="403">
        <f>+'P5'!T8</f>
        <v>0</v>
      </c>
      <c r="R20" s="403">
        <f>+'P5'!U8</f>
        <v>724950475</v>
      </c>
      <c r="S20" s="403">
        <f>+'P5'!V8</f>
        <v>0</v>
      </c>
      <c r="T20" s="403">
        <f>+'P5'!W8</f>
        <v>0</v>
      </c>
      <c r="U20" s="403">
        <f>+'P5'!X8</f>
        <v>724950475</v>
      </c>
      <c r="V20" s="403">
        <f>+'P5'!Y8</f>
        <v>7249504750</v>
      </c>
      <c r="W20" s="404">
        <f t="shared" si="1"/>
        <v>2.6302700663092191E-3</v>
      </c>
    </row>
    <row r="21" spans="1:84" s="205" customFormat="1" ht="30">
      <c r="A21" s="402" t="s">
        <v>1310</v>
      </c>
      <c r="B21" s="403">
        <f>+'P5'!E9</f>
        <v>0</v>
      </c>
      <c r="C21" s="403">
        <f>+'P5'!F9</f>
        <v>0</v>
      </c>
      <c r="D21" s="403">
        <f>+'P5'!G9</f>
        <v>2458501760</v>
      </c>
      <c r="E21" s="403">
        <f>+'P5'!H9</f>
        <v>2458501760</v>
      </c>
      <c r="F21" s="403">
        <f>+'P5'!I9</f>
        <v>2627278030.1999998</v>
      </c>
      <c r="G21" s="403">
        <f>+'P5'!J9</f>
        <v>2627278030.1999998</v>
      </c>
      <c r="H21" s="403">
        <f>+'P5'!K9</f>
        <v>2627278030.1999998</v>
      </c>
      <c r="I21" s="403">
        <f>+'P5'!L9</f>
        <v>2627278030.1999998</v>
      </c>
      <c r="J21" s="403">
        <f>+'P5'!M9</f>
        <v>0</v>
      </c>
      <c r="K21" s="403">
        <f>+'P5'!N9</f>
        <v>2627278030.1999998</v>
      </c>
      <c r="L21" s="403">
        <f>+'P5'!O9</f>
        <v>0</v>
      </c>
      <c r="M21" s="403">
        <f>+'P5'!P9</f>
        <v>2627278030.1999998</v>
      </c>
      <c r="N21" s="403">
        <f>+'P5'!Q9</f>
        <v>0</v>
      </c>
      <c r="O21" s="403">
        <f>+'P5'!R9</f>
        <v>2627278030.1999998</v>
      </c>
      <c r="P21" s="403">
        <f>+'P5'!S9</f>
        <v>0</v>
      </c>
      <c r="Q21" s="403">
        <f>+'P5'!T9</f>
        <v>2627278030.1999998</v>
      </c>
      <c r="R21" s="403">
        <f>+'P5'!U9</f>
        <v>0</v>
      </c>
      <c r="S21" s="403">
        <f>+'P5'!V9</f>
        <v>2627278030.1999998</v>
      </c>
      <c r="T21" s="403">
        <f>+'P5'!W9</f>
        <v>0</v>
      </c>
      <c r="U21" s="403">
        <f>+'P5'!X9</f>
        <v>2627278030.1999998</v>
      </c>
      <c r="V21" s="403">
        <f>+'P5'!Y9</f>
        <v>31189783822.000004</v>
      </c>
      <c r="W21" s="404">
        <f t="shared" si="1"/>
        <v>1.1316297814917931E-2</v>
      </c>
    </row>
    <row r="22" spans="1:84" s="205" customFormat="1">
      <c r="A22" s="402" t="s">
        <v>1311</v>
      </c>
      <c r="B22" s="403">
        <f>+'P5'!E10</f>
        <v>0</v>
      </c>
      <c r="C22" s="403">
        <f>+'P5'!F10</f>
        <v>0</v>
      </c>
      <c r="D22" s="403">
        <f>+'P5'!G10</f>
        <v>1514522508</v>
      </c>
      <c r="E22" s="403">
        <f>+'P5'!H10</f>
        <v>1514522508</v>
      </c>
      <c r="F22" s="403">
        <f>+'P5'!I10</f>
        <v>1514522508</v>
      </c>
      <c r="G22" s="403">
        <f>+'P5'!J10</f>
        <v>5533362850.5</v>
      </c>
      <c r="H22" s="403">
        <f>+'P5'!K10</f>
        <v>5533362850.5</v>
      </c>
      <c r="I22" s="403">
        <f>+'P5'!L10</f>
        <v>5533362850.5</v>
      </c>
      <c r="J22" s="403">
        <f>+'P5'!M10</f>
        <v>5533362850.5</v>
      </c>
      <c r="K22" s="403">
        <f>+'P5'!N10</f>
        <v>5533362850.5</v>
      </c>
      <c r="L22" s="403">
        <f>+'P5'!O10</f>
        <v>5533362850.5</v>
      </c>
      <c r="M22" s="403">
        <f>+'P5'!P10</f>
        <v>5533362850.5</v>
      </c>
      <c r="N22" s="403">
        <f>+'P5'!Q10</f>
        <v>5533362850.5</v>
      </c>
      <c r="O22" s="403">
        <f>+'P5'!R10</f>
        <v>5533362850.5</v>
      </c>
      <c r="P22" s="403">
        <f>+'P5'!S10</f>
        <v>5533362850.5</v>
      </c>
      <c r="Q22" s="403">
        <f>+'P5'!T10</f>
        <v>2989082529</v>
      </c>
      <c r="R22" s="403">
        <f>+'P5'!U10</f>
        <v>3699851814</v>
      </c>
      <c r="S22" s="403">
        <f>+'P5'!V10</f>
        <v>2989082529</v>
      </c>
      <c r="T22" s="403">
        <f>+'P5'!W10</f>
        <v>3699851814</v>
      </c>
      <c r="U22" s="403">
        <f>+'P5'!X10</f>
        <v>2989082529</v>
      </c>
      <c r="V22" s="403">
        <f>+'P5'!Y10</f>
        <v>76244147244</v>
      </c>
      <c r="W22" s="404">
        <f t="shared" si="1"/>
        <v>2.7662951490191899E-2</v>
      </c>
    </row>
    <row r="23" spans="1:84" s="205" customFormat="1">
      <c r="A23" s="402" t="s">
        <v>1312</v>
      </c>
      <c r="B23" s="403">
        <f>+'P5'!E11</f>
        <v>0</v>
      </c>
      <c r="C23" s="403">
        <f>+'P5'!F11</f>
        <v>0</v>
      </c>
      <c r="D23" s="403">
        <f>+'P5'!G11</f>
        <v>0</v>
      </c>
      <c r="E23" s="403">
        <f>+'P5'!H11</f>
        <v>1977623347.5</v>
      </c>
      <c r="F23" s="403">
        <f>+'P5'!I11</f>
        <v>0</v>
      </c>
      <c r="G23" s="403">
        <f>+'P5'!J11</f>
        <v>1977623347.5</v>
      </c>
      <c r="H23" s="403">
        <f>+'P5'!K11</f>
        <v>0</v>
      </c>
      <c r="I23" s="403">
        <f>+'P5'!L11</f>
        <v>1977623347.5</v>
      </c>
      <c r="J23" s="403">
        <f>+'P5'!M11</f>
        <v>0</v>
      </c>
      <c r="K23" s="403">
        <f>+'P5'!N11</f>
        <v>1977623347.5</v>
      </c>
      <c r="L23" s="403">
        <f>+'P5'!O11</f>
        <v>0</v>
      </c>
      <c r="M23" s="403">
        <f>+'P5'!P11</f>
        <v>1977623347.5</v>
      </c>
      <c r="N23" s="403">
        <f>+'P5'!Q11</f>
        <v>0</v>
      </c>
      <c r="O23" s="403">
        <f>+'P5'!R11</f>
        <v>1977623347.5</v>
      </c>
      <c r="P23" s="403">
        <f>+'P5'!S11</f>
        <v>0</v>
      </c>
      <c r="Q23" s="403">
        <f>+'P5'!T11</f>
        <v>1977623347.5</v>
      </c>
      <c r="R23" s="403">
        <f>+'P5'!U11</f>
        <v>0</v>
      </c>
      <c r="S23" s="403">
        <f>+'P5'!V11</f>
        <v>1977623347.5</v>
      </c>
      <c r="T23" s="403">
        <f>+'P5'!W11</f>
        <v>0</v>
      </c>
      <c r="U23" s="403">
        <f>+'P5'!X11</f>
        <v>1977623347.5</v>
      </c>
      <c r="V23" s="403">
        <f>+'P5'!Y11</f>
        <v>17798610127.5</v>
      </c>
      <c r="W23" s="404">
        <f t="shared" si="1"/>
        <v>6.4577033955693823E-3</v>
      </c>
    </row>
    <row r="24" spans="1:84" s="407" customFormat="1">
      <c r="A24" s="398" t="s">
        <v>969</v>
      </c>
      <c r="B24" s="399">
        <f t="shared" ref="B24:V24" si="7">B25+B26+B27</f>
        <v>0</v>
      </c>
      <c r="C24" s="399">
        <f t="shared" si="7"/>
        <v>7309655720</v>
      </c>
      <c r="D24" s="399">
        <f t="shared" si="7"/>
        <v>7309655720</v>
      </c>
      <c r="E24" s="399">
        <f t="shared" si="7"/>
        <v>8063607445.3800001</v>
      </c>
      <c r="F24" s="399">
        <f t="shared" si="7"/>
        <v>8063607445.3800001</v>
      </c>
      <c r="G24" s="399">
        <f t="shared" si="7"/>
        <v>8063607445.3800001</v>
      </c>
      <c r="H24" s="399">
        <f t="shared" si="7"/>
        <v>8063607445.3800001</v>
      </c>
      <c r="I24" s="399">
        <f t="shared" si="7"/>
        <v>8063607445.3800001</v>
      </c>
      <c r="J24" s="399">
        <f t="shared" si="7"/>
        <v>8063607445.3800001</v>
      </c>
      <c r="K24" s="399">
        <f t="shared" si="7"/>
        <v>8063607445.3800001</v>
      </c>
      <c r="L24" s="399">
        <f t="shared" si="7"/>
        <v>8063607445.3800001</v>
      </c>
      <c r="M24" s="399">
        <f t="shared" si="7"/>
        <v>8063607445.3800001</v>
      </c>
      <c r="N24" s="399">
        <f t="shared" si="7"/>
        <v>8063607445.3800001</v>
      </c>
      <c r="O24" s="399">
        <f t="shared" si="7"/>
        <v>7309655720</v>
      </c>
      <c r="P24" s="399">
        <f t="shared" si="7"/>
        <v>7309655720</v>
      </c>
      <c r="Q24" s="399">
        <f t="shared" si="7"/>
        <v>7309655720</v>
      </c>
      <c r="R24" s="399">
        <f t="shared" si="7"/>
        <v>7309655720</v>
      </c>
      <c r="S24" s="399">
        <f t="shared" si="7"/>
        <v>7309655720</v>
      </c>
      <c r="T24" s="399">
        <f t="shared" si="7"/>
        <v>7309655720</v>
      </c>
      <c r="U24" s="399">
        <f t="shared" si="7"/>
        <v>0</v>
      </c>
      <c r="V24" s="399">
        <f t="shared" si="7"/>
        <v>139113320213.79999</v>
      </c>
      <c r="W24" s="400">
        <f t="shared" si="1"/>
        <v>5.0473186045329146E-2</v>
      </c>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row>
    <row r="25" spans="1:84">
      <c r="A25" s="402" t="s">
        <v>970</v>
      </c>
      <c r="B25" s="403">
        <f>+'P6'!E8</f>
        <v>0</v>
      </c>
      <c r="C25" s="403">
        <f>+'P6'!F8</f>
        <v>2695319035</v>
      </c>
      <c r="D25" s="403">
        <f>+'P6'!G8</f>
        <v>2695319035</v>
      </c>
      <c r="E25" s="403">
        <f>+'P6'!H8</f>
        <v>3319720760.3800001</v>
      </c>
      <c r="F25" s="403">
        <f>+'P6'!I8</f>
        <v>3319720760.3800001</v>
      </c>
      <c r="G25" s="403">
        <f>+'P6'!J8</f>
        <v>3319720760.3800001</v>
      </c>
      <c r="H25" s="403">
        <f>+'P6'!K8</f>
        <v>3319720760.3800001</v>
      </c>
      <c r="I25" s="403">
        <f>+'P6'!L8</f>
        <v>3319720760.3800001</v>
      </c>
      <c r="J25" s="403">
        <f>+'P6'!M8</f>
        <v>3319720760.3800001</v>
      </c>
      <c r="K25" s="403">
        <f>+'P6'!N8</f>
        <v>3319720760.3800001</v>
      </c>
      <c r="L25" s="403">
        <f>+'P6'!O8</f>
        <v>3319720760.3800001</v>
      </c>
      <c r="M25" s="403">
        <f>+'P6'!P8</f>
        <v>3319720760.3800001</v>
      </c>
      <c r="N25" s="403">
        <f>+'P6'!Q8</f>
        <v>3319720760.3800001</v>
      </c>
      <c r="O25" s="403">
        <f>+'P6'!R8</f>
        <v>2695319035</v>
      </c>
      <c r="P25" s="403">
        <f>+'P6'!S8</f>
        <v>2695319035</v>
      </c>
      <c r="Q25" s="403">
        <f>+'P6'!T8</f>
        <v>2695319035</v>
      </c>
      <c r="R25" s="403">
        <f>+'P6'!U8</f>
        <v>2695319035</v>
      </c>
      <c r="S25" s="403">
        <f>+'P6'!V8</f>
        <v>2695319035</v>
      </c>
      <c r="T25" s="403">
        <f>+'P6'!W8</f>
        <v>2695319035</v>
      </c>
      <c r="U25" s="403">
        <f>+'P6'!X8</f>
        <v>0</v>
      </c>
      <c r="V25" s="403">
        <f>+'P6'!Y8</f>
        <v>54759759883.800003</v>
      </c>
      <c r="W25" s="404">
        <f t="shared" si="1"/>
        <v>1.9867971982588127E-2</v>
      </c>
    </row>
    <row r="26" spans="1:84" ht="29.1" customHeight="1">
      <c r="A26" s="402" t="s">
        <v>982</v>
      </c>
      <c r="B26" s="403">
        <f>+'P6'!E9</f>
        <v>0</v>
      </c>
      <c r="C26" s="403">
        <f>+'P6'!F9</f>
        <v>3044786115</v>
      </c>
      <c r="D26" s="403">
        <f>+'P6'!G9</f>
        <v>3044786115</v>
      </c>
      <c r="E26" s="403">
        <f>+'P6'!H9</f>
        <v>3044786115</v>
      </c>
      <c r="F26" s="403">
        <f>+'P6'!I9</f>
        <v>3044786115</v>
      </c>
      <c r="G26" s="403">
        <f>+'P6'!J9</f>
        <v>3044786115</v>
      </c>
      <c r="H26" s="403">
        <f>+'P6'!K9</f>
        <v>3044786115</v>
      </c>
      <c r="I26" s="403">
        <f>+'P6'!L9</f>
        <v>3044786115</v>
      </c>
      <c r="J26" s="403">
        <f>+'P6'!M9</f>
        <v>3044786115</v>
      </c>
      <c r="K26" s="403">
        <f>+'P6'!N9</f>
        <v>3044786115</v>
      </c>
      <c r="L26" s="403">
        <f>+'P6'!O9</f>
        <v>3044786115</v>
      </c>
      <c r="M26" s="403">
        <f>+'P6'!P9</f>
        <v>3044786115</v>
      </c>
      <c r="N26" s="403">
        <f>+'P6'!Q9</f>
        <v>3044786115</v>
      </c>
      <c r="O26" s="403">
        <f>+'P6'!R9</f>
        <v>3044786115</v>
      </c>
      <c r="P26" s="403">
        <f>+'P6'!S9</f>
        <v>3044786115</v>
      </c>
      <c r="Q26" s="403">
        <f>+'P6'!T9</f>
        <v>3044786115</v>
      </c>
      <c r="R26" s="403">
        <f>+'P6'!U9</f>
        <v>3044786115</v>
      </c>
      <c r="S26" s="403">
        <f>+'P6'!V9</f>
        <v>3044786115</v>
      </c>
      <c r="T26" s="403">
        <f>+'P6'!W9</f>
        <v>3044786115</v>
      </c>
      <c r="U26" s="403">
        <f>+'P6'!X9</f>
        <v>0</v>
      </c>
      <c r="V26" s="403">
        <f>+'P6'!Y9</f>
        <v>54806150070</v>
      </c>
      <c r="W26" s="404">
        <f t="shared" si="1"/>
        <v>1.9884803300359508E-2</v>
      </c>
    </row>
    <row r="27" spans="1:84">
      <c r="A27" s="402" t="s">
        <v>1313</v>
      </c>
      <c r="B27" s="403">
        <f>+'P6'!E10</f>
        <v>0</v>
      </c>
      <c r="C27" s="403">
        <f>+'P6'!F10</f>
        <v>1569550570</v>
      </c>
      <c r="D27" s="403">
        <f>+'P6'!G10</f>
        <v>1569550570</v>
      </c>
      <c r="E27" s="403">
        <f>+'P6'!H10</f>
        <v>1699100570</v>
      </c>
      <c r="F27" s="403">
        <f>+'P6'!I10</f>
        <v>1699100570</v>
      </c>
      <c r="G27" s="403">
        <f>+'P6'!J10</f>
        <v>1699100570</v>
      </c>
      <c r="H27" s="403">
        <f>+'P6'!K10</f>
        <v>1699100570</v>
      </c>
      <c r="I27" s="403">
        <f>+'P6'!L10</f>
        <v>1699100570</v>
      </c>
      <c r="J27" s="403">
        <f>+'P6'!M10</f>
        <v>1699100570</v>
      </c>
      <c r="K27" s="403">
        <f>+'P6'!N10</f>
        <v>1699100570</v>
      </c>
      <c r="L27" s="403">
        <f>+'P6'!O10</f>
        <v>1699100570</v>
      </c>
      <c r="M27" s="403">
        <f>+'P6'!P10</f>
        <v>1699100570</v>
      </c>
      <c r="N27" s="403">
        <f>+'P6'!Q10</f>
        <v>1699100570</v>
      </c>
      <c r="O27" s="403">
        <f>+'P6'!R10</f>
        <v>1569550570</v>
      </c>
      <c r="P27" s="403">
        <f>+'P6'!S10</f>
        <v>1569550570</v>
      </c>
      <c r="Q27" s="403">
        <f>+'P6'!T10</f>
        <v>1569550570</v>
      </c>
      <c r="R27" s="403">
        <f>+'P6'!U10</f>
        <v>1569550570</v>
      </c>
      <c r="S27" s="403">
        <f>+'P6'!V10</f>
        <v>1569550570</v>
      </c>
      <c r="T27" s="403">
        <f>+'P6'!W10</f>
        <v>1569550570</v>
      </c>
      <c r="U27" s="403">
        <f>+'P6'!X10</f>
        <v>0</v>
      </c>
      <c r="V27" s="403">
        <f>+'P6'!Y10</f>
        <v>29547410260</v>
      </c>
      <c r="W27" s="404">
        <f t="shared" si="1"/>
        <v>1.0720410762381513E-2</v>
      </c>
    </row>
    <row r="28" spans="1:84" s="407" customFormat="1">
      <c r="A28" s="398" t="s">
        <v>1001</v>
      </c>
      <c r="B28" s="399">
        <f t="shared" ref="B28:V28" si="8">B29</f>
        <v>0</v>
      </c>
      <c r="C28" s="399">
        <f t="shared" si="8"/>
        <v>0</v>
      </c>
      <c r="D28" s="399">
        <f t="shared" si="8"/>
        <v>2279343862.5</v>
      </c>
      <c r="E28" s="399">
        <f t="shared" si="8"/>
        <v>2279343862.5</v>
      </c>
      <c r="F28" s="399">
        <f t="shared" si="8"/>
        <v>3219038472.0999999</v>
      </c>
      <c r="G28" s="399">
        <f t="shared" si="8"/>
        <v>3219038472.0999999</v>
      </c>
      <c r="H28" s="399">
        <f t="shared" si="8"/>
        <v>3219038472.0999999</v>
      </c>
      <c r="I28" s="399">
        <f t="shared" si="8"/>
        <v>3219038472.0999999</v>
      </c>
      <c r="J28" s="399">
        <f t="shared" si="8"/>
        <v>3219038472.0999999</v>
      </c>
      <c r="K28" s="399">
        <f t="shared" si="8"/>
        <v>3219038472.0999999</v>
      </c>
      <c r="L28" s="399">
        <f t="shared" si="8"/>
        <v>3219038472.0999999</v>
      </c>
      <c r="M28" s="399">
        <f t="shared" si="8"/>
        <v>3219038472.0999999</v>
      </c>
      <c r="N28" s="399">
        <f t="shared" si="8"/>
        <v>3219038472.0999999</v>
      </c>
      <c r="O28" s="399">
        <f t="shared" si="8"/>
        <v>3219038472.0999999</v>
      </c>
      <c r="P28" s="399">
        <f t="shared" si="8"/>
        <v>2279343862.5</v>
      </c>
      <c r="Q28" s="399">
        <f t="shared" si="8"/>
        <v>2279343862.5</v>
      </c>
      <c r="R28" s="399">
        <f t="shared" si="8"/>
        <v>2279343862.5</v>
      </c>
      <c r="S28" s="399">
        <f t="shared" si="8"/>
        <v>2279343862.5</v>
      </c>
      <c r="T28" s="399">
        <f t="shared" si="8"/>
        <v>2279343862.5</v>
      </c>
      <c r="U28" s="399">
        <f t="shared" si="8"/>
        <v>2279343862.5</v>
      </c>
      <c r="V28" s="399">
        <f t="shared" si="8"/>
        <v>50425135620.999992</v>
      </c>
      <c r="W28" s="400">
        <f t="shared" si="1"/>
        <v>1.8295280765696309E-2</v>
      </c>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row>
    <row r="29" spans="1:84">
      <c r="A29" s="402" t="s">
        <v>1002</v>
      </c>
      <c r="B29" s="403">
        <f>+'P7'!E8</f>
        <v>0</v>
      </c>
      <c r="C29" s="403">
        <f>+'P7'!F8</f>
        <v>0</v>
      </c>
      <c r="D29" s="403">
        <f>+'P7'!G8</f>
        <v>2279343862.5</v>
      </c>
      <c r="E29" s="403">
        <f>+'P7'!H8</f>
        <v>2279343862.5</v>
      </c>
      <c r="F29" s="403">
        <f>+'P7'!I8</f>
        <v>3219038472.0999999</v>
      </c>
      <c r="G29" s="403">
        <f>+'P7'!J8</f>
        <v>3219038472.0999999</v>
      </c>
      <c r="H29" s="403">
        <f>+'P7'!K8</f>
        <v>3219038472.0999999</v>
      </c>
      <c r="I29" s="403">
        <f>+'P7'!L8</f>
        <v>3219038472.0999999</v>
      </c>
      <c r="J29" s="403">
        <f>+'P7'!M8</f>
        <v>3219038472.0999999</v>
      </c>
      <c r="K29" s="403">
        <f>+'P7'!N8</f>
        <v>3219038472.0999999</v>
      </c>
      <c r="L29" s="403">
        <f>+'P7'!O8</f>
        <v>3219038472.0999999</v>
      </c>
      <c r="M29" s="403">
        <f>+'P7'!P8</f>
        <v>3219038472.0999999</v>
      </c>
      <c r="N29" s="403">
        <f>+'P7'!Q8</f>
        <v>3219038472.0999999</v>
      </c>
      <c r="O29" s="403">
        <f>+'P7'!R8</f>
        <v>3219038472.0999999</v>
      </c>
      <c r="P29" s="403">
        <f>+'P7'!S8</f>
        <v>2279343862.5</v>
      </c>
      <c r="Q29" s="403">
        <f>+'P7'!T8</f>
        <v>2279343862.5</v>
      </c>
      <c r="R29" s="403">
        <f>+'P7'!U8</f>
        <v>2279343862.5</v>
      </c>
      <c r="S29" s="403">
        <f>+'P7'!V8</f>
        <v>2279343862.5</v>
      </c>
      <c r="T29" s="403">
        <f>+'P7'!W8</f>
        <v>2279343862.5</v>
      </c>
      <c r="U29" s="403">
        <f>+'P7'!X8</f>
        <v>2279343862.5</v>
      </c>
      <c r="V29" s="403">
        <f>+'P7'!Y8</f>
        <v>50425135620.999992</v>
      </c>
      <c r="W29" s="404">
        <f t="shared" si="1"/>
        <v>1.8295280765696309E-2</v>
      </c>
    </row>
    <row r="30" spans="1:84" s="407" customFormat="1">
      <c r="A30" s="398" t="s">
        <v>1314</v>
      </c>
      <c r="B30" s="408">
        <f t="shared" ref="B30:V30" si="9">B31+B32</f>
        <v>0</v>
      </c>
      <c r="C30" s="408">
        <f t="shared" si="9"/>
        <v>0</v>
      </c>
      <c r="D30" s="408">
        <f t="shared" si="9"/>
        <v>5197145931.8000002</v>
      </c>
      <c r="E30" s="408">
        <f t="shared" si="9"/>
        <v>5197145931.8000002</v>
      </c>
      <c r="F30" s="408">
        <f t="shared" si="9"/>
        <v>5197145931.8000002</v>
      </c>
      <c r="G30" s="408">
        <f t="shared" si="9"/>
        <v>9273645931.7999992</v>
      </c>
      <c r="H30" s="408">
        <f t="shared" si="9"/>
        <v>9273645931.7999992</v>
      </c>
      <c r="I30" s="408">
        <f t="shared" si="9"/>
        <v>6895122380</v>
      </c>
      <c r="J30" s="408">
        <f t="shared" si="9"/>
        <v>6895122380</v>
      </c>
      <c r="K30" s="408">
        <f t="shared" si="9"/>
        <v>9273645931.7999992</v>
      </c>
      <c r="L30" s="408">
        <f t="shared" si="9"/>
        <v>6895122380</v>
      </c>
      <c r="M30" s="408">
        <f t="shared" si="9"/>
        <v>6895122380</v>
      </c>
      <c r="N30" s="408">
        <f t="shared" si="9"/>
        <v>9273645931.7999992</v>
      </c>
      <c r="O30" s="408">
        <f t="shared" si="9"/>
        <v>6895122380</v>
      </c>
      <c r="P30" s="408">
        <f t="shared" si="9"/>
        <v>6895122380</v>
      </c>
      <c r="Q30" s="408">
        <f t="shared" si="9"/>
        <v>5197145931.8000002</v>
      </c>
      <c r="R30" s="408">
        <f t="shared" si="9"/>
        <v>2818622380</v>
      </c>
      <c r="S30" s="408">
        <f t="shared" si="9"/>
        <v>2818622380</v>
      </c>
      <c r="T30" s="408">
        <f t="shared" si="9"/>
        <v>5197145931.8000002</v>
      </c>
      <c r="U30" s="408">
        <f t="shared" si="9"/>
        <v>2818622380</v>
      </c>
      <c r="V30" s="408">
        <f t="shared" si="9"/>
        <v>112906914806.2</v>
      </c>
      <c r="W30" s="400">
        <f t="shared" si="1"/>
        <v>4.0964960853922198E-2</v>
      </c>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row>
    <row r="31" spans="1:84" ht="22.5" customHeight="1">
      <c r="A31" s="402" t="s">
        <v>1013</v>
      </c>
      <c r="B31" s="403">
        <f>+'P8'!E8</f>
        <v>0</v>
      </c>
      <c r="C31" s="403">
        <f>+'P8'!F8</f>
        <v>0</v>
      </c>
      <c r="D31" s="403">
        <f>+'P8'!G8</f>
        <v>2378523551.8000002</v>
      </c>
      <c r="E31" s="403">
        <f>+'P8'!H8</f>
        <v>2378523551.8000002</v>
      </c>
      <c r="F31" s="403">
        <f>+'P8'!I8</f>
        <v>2378523551.8000002</v>
      </c>
      <c r="G31" s="403">
        <f>+'P8'!J8</f>
        <v>2378523551.8000002</v>
      </c>
      <c r="H31" s="403">
        <f>+'P8'!K8</f>
        <v>2378523551.8000002</v>
      </c>
      <c r="I31" s="403">
        <f>+'P8'!L8</f>
        <v>0</v>
      </c>
      <c r="J31" s="403">
        <f>+'P8'!M8</f>
        <v>0</v>
      </c>
      <c r="K31" s="403">
        <f>+'P8'!N8</f>
        <v>2378523551.8000002</v>
      </c>
      <c r="L31" s="403">
        <f>+'P8'!O8</f>
        <v>0</v>
      </c>
      <c r="M31" s="403">
        <f>+'P8'!P8</f>
        <v>0</v>
      </c>
      <c r="N31" s="403">
        <f>+'P8'!Q8</f>
        <v>2378523551.8000002</v>
      </c>
      <c r="O31" s="403">
        <f>+'P8'!R8</f>
        <v>0</v>
      </c>
      <c r="P31" s="403">
        <f>+'P8'!S8</f>
        <v>0</v>
      </c>
      <c r="Q31" s="403">
        <f>+'P8'!T8</f>
        <v>2378523551.8000002</v>
      </c>
      <c r="R31" s="403">
        <f>+'P8'!U8</f>
        <v>0</v>
      </c>
      <c r="S31" s="403">
        <f>+'P8'!V8</f>
        <v>0</v>
      </c>
      <c r="T31" s="403">
        <f>+'P8'!W8</f>
        <v>2378523551.8000002</v>
      </c>
      <c r="U31" s="403">
        <f>+'P8'!X8</f>
        <v>0</v>
      </c>
      <c r="V31" s="403">
        <f>+'P8'!Y8</f>
        <v>21406711966.199997</v>
      </c>
      <c r="W31" s="404">
        <f t="shared" si="1"/>
        <v>7.7667972702272145E-3</v>
      </c>
    </row>
    <row r="32" spans="1:84">
      <c r="A32" s="402" t="s">
        <v>1023</v>
      </c>
      <c r="B32" s="403">
        <f>+'P8'!E9</f>
        <v>0</v>
      </c>
      <c r="C32" s="403">
        <f>+'P8'!F9</f>
        <v>0</v>
      </c>
      <c r="D32" s="403">
        <f>+'P8'!G9</f>
        <v>2818622380</v>
      </c>
      <c r="E32" s="403">
        <f>+'P8'!H9</f>
        <v>2818622380</v>
      </c>
      <c r="F32" s="403">
        <f>+'P8'!I9</f>
        <v>2818622380</v>
      </c>
      <c r="G32" s="403">
        <f>+'P8'!J9</f>
        <v>6895122380</v>
      </c>
      <c r="H32" s="403">
        <f>+'P8'!K9</f>
        <v>6895122380</v>
      </c>
      <c r="I32" s="403">
        <f>+'P8'!L9</f>
        <v>6895122380</v>
      </c>
      <c r="J32" s="403">
        <f>+'P8'!M9</f>
        <v>6895122380</v>
      </c>
      <c r="K32" s="403">
        <f>+'P8'!N9</f>
        <v>6895122380</v>
      </c>
      <c r="L32" s="403">
        <f>+'P8'!O9</f>
        <v>6895122380</v>
      </c>
      <c r="M32" s="403">
        <f>+'P8'!P9</f>
        <v>6895122380</v>
      </c>
      <c r="N32" s="403">
        <f>+'P8'!Q9</f>
        <v>6895122380</v>
      </c>
      <c r="O32" s="403">
        <f>+'P8'!R9</f>
        <v>6895122380</v>
      </c>
      <c r="P32" s="403">
        <f>+'P8'!S9</f>
        <v>6895122380</v>
      </c>
      <c r="Q32" s="403">
        <f>+'P8'!T9</f>
        <v>2818622380</v>
      </c>
      <c r="R32" s="403">
        <f>+'P8'!U9</f>
        <v>2818622380</v>
      </c>
      <c r="S32" s="403">
        <f>+'P8'!V9</f>
        <v>2818622380</v>
      </c>
      <c r="T32" s="403">
        <f>+'P8'!W9</f>
        <v>2818622380</v>
      </c>
      <c r="U32" s="403">
        <f>+'P8'!X9</f>
        <v>2818622380</v>
      </c>
      <c r="V32" s="403">
        <f>+'P8'!Y9</f>
        <v>91500202840</v>
      </c>
      <c r="W32" s="404">
        <f t="shared" si="1"/>
        <v>3.3198163583694984E-2</v>
      </c>
    </row>
    <row r="33" spans="1:84" s="407" customFormat="1">
      <c r="A33" s="398" t="s">
        <v>1035</v>
      </c>
      <c r="B33" s="399">
        <f t="shared" ref="B33:F33" si="10">B34+B35+B36</f>
        <v>534186782</v>
      </c>
      <c r="C33" s="399">
        <f t="shared" si="10"/>
        <v>534186782</v>
      </c>
      <c r="D33" s="399">
        <f t="shared" si="10"/>
        <v>1057857756</v>
      </c>
      <c r="E33" s="399">
        <f t="shared" si="10"/>
        <v>1057857756</v>
      </c>
      <c r="F33" s="399">
        <f t="shared" si="10"/>
        <v>3172463436</v>
      </c>
      <c r="G33" s="399">
        <f>+G34+G36</f>
        <v>2638276654</v>
      </c>
      <c r="H33" s="399">
        <f t="shared" ref="H33:U33" si="11">+H34+H36</f>
        <v>2638276654</v>
      </c>
      <c r="I33" s="399">
        <f>+I34+I36</f>
        <v>2375705680</v>
      </c>
      <c r="J33" s="399">
        <f>+J34+J36</f>
        <v>2638276654</v>
      </c>
      <c r="K33" s="399">
        <f t="shared" si="11"/>
        <v>261100000</v>
      </c>
      <c r="L33" s="399">
        <f t="shared" si="11"/>
        <v>523670974</v>
      </c>
      <c r="M33" s="399">
        <f t="shared" si="11"/>
        <v>261100000</v>
      </c>
      <c r="N33" s="399">
        <f t="shared" si="11"/>
        <v>261100000</v>
      </c>
      <c r="O33" s="399">
        <f t="shared" si="11"/>
        <v>523670974</v>
      </c>
      <c r="P33" s="399">
        <f t="shared" si="11"/>
        <v>261100000</v>
      </c>
      <c r="Q33" s="399">
        <f t="shared" si="11"/>
        <v>261100000</v>
      </c>
      <c r="R33" s="399">
        <f t="shared" si="11"/>
        <v>523670974</v>
      </c>
      <c r="S33" s="399">
        <f t="shared" si="11"/>
        <v>261100000</v>
      </c>
      <c r="T33" s="399">
        <f t="shared" si="11"/>
        <v>261100000</v>
      </c>
      <c r="U33" s="399">
        <f t="shared" si="11"/>
        <v>523670974</v>
      </c>
      <c r="V33" s="399">
        <f>V34+V35+V36</f>
        <v>20569472050</v>
      </c>
      <c r="W33" s="400">
        <f t="shared" si="1"/>
        <v>7.4630293349210002E-3</v>
      </c>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row>
    <row r="34" spans="1:84">
      <c r="A34" s="402" t="s">
        <v>1036</v>
      </c>
      <c r="B34" s="403">
        <f>+'P9'!E8</f>
        <v>0</v>
      </c>
      <c r="C34" s="403">
        <f>+'P9'!F8</f>
        <v>0</v>
      </c>
      <c r="D34" s="403">
        <f>+'P9'!G8</f>
        <v>261100000</v>
      </c>
      <c r="E34" s="403">
        <f>+'P9'!H8</f>
        <v>261100000</v>
      </c>
      <c r="F34" s="403">
        <f>+'P9'!I8</f>
        <v>2375705680</v>
      </c>
      <c r="G34" s="403">
        <f>+'P9'!J8</f>
        <v>2375705680</v>
      </c>
      <c r="H34" s="403">
        <f>+'P9'!K8</f>
        <v>2375705680</v>
      </c>
      <c r="I34" s="403">
        <f>+'P9'!L8</f>
        <v>2375705680</v>
      </c>
      <c r="J34" s="403">
        <f>+'P9'!M8</f>
        <v>2375705680</v>
      </c>
      <c r="K34" s="403">
        <f>+'P9'!N8</f>
        <v>261100000</v>
      </c>
      <c r="L34" s="403">
        <f>+'P9'!O8</f>
        <v>261100000</v>
      </c>
      <c r="M34" s="403">
        <f>+'P9'!P8</f>
        <v>261100000</v>
      </c>
      <c r="N34" s="403">
        <f>+'P9'!Q8</f>
        <v>261100000</v>
      </c>
      <c r="O34" s="403">
        <f>+'P9'!R8</f>
        <v>261100000</v>
      </c>
      <c r="P34" s="403">
        <f>+'P9'!S8</f>
        <v>261100000</v>
      </c>
      <c r="Q34" s="403">
        <f>+'P9'!T8</f>
        <v>261100000</v>
      </c>
      <c r="R34" s="403">
        <f>+'P9'!U8</f>
        <v>261100000</v>
      </c>
      <c r="S34" s="403">
        <f>+'P9'!V8</f>
        <v>261100000</v>
      </c>
      <c r="T34" s="403">
        <f>+'P9'!W8</f>
        <v>261100000</v>
      </c>
      <c r="U34" s="403">
        <f>+'P9'!X8</f>
        <v>261100000</v>
      </c>
      <c r="V34" s="403">
        <f>+'P9'!Y8</f>
        <v>15272828400</v>
      </c>
      <c r="W34" s="404">
        <f t="shared" si="1"/>
        <v>5.5412976132469365E-3</v>
      </c>
    </row>
    <row r="35" spans="1:84">
      <c r="A35" s="402" t="s">
        <v>1045</v>
      </c>
      <c r="B35" s="403">
        <f>+'P9'!E9</f>
        <v>534186782</v>
      </c>
      <c r="C35" s="403">
        <f>+'P9'!F9</f>
        <v>534186782</v>
      </c>
      <c r="D35" s="403">
        <f>+'P9'!G9</f>
        <v>534186782</v>
      </c>
      <c r="E35" s="403">
        <f>+'P9'!H9</f>
        <v>534186782</v>
      </c>
      <c r="F35" s="403">
        <f>+'P9'!I9</f>
        <v>534186782</v>
      </c>
      <c r="G35" s="403" t="str">
        <f>+'P9'!J9</f>
        <v>Por definir</v>
      </c>
      <c r="H35" s="403" t="str">
        <f>+'P9'!K9</f>
        <v>Por definir</v>
      </c>
      <c r="I35" s="403" t="str">
        <f>+'P9'!L9</f>
        <v>Por definir</v>
      </c>
      <c r="J35" s="403" t="str">
        <f>+'P9'!M9</f>
        <v>Por definir</v>
      </c>
      <c r="K35" s="403" t="str">
        <f>+'P9'!N9</f>
        <v>Por definir</v>
      </c>
      <c r="L35" s="403" t="str">
        <f>+'P9'!O9</f>
        <v>Por definir</v>
      </c>
      <c r="M35" s="403" t="str">
        <f>+'P9'!P9</f>
        <v>Por definir</v>
      </c>
      <c r="N35" s="403" t="str">
        <f>+'P9'!Q9</f>
        <v>Por definir</v>
      </c>
      <c r="O35" s="403" t="str">
        <f>+'P9'!R9</f>
        <v>Por definir</v>
      </c>
      <c r="P35" s="403" t="str">
        <f>+'P9'!S9</f>
        <v>Por definir</v>
      </c>
      <c r="Q35" s="403" t="str">
        <f>+'P9'!T9</f>
        <v>Por definir</v>
      </c>
      <c r="R35" s="403" t="str">
        <f>+'P9'!U9</f>
        <v>Por definir</v>
      </c>
      <c r="S35" s="403" t="str">
        <f>+'P9'!V9</f>
        <v>Por definir</v>
      </c>
      <c r="T35" s="403" t="str">
        <f>+'P9'!W9</f>
        <v>Por definir</v>
      </c>
      <c r="U35" s="403" t="str">
        <f>+'P9'!X9</f>
        <v>Por definir</v>
      </c>
      <c r="V35" s="403">
        <f>+'P9'!Y9</f>
        <v>2670933910</v>
      </c>
      <c r="W35" s="404">
        <f t="shared" si="1"/>
        <v>9.6906999234164823E-4</v>
      </c>
    </row>
    <row r="36" spans="1:84">
      <c r="A36" s="402" t="s">
        <v>1053</v>
      </c>
      <c r="B36" s="403">
        <f>+'P9'!E10</f>
        <v>0</v>
      </c>
      <c r="C36" s="403">
        <f>+'P9'!F10</f>
        <v>0</v>
      </c>
      <c r="D36" s="403">
        <f>+'P9'!G10</f>
        <v>262570974</v>
      </c>
      <c r="E36" s="403">
        <f>+'P9'!H10</f>
        <v>262570974</v>
      </c>
      <c r="F36" s="403">
        <f>+'P9'!I10</f>
        <v>262570974</v>
      </c>
      <c r="G36" s="403">
        <f>+'P9'!J10</f>
        <v>262570974</v>
      </c>
      <c r="H36" s="403">
        <f>+'P9'!K10</f>
        <v>262570974</v>
      </c>
      <c r="I36" s="403">
        <f>+'P9'!L10</f>
        <v>0</v>
      </c>
      <c r="J36" s="403">
        <f>+'P9'!M10</f>
        <v>262570974</v>
      </c>
      <c r="K36" s="403">
        <f>+'P9'!N10</f>
        <v>0</v>
      </c>
      <c r="L36" s="403">
        <f>+'P9'!O10</f>
        <v>262570974</v>
      </c>
      <c r="M36" s="403">
        <f>+'P9'!P10</f>
        <v>0</v>
      </c>
      <c r="N36" s="403">
        <f>+'P9'!Q10</f>
        <v>0</v>
      </c>
      <c r="O36" s="403">
        <f>+'P9'!R10</f>
        <v>262570974</v>
      </c>
      <c r="P36" s="403">
        <f>+'P9'!S10</f>
        <v>0</v>
      </c>
      <c r="Q36" s="403">
        <f>+'P9'!T10</f>
        <v>0</v>
      </c>
      <c r="R36" s="403">
        <f>+'P9'!U10</f>
        <v>262570974</v>
      </c>
      <c r="S36" s="403">
        <f>+'P9'!V10</f>
        <v>0</v>
      </c>
      <c r="T36" s="403">
        <f>+'P9'!W10</f>
        <v>0</v>
      </c>
      <c r="U36" s="403">
        <f>+'P9'!X10</f>
        <v>262570974</v>
      </c>
      <c r="V36" s="403">
        <f>+'P9'!Y10</f>
        <v>2625709740</v>
      </c>
      <c r="W36" s="404">
        <f t="shared" si="1"/>
        <v>9.526617293324158E-4</v>
      </c>
    </row>
    <row r="37" spans="1:84" s="407" customFormat="1">
      <c r="A37" s="398" t="s">
        <v>1061</v>
      </c>
      <c r="B37" s="399">
        <f t="shared" ref="B37:V37" si="12">B38+B39+B40</f>
        <v>0</v>
      </c>
      <c r="C37" s="399">
        <f t="shared" si="12"/>
        <v>0</v>
      </c>
      <c r="D37" s="399">
        <f t="shared" si="12"/>
        <v>38227524035</v>
      </c>
      <c r="E37" s="399">
        <f t="shared" si="12"/>
        <v>39716985805.080002</v>
      </c>
      <c r="F37" s="399">
        <f t="shared" si="12"/>
        <v>39716985805.080002</v>
      </c>
      <c r="G37" s="399">
        <f t="shared" si="12"/>
        <v>39716985805.080002</v>
      </c>
      <c r="H37" s="399">
        <f t="shared" si="12"/>
        <v>39716985805.080002</v>
      </c>
      <c r="I37" s="399">
        <f t="shared" si="12"/>
        <v>36338045805.080002</v>
      </c>
      <c r="J37" s="399">
        <f t="shared" si="12"/>
        <v>22338045805.080002</v>
      </c>
      <c r="K37" s="399">
        <f t="shared" si="12"/>
        <v>22338045805.080002</v>
      </c>
      <c r="L37" s="399">
        <f t="shared" si="12"/>
        <v>22338045805.080002</v>
      </c>
      <c r="M37" s="399">
        <f t="shared" si="12"/>
        <v>22338045805.080002</v>
      </c>
      <c r="N37" s="399">
        <f t="shared" si="12"/>
        <v>22338045805.080002</v>
      </c>
      <c r="O37" s="399">
        <f t="shared" si="12"/>
        <v>22338045805.080002</v>
      </c>
      <c r="P37" s="399">
        <f t="shared" si="12"/>
        <v>22338045805.080002</v>
      </c>
      <c r="Q37" s="399">
        <f t="shared" si="12"/>
        <v>22338045805.080002</v>
      </c>
      <c r="R37" s="399">
        <f t="shared" si="12"/>
        <v>22338045805.080002</v>
      </c>
      <c r="S37" s="399">
        <f t="shared" si="12"/>
        <v>22338045805.080002</v>
      </c>
      <c r="T37" s="399">
        <f t="shared" si="12"/>
        <v>6534985805.0799999</v>
      </c>
      <c r="U37" s="399">
        <f t="shared" si="12"/>
        <v>6534985805.0799999</v>
      </c>
      <c r="V37" s="399">
        <f t="shared" si="12"/>
        <v>469883942721.35999</v>
      </c>
      <c r="W37" s="400">
        <f t="shared" ref="W37:W68" si="13">V37/$V$69</f>
        <v>0.17048360016307995</v>
      </c>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row>
    <row r="38" spans="1:84">
      <c r="A38" s="402" t="s">
        <v>1315</v>
      </c>
      <c r="B38" s="403">
        <f>+'P10'!E8</f>
        <v>0</v>
      </c>
      <c r="C38" s="403">
        <f>+'P10'!F8</f>
        <v>0</v>
      </c>
      <c r="D38" s="403">
        <f>+'P10'!G8</f>
        <v>30884636440</v>
      </c>
      <c r="E38" s="403">
        <f>+'P10'!H8</f>
        <v>30884636440</v>
      </c>
      <c r="F38" s="403">
        <f>+'P10'!I8</f>
        <v>30884636440</v>
      </c>
      <c r="G38" s="403">
        <f>+'P10'!J8</f>
        <v>30884636440</v>
      </c>
      <c r="H38" s="403">
        <f>+'P10'!K8</f>
        <v>30884636440</v>
      </c>
      <c r="I38" s="403">
        <f>+'P10'!L8</f>
        <v>30884636440</v>
      </c>
      <c r="J38" s="403">
        <f>+'P10'!M8</f>
        <v>16884636440</v>
      </c>
      <c r="K38" s="403">
        <f>+'P10'!N8</f>
        <v>16884636440</v>
      </c>
      <c r="L38" s="403">
        <f>+'P10'!O8</f>
        <v>16884636440</v>
      </c>
      <c r="M38" s="403">
        <f>+'P10'!P8</f>
        <v>16884636440</v>
      </c>
      <c r="N38" s="403">
        <f>+'P10'!Q8</f>
        <v>16884636440</v>
      </c>
      <c r="O38" s="403">
        <f>+'P10'!R8</f>
        <v>16884636440</v>
      </c>
      <c r="P38" s="403">
        <f>+'P10'!S8</f>
        <v>16884636440</v>
      </c>
      <c r="Q38" s="403">
        <f>+'P10'!T8</f>
        <v>16884636440</v>
      </c>
      <c r="R38" s="403">
        <f>+'P10'!U8</f>
        <v>16884636440</v>
      </c>
      <c r="S38" s="403">
        <f>+'P10'!V8</f>
        <v>16884636440</v>
      </c>
      <c r="T38" s="403">
        <f>+'P10'!W8</f>
        <v>2884636440</v>
      </c>
      <c r="U38" s="403">
        <f>+'P10'!X8</f>
        <v>2884636440</v>
      </c>
      <c r="V38" s="403">
        <f>+'P10'!Y8</f>
        <v>359923455920</v>
      </c>
      <c r="W38" s="404">
        <f t="shared" si="13"/>
        <v>0.13058766424960846</v>
      </c>
    </row>
    <row r="39" spans="1:84" s="205" customFormat="1">
      <c r="A39" s="402" t="s">
        <v>1076</v>
      </c>
      <c r="B39" s="403">
        <f>+'P10'!E9</f>
        <v>0</v>
      </c>
      <c r="C39" s="403">
        <f>+'P10'!F9</f>
        <v>0</v>
      </c>
      <c r="D39" s="403">
        <f>+'P10'!G9</f>
        <v>7342887595</v>
      </c>
      <c r="E39" s="403">
        <f>+'P10'!H9</f>
        <v>7342887595</v>
      </c>
      <c r="F39" s="403">
        <f>+'P10'!I9</f>
        <v>7342887595</v>
      </c>
      <c r="G39" s="403">
        <f>+'P10'!J9</f>
        <v>7342887595</v>
      </c>
      <c r="H39" s="403">
        <f>+'P10'!K9</f>
        <v>7342887595</v>
      </c>
      <c r="I39" s="403">
        <f>+'P10'!L9</f>
        <v>3963947595</v>
      </c>
      <c r="J39" s="403">
        <f>+'P10'!M9</f>
        <v>3963947595</v>
      </c>
      <c r="K39" s="403">
        <f>+'P10'!N9</f>
        <v>3963947595</v>
      </c>
      <c r="L39" s="403">
        <f>+'P10'!O9</f>
        <v>3963947595</v>
      </c>
      <c r="M39" s="403">
        <f>+'P10'!P9</f>
        <v>3963947595</v>
      </c>
      <c r="N39" s="403">
        <f>+'P10'!Q9</f>
        <v>3963947595</v>
      </c>
      <c r="O39" s="403">
        <f>+'P10'!R9</f>
        <v>3963947595</v>
      </c>
      <c r="P39" s="403">
        <f>+'P10'!S9</f>
        <v>3963947595</v>
      </c>
      <c r="Q39" s="403">
        <f>+'P10'!T9</f>
        <v>3963947595</v>
      </c>
      <c r="R39" s="403">
        <f>+'P10'!U9</f>
        <v>3963947595</v>
      </c>
      <c r="S39" s="403">
        <f>+'P10'!V9</f>
        <v>3963947595</v>
      </c>
      <c r="T39" s="403">
        <f>+'P10'!W9</f>
        <v>2160887595</v>
      </c>
      <c r="U39" s="403">
        <f>+'P10'!X9</f>
        <v>2160887595</v>
      </c>
      <c r="V39" s="403">
        <f>+'P10'!Y9</f>
        <v>84639636710</v>
      </c>
      <c r="W39" s="404">
        <f t="shared" si="13"/>
        <v>3.0709008482489777E-2</v>
      </c>
    </row>
    <row r="40" spans="1:84" s="205" customFormat="1">
      <c r="A40" s="402" t="s">
        <v>1086</v>
      </c>
      <c r="B40" s="403">
        <f>+'P10'!E10</f>
        <v>0</v>
      </c>
      <c r="C40" s="403">
        <f>+'P10'!F10</f>
        <v>0</v>
      </c>
      <c r="D40" s="403">
        <f>+'P10'!G10</f>
        <v>0</v>
      </c>
      <c r="E40" s="403">
        <f>+'P10'!H10</f>
        <v>1489461770.0799999</v>
      </c>
      <c r="F40" s="403">
        <f>+'P10'!I10</f>
        <v>1489461770.0799999</v>
      </c>
      <c r="G40" s="403">
        <f>+'P10'!J10</f>
        <v>1489461770.0799999</v>
      </c>
      <c r="H40" s="403">
        <f>+'P10'!K10</f>
        <v>1489461770.0799999</v>
      </c>
      <c r="I40" s="403">
        <f>+'P10'!L10</f>
        <v>1489461770.0799999</v>
      </c>
      <c r="J40" s="403">
        <f>+'P10'!M10</f>
        <v>1489461770.0799999</v>
      </c>
      <c r="K40" s="403">
        <f>+'P10'!N10</f>
        <v>1489461770.0799999</v>
      </c>
      <c r="L40" s="403">
        <f>+'P10'!O10</f>
        <v>1489461770.0799999</v>
      </c>
      <c r="M40" s="403">
        <f>+'P10'!P10</f>
        <v>1489461770.0799999</v>
      </c>
      <c r="N40" s="403">
        <f>+'P10'!Q10</f>
        <v>1489461770.0799999</v>
      </c>
      <c r="O40" s="403">
        <f>+'P10'!R10</f>
        <v>1489461770.0799999</v>
      </c>
      <c r="P40" s="403">
        <f>+'P10'!S10</f>
        <v>1489461770.0799999</v>
      </c>
      <c r="Q40" s="403">
        <f>+'P10'!T10</f>
        <v>1489461770.0799999</v>
      </c>
      <c r="R40" s="403">
        <f>+'P10'!U10</f>
        <v>1489461770.0799999</v>
      </c>
      <c r="S40" s="403">
        <f>+'P10'!V10</f>
        <v>1489461770.0799999</v>
      </c>
      <c r="T40" s="403">
        <f>+'P10'!W10</f>
        <v>1489461770.0799999</v>
      </c>
      <c r="U40" s="403">
        <f>+'P10'!X10</f>
        <v>1489461770.0799999</v>
      </c>
      <c r="V40" s="403">
        <f>+'P10'!Y10</f>
        <v>25320850091.360008</v>
      </c>
      <c r="W40" s="404">
        <f t="shared" si="13"/>
        <v>9.1869274309817218E-3</v>
      </c>
    </row>
    <row r="41" spans="1:84" s="407" customFormat="1">
      <c r="A41" s="398" t="s">
        <v>1096</v>
      </c>
      <c r="B41" s="399">
        <f t="shared" ref="B41:V41" si="14">B42+B43+B44</f>
        <v>0</v>
      </c>
      <c r="C41" s="399">
        <f t="shared" si="14"/>
        <v>2648660505</v>
      </c>
      <c r="D41" s="399">
        <f t="shared" si="14"/>
        <v>17449750547.099998</v>
      </c>
      <c r="E41" s="399">
        <f t="shared" si="14"/>
        <v>17689750547.099998</v>
      </c>
      <c r="F41" s="399">
        <f t="shared" si="14"/>
        <v>17941750547.099998</v>
      </c>
      <c r="G41" s="399">
        <f t="shared" si="14"/>
        <v>14246621807.1</v>
      </c>
      <c r="H41" s="399">
        <f t="shared" si="14"/>
        <v>14524451807.1</v>
      </c>
      <c r="I41" s="399">
        <f t="shared" si="14"/>
        <v>17464833812.099998</v>
      </c>
      <c r="J41" s="399">
        <f t="shared" si="14"/>
        <v>15122480882.1</v>
      </c>
      <c r="K41" s="399">
        <f t="shared" si="14"/>
        <v>16755172070.85</v>
      </c>
      <c r="L41" s="399">
        <f t="shared" si="14"/>
        <v>18430468442.287498</v>
      </c>
      <c r="M41" s="399">
        <f t="shared" si="14"/>
        <v>16136397243.796875</v>
      </c>
      <c r="N41" s="399">
        <f t="shared" si="14"/>
        <v>16508716015.631718</v>
      </c>
      <c r="O41" s="399">
        <f t="shared" si="14"/>
        <v>19548311231.058304</v>
      </c>
      <c r="P41" s="399">
        <f t="shared" si="14"/>
        <v>18621200407.006218</v>
      </c>
      <c r="Q41" s="399">
        <f t="shared" si="14"/>
        <v>17741137690.251534</v>
      </c>
      <c r="R41" s="399">
        <f t="shared" si="14"/>
        <v>20842353989.409111</v>
      </c>
      <c r="S41" s="399">
        <f t="shared" si="14"/>
        <v>18668877068.274567</v>
      </c>
      <c r="T41" s="399">
        <f t="shared" si="14"/>
        <v>19167819831.33329</v>
      </c>
      <c r="U41" s="399">
        <f t="shared" si="14"/>
        <v>23651438472.544956</v>
      </c>
      <c r="V41" s="399">
        <f t="shared" si="14"/>
        <v>323160192917.1441</v>
      </c>
      <c r="W41" s="400">
        <f t="shared" si="13"/>
        <v>0.11724919306421265</v>
      </c>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row>
    <row r="42" spans="1:84">
      <c r="A42" s="402" t="s">
        <v>1316</v>
      </c>
      <c r="B42" s="403">
        <f>+'P11'!E8</f>
        <v>0</v>
      </c>
      <c r="C42" s="403">
        <f>+'P11'!F8</f>
        <v>2648660505</v>
      </c>
      <c r="D42" s="403">
        <f>+'P11'!G8</f>
        <v>2648660505</v>
      </c>
      <c r="E42" s="403">
        <f>+'P11'!H8</f>
        <v>2648660505</v>
      </c>
      <c r="F42" s="403">
        <f>+'P11'!I8</f>
        <v>2648660505</v>
      </c>
      <c r="G42" s="403">
        <f>+'P11'!J8</f>
        <v>0</v>
      </c>
      <c r="H42" s="403">
        <f>+'P11'!K8</f>
        <v>0</v>
      </c>
      <c r="I42" s="403">
        <f>+'P11'!L8</f>
        <v>2648660505</v>
      </c>
      <c r="J42" s="403">
        <f>+'P11'!M8</f>
        <v>0</v>
      </c>
      <c r="K42" s="403">
        <f>+'P11'!N8</f>
        <v>0</v>
      </c>
      <c r="L42" s="403">
        <f>+'P11'!O8</f>
        <v>2648660505</v>
      </c>
      <c r="M42" s="403">
        <f>+'P11'!P8</f>
        <v>0</v>
      </c>
      <c r="N42" s="403">
        <f>+'P11'!Q8</f>
        <v>0</v>
      </c>
      <c r="O42" s="403">
        <f>+'P11'!R8</f>
        <v>2648660505</v>
      </c>
      <c r="P42" s="403">
        <f>+'P11'!S8</f>
        <v>0</v>
      </c>
      <c r="Q42" s="403">
        <f>+'P11'!T8</f>
        <v>0</v>
      </c>
      <c r="R42" s="403">
        <f>+'P11'!U8</f>
        <v>2648660505</v>
      </c>
      <c r="S42" s="403">
        <f>+'P11'!V8</f>
        <v>0</v>
      </c>
      <c r="T42" s="403">
        <f>+'P11'!W8</f>
        <v>0</v>
      </c>
      <c r="U42" s="403">
        <f>+'P11'!X8</f>
        <v>2648660505</v>
      </c>
      <c r="V42" s="403">
        <f>+'P11'!Y8</f>
        <v>23837944545</v>
      </c>
      <c r="W42" s="404">
        <f t="shared" si="13"/>
        <v>8.6488986684300946E-3</v>
      </c>
    </row>
    <row r="43" spans="1:84" ht="30">
      <c r="A43" s="402" t="s">
        <v>1317</v>
      </c>
      <c r="B43" s="403">
        <f>+'P11'!E9</f>
        <v>0</v>
      </c>
      <c r="C43" s="403">
        <f>+'P11'!F9</f>
        <v>0</v>
      </c>
      <c r="D43" s="403">
        <f>+'P11'!G9</f>
        <v>1311068235</v>
      </c>
      <c r="E43" s="403">
        <f>+'P11'!H9</f>
        <v>1311068235</v>
      </c>
      <c r="F43" s="403">
        <f>+'P11'!I9</f>
        <v>1311068235</v>
      </c>
      <c r="G43" s="403">
        <f>+'P11'!J9</f>
        <v>0</v>
      </c>
      <c r="H43" s="403">
        <f>+'P11'!K9</f>
        <v>0</v>
      </c>
      <c r="I43" s="403">
        <f>+'P11'!L9</f>
        <v>0</v>
      </c>
      <c r="J43" s="403">
        <f>+'P11'!M9</f>
        <v>0</v>
      </c>
      <c r="K43" s="403">
        <f>+'P11'!N9</f>
        <v>1311068235</v>
      </c>
      <c r="L43" s="403">
        <f>+'P11'!O9</f>
        <v>0</v>
      </c>
      <c r="M43" s="403">
        <f>+'P11'!P9</f>
        <v>0</v>
      </c>
      <c r="N43" s="403">
        <f>+'P11'!Q9</f>
        <v>0</v>
      </c>
      <c r="O43" s="403">
        <f>+'P11'!R9</f>
        <v>0</v>
      </c>
      <c r="P43" s="403">
        <f>+'P11'!S9</f>
        <v>1311068235</v>
      </c>
      <c r="Q43" s="403">
        <f>+'P11'!T9</f>
        <v>0</v>
      </c>
      <c r="R43" s="403">
        <f>+'P11'!U9</f>
        <v>0</v>
      </c>
      <c r="S43" s="403">
        <f>+'P11'!V9</f>
        <v>0</v>
      </c>
      <c r="T43" s="403">
        <f>+'P11'!W9</f>
        <v>0</v>
      </c>
      <c r="U43" s="403">
        <f>+'P11'!X9</f>
        <v>1311068235</v>
      </c>
      <c r="V43" s="403">
        <f>+'P11'!Y9</f>
        <v>7866409410</v>
      </c>
      <c r="W43" s="404">
        <f t="shared" si="13"/>
        <v>2.8540958195049345E-3</v>
      </c>
    </row>
    <row r="44" spans="1:84" ht="30">
      <c r="A44" s="402" t="s">
        <v>1318</v>
      </c>
      <c r="B44" s="403">
        <f>+'P11'!E10</f>
        <v>0</v>
      </c>
      <c r="C44" s="403">
        <f>+'P11'!F10</f>
        <v>0</v>
      </c>
      <c r="D44" s="403">
        <f>+'P11'!G10</f>
        <v>13490021807.1</v>
      </c>
      <c r="E44" s="403">
        <f>+'P11'!H10</f>
        <v>13730021807.1</v>
      </c>
      <c r="F44" s="403">
        <f>+'P11'!I10</f>
        <v>13982021807.1</v>
      </c>
      <c r="G44" s="403">
        <f>+'P11'!J10</f>
        <v>14246621807.1</v>
      </c>
      <c r="H44" s="403">
        <f>+'P11'!K10</f>
        <v>14524451807.1</v>
      </c>
      <c r="I44" s="403">
        <f>+'P11'!L10</f>
        <v>14816173307.1</v>
      </c>
      <c r="J44" s="403">
        <f>+'P11'!M10</f>
        <v>15122480882.1</v>
      </c>
      <c r="K44" s="403">
        <f>+'P11'!N10</f>
        <v>15444103835.85</v>
      </c>
      <c r="L44" s="403">
        <f>+'P11'!O10</f>
        <v>15781807937.2875</v>
      </c>
      <c r="M44" s="403">
        <f>+'P11'!P10</f>
        <v>16136397243.796875</v>
      </c>
      <c r="N44" s="403">
        <f>+'P11'!Q10</f>
        <v>16508716015.631718</v>
      </c>
      <c r="O44" s="403">
        <f>+'P11'!R10</f>
        <v>16899650726.058304</v>
      </c>
      <c r="P44" s="403">
        <f>+'P11'!S10</f>
        <v>17310132172.006218</v>
      </c>
      <c r="Q44" s="403">
        <f>+'P11'!T10</f>
        <v>17741137690.251534</v>
      </c>
      <c r="R44" s="403">
        <f>+'P11'!U10</f>
        <v>18193693484.409111</v>
      </c>
      <c r="S44" s="403">
        <f>+'P11'!V10</f>
        <v>18668877068.274567</v>
      </c>
      <c r="T44" s="403">
        <f>+'P11'!W10</f>
        <v>19167819831.33329</v>
      </c>
      <c r="U44" s="403">
        <f>+'P11'!X10</f>
        <v>19691709732.544956</v>
      </c>
      <c r="V44" s="403">
        <f>+'P11'!Y10</f>
        <v>291455838962.1441</v>
      </c>
      <c r="W44" s="404">
        <f t="shared" si="13"/>
        <v>0.10574619857627762</v>
      </c>
    </row>
    <row r="45" spans="1:84" s="407" customFormat="1">
      <c r="A45" s="398" t="s">
        <v>1133</v>
      </c>
      <c r="B45" s="399">
        <f t="shared" ref="B45:K45" si="15">B46+B47</f>
        <v>0</v>
      </c>
      <c r="C45" s="399">
        <f t="shared" si="15"/>
        <v>2504330813</v>
      </c>
      <c r="D45" s="399">
        <f t="shared" si="15"/>
        <v>0</v>
      </c>
      <c r="E45" s="399">
        <f t="shared" si="15"/>
        <v>16933534884.705658</v>
      </c>
      <c r="F45" s="399">
        <f t="shared" si="15"/>
        <v>19437865697.705658</v>
      </c>
      <c r="G45" s="399">
        <f t="shared" si="15"/>
        <v>16933534884.705658</v>
      </c>
      <c r="H45" s="399">
        <f t="shared" si="15"/>
        <v>16933534884.705658</v>
      </c>
      <c r="I45" s="399">
        <f t="shared" si="15"/>
        <v>19437865697.705658</v>
      </c>
      <c r="J45" s="399">
        <f t="shared" si="15"/>
        <v>16933534884.705658</v>
      </c>
      <c r="K45" s="399">
        <f t="shared" si="15"/>
        <v>16933534884.705658</v>
      </c>
      <c r="L45" s="399">
        <f>+L46</f>
        <v>2504330813</v>
      </c>
      <c r="M45" s="399">
        <f t="shared" ref="M45:U45" si="16">+M46</f>
        <v>0</v>
      </c>
      <c r="N45" s="399">
        <f t="shared" si="16"/>
        <v>0</v>
      </c>
      <c r="O45" s="399">
        <f t="shared" si="16"/>
        <v>2504330813</v>
      </c>
      <c r="P45" s="399">
        <f t="shared" si="16"/>
        <v>0</v>
      </c>
      <c r="Q45" s="399">
        <f t="shared" si="16"/>
        <v>0</v>
      </c>
      <c r="R45" s="399">
        <f t="shared" si="16"/>
        <v>2504330813</v>
      </c>
      <c r="S45" s="399">
        <f t="shared" si="16"/>
        <v>0</v>
      </c>
      <c r="T45" s="399">
        <f t="shared" si="16"/>
        <v>0</v>
      </c>
      <c r="U45" s="399">
        <f t="shared" si="16"/>
        <v>2504330813</v>
      </c>
      <c r="V45" s="399">
        <f>+V46+V47</f>
        <v>136065059883.93961</v>
      </c>
      <c r="W45" s="400">
        <f t="shared" si="13"/>
        <v>4.9367214233951323E-2</v>
      </c>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row>
    <row r="46" spans="1:84">
      <c r="A46" s="402" t="s">
        <v>1134</v>
      </c>
      <c r="B46" s="403">
        <f>+'P12'!E10</f>
        <v>0</v>
      </c>
      <c r="C46" s="403">
        <f>+'P12'!F10</f>
        <v>2504330813</v>
      </c>
      <c r="D46" s="403">
        <f>+'P12'!G10</f>
        <v>0</v>
      </c>
      <c r="E46" s="403">
        <f>+'P12'!H10</f>
        <v>0</v>
      </c>
      <c r="F46" s="403">
        <f>+'P12'!I10</f>
        <v>2504330813</v>
      </c>
      <c r="G46" s="403">
        <f>+'P12'!J10</f>
        <v>0</v>
      </c>
      <c r="H46" s="403">
        <f>+'P12'!K10</f>
        <v>0</v>
      </c>
      <c r="I46" s="403">
        <f>+'P12'!L10</f>
        <v>2504330813</v>
      </c>
      <c r="J46" s="403">
        <f>+'P12'!M10</f>
        <v>0</v>
      </c>
      <c r="K46" s="403">
        <f>+'P12'!N10</f>
        <v>0</v>
      </c>
      <c r="L46" s="403">
        <f>+'P12'!O10</f>
        <v>2504330813</v>
      </c>
      <c r="M46" s="403">
        <f>+'P12'!P10</f>
        <v>0</v>
      </c>
      <c r="N46" s="403">
        <f>+'P12'!Q10</f>
        <v>0</v>
      </c>
      <c r="O46" s="403">
        <f>+'P12'!R10</f>
        <v>2504330813</v>
      </c>
      <c r="P46" s="403">
        <f>+'P12'!S10</f>
        <v>0</v>
      </c>
      <c r="Q46" s="403">
        <f>+'P12'!T10</f>
        <v>0</v>
      </c>
      <c r="R46" s="403">
        <f>+'P12'!U10</f>
        <v>2504330813</v>
      </c>
      <c r="S46" s="403">
        <f>+'P12'!V10</f>
        <v>0</v>
      </c>
      <c r="T46" s="403">
        <f>+'P12'!W10</f>
        <v>0</v>
      </c>
      <c r="U46" s="403">
        <f>+'P12'!X10</f>
        <v>2504330813</v>
      </c>
      <c r="V46" s="403">
        <f>+'P12'!Y10</f>
        <v>17530315691</v>
      </c>
      <c r="W46" s="404">
        <f t="shared" si="13"/>
        <v>6.3603606322194788E-3</v>
      </c>
    </row>
    <row r="47" spans="1:84">
      <c r="A47" s="402" t="s">
        <v>1141</v>
      </c>
      <c r="B47" s="403">
        <f>+'P12'!E11</f>
        <v>0</v>
      </c>
      <c r="C47" s="403">
        <f>+'P12'!F11</f>
        <v>0</v>
      </c>
      <c r="D47" s="403">
        <f>+'P12'!G11</f>
        <v>0</v>
      </c>
      <c r="E47" s="403">
        <f>+'P12'!H11</f>
        <v>16933534884.705658</v>
      </c>
      <c r="F47" s="403">
        <f>+'P12'!I11</f>
        <v>16933534884.705658</v>
      </c>
      <c r="G47" s="403">
        <f>+'P12'!J11</f>
        <v>16933534884.705658</v>
      </c>
      <c r="H47" s="403">
        <f>+'P12'!K11</f>
        <v>16933534884.705658</v>
      </c>
      <c r="I47" s="403">
        <f>+'P12'!L11</f>
        <v>16933534884.705658</v>
      </c>
      <c r="J47" s="403">
        <f>+'P12'!M11</f>
        <v>16933534884.705658</v>
      </c>
      <c r="K47" s="403">
        <f>+'P12'!N11</f>
        <v>16933534884.705658</v>
      </c>
      <c r="L47" s="403" t="str">
        <f>+'P12'!O11</f>
        <v>Por definir</v>
      </c>
      <c r="M47" s="403" t="str">
        <f>+'P12'!P11</f>
        <v>Por definir</v>
      </c>
      <c r="N47" s="403" t="str">
        <f>+'P12'!Q11</f>
        <v>Por definir</v>
      </c>
      <c r="O47" s="403" t="str">
        <f>+'P12'!R11</f>
        <v>Por definir</v>
      </c>
      <c r="P47" s="403" t="str">
        <f>+'P12'!S11</f>
        <v>Por definir</v>
      </c>
      <c r="Q47" s="403" t="str">
        <f>+'P12'!T11</f>
        <v>Por definir</v>
      </c>
      <c r="R47" s="403" t="str">
        <f>+'P12'!U11</f>
        <v>Por definir</v>
      </c>
      <c r="S47" s="403" t="str">
        <f>+'P12'!V11</f>
        <v>Por definir</v>
      </c>
      <c r="T47" s="403" t="str">
        <f>+'P12'!W11</f>
        <v>Por definir</v>
      </c>
      <c r="U47" s="403" t="str">
        <f>+'P12'!X11</f>
        <v>Por definir</v>
      </c>
      <c r="V47" s="403">
        <f>+'P12'!Y11</f>
        <v>118534744192.93961</v>
      </c>
      <c r="W47" s="404">
        <f t="shared" si="13"/>
        <v>4.3006853601731843E-2</v>
      </c>
    </row>
    <row r="48" spans="1:84" s="407" customFormat="1">
      <c r="A48" s="398" t="s">
        <v>1154</v>
      </c>
      <c r="B48" s="399">
        <f t="shared" ref="B48:V48" si="17">B49+B50</f>
        <v>0</v>
      </c>
      <c r="C48" s="399">
        <f t="shared" si="17"/>
        <v>0</v>
      </c>
      <c r="D48" s="399">
        <f t="shared" si="17"/>
        <v>1527482664.9000001</v>
      </c>
      <c r="E48" s="399">
        <f t="shared" si="17"/>
        <v>2453528488.9000001</v>
      </c>
      <c r="F48" s="399">
        <f t="shared" si="17"/>
        <v>2453528488.9000001</v>
      </c>
      <c r="G48" s="399">
        <f t="shared" si="17"/>
        <v>3570837311.54</v>
      </c>
      <c r="H48" s="399">
        <f t="shared" si="17"/>
        <v>4523786523.8257141</v>
      </c>
      <c r="I48" s="399">
        <f t="shared" si="17"/>
        <v>4523786523.8257141</v>
      </c>
      <c r="J48" s="399">
        <f t="shared" si="17"/>
        <v>4523786523.8257141</v>
      </c>
      <c r="K48" s="399">
        <f t="shared" si="17"/>
        <v>4523786523.8257141</v>
      </c>
      <c r="L48" s="399">
        <f t="shared" si="17"/>
        <v>4523786523.8257141</v>
      </c>
      <c r="M48" s="399">
        <f t="shared" si="17"/>
        <v>4523786523.8257141</v>
      </c>
      <c r="N48" s="399">
        <f t="shared" si="17"/>
        <v>4523786523.8257141</v>
      </c>
      <c r="O48" s="399">
        <f t="shared" si="17"/>
        <v>3570837311.54</v>
      </c>
      <c r="P48" s="399">
        <f t="shared" si="17"/>
        <v>3570837311.54</v>
      </c>
      <c r="Q48" s="399">
        <f t="shared" si="17"/>
        <v>2453528488.9000001</v>
      </c>
      <c r="R48" s="399">
        <f t="shared" si="17"/>
        <v>2453528488.9000001</v>
      </c>
      <c r="S48" s="399">
        <f t="shared" si="17"/>
        <v>2453528488.9000001</v>
      </c>
      <c r="T48" s="399">
        <f t="shared" si="17"/>
        <v>2453528488.9000001</v>
      </c>
      <c r="U48" s="399">
        <f t="shared" si="17"/>
        <v>2453528488.9000001</v>
      </c>
      <c r="V48" s="399">
        <f t="shared" si="17"/>
        <v>61081199688.600014</v>
      </c>
      <c r="W48" s="400">
        <f t="shared" si="13"/>
        <v>2.2161520917022729E-2</v>
      </c>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row>
    <row r="49" spans="1:84" ht="30">
      <c r="A49" s="402" t="s">
        <v>1155</v>
      </c>
      <c r="B49" s="403">
        <f>+'P13'!E9</f>
        <v>0</v>
      </c>
      <c r="C49" s="403">
        <f>+'P13'!F9</f>
        <v>0</v>
      </c>
      <c r="D49" s="403">
        <f>+'P13'!G9</f>
        <v>1527482664.9000001</v>
      </c>
      <c r="E49" s="403">
        <f>+'P13'!H9</f>
        <v>1527482664.9000001</v>
      </c>
      <c r="F49" s="403">
        <f>+'P13'!I9</f>
        <v>1527482664.9000001</v>
      </c>
      <c r="G49" s="403">
        <f>+'P13'!J9</f>
        <v>2644791487.54</v>
      </c>
      <c r="H49" s="403">
        <f>+'P13'!K9</f>
        <v>2644791487.54</v>
      </c>
      <c r="I49" s="403">
        <f>+'P13'!L9</f>
        <v>2644791487.54</v>
      </c>
      <c r="J49" s="403">
        <f>+'P13'!M9</f>
        <v>2644791487.54</v>
      </c>
      <c r="K49" s="403">
        <f>+'P13'!N9</f>
        <v>2644791487.54</v>
      </c>
      <c r="L49" s="403">
        <f>+'P13'!O9</f>
        <v>2644791487.54</v>
      </c>
      <c r="M49" s="403">
        <f>+'P13'!P9</f>
        <v>2644791487.54</v>
      </c>
      <c r="N49" s="403">
        <f>+'P13'!Q9</f>
        <v>2644791487.54</v>
      </c>
      <c r="O49" s="403">
        <f>+'P13'!R9</f>
        <v>2644791487.54</v>
      </c>
      <c r="P49" s="403">
        <f>+'P13'!S9</f>
        <v>2644791487.54</v>
      </c>
      <c r="Q49" s="403">
        <f>+'P13'!T9</f>
        <v>1527482664.9000001</v>
      </c>
      <c r="R49" s="403">
        <f>+'P13'!U9</f>
        <v>1527482664.9000001</v>
      </c>
      <c r="S49" s="403">
        <f>+'P13'!V9</f>
        <v>1527482664.9000001</v>
      </c>
      <c r="T49" s="403">
        <f>+'P13'!W9</f>
        <v>1527482664.9000001</v>
      </c>
      <c r="U49" s="403">
        <f>+'P13'!X9</f>
        <v>1527482664.9000001</v>
      </c>
      <c r="V49" s="403">
        <f>+'P13'!Y9</f>
        <v>38667776194.600014</v>
      </c>
      <c r="W49" s="404">
        <f t="shared" si="13"/>
        <v>1.402946791025975E-2</v>
      </c>
    </row>
    <row r="50" spans="1:84">
      <c r="A50" s="402" t="s">
        <v>1167</v>
      </c>
      <c r="B50" s="403">
        <f>+'P13'!E10</f>
        <v>0</v>
      </c>
      <c r="C50" s="403">
        <f>+'P13'!F10</f>
        <v>0</v>
      </c>
      <c r="D50" s="403">
        <f>+'P13'!G10</f>
        <v>0</v>
      </c>
      <c r="E50" s="403">
        <f>+'P13'!H10</f>
        <v>926045824</v>
      </c>
      <c r="F50" s="403">
        <f>+'P13'!I10</f>
        <v>926045824</v>
      </c>
      <c r="G50" s="403">
        <f>+'P13'!J10</f>
        <v>926045824</v>
      </c>
      <c r="H50" s="403">
        <f>+'P13'!K10</f>
        <v>1878995036.2857144</v>
      </c>
      <c r="I50" s="403">
        <f>+'P13'!L10</f>
        <v>1878995036.2857144</v>
      </c>
      <c r="J50" s="403">
        <f>+'P13'!M10</f>
        <v>1878995036.2857144</v>
      </c>
      <c r="K50" s="403">
        <f>+'P13'!N10</f>
        <v>1878995036.2857144</v>
      </c>
      <c r="L50" s="403">
        <f>+'P13'!O10</f>
        <v>1878995036.2857144</v>
      </c>
      <c r="M50" s="403">
        <f>+'P13'!P10</f>
        <v>1878995036.2857144</v>
      </c>
      <c r="N50" s="403">
        <f>+'P13'!Q10</f>
        <v>1878995036.2857144</v>
      </c>
      <c r="O50" s="403">
        <f>+'P13'!R10</f>
        <v>926045824</v>
      </c>
      <c r="P50" s="403">
        <f>+'P13'!S10</f>
        <v>926045824</v>
      </c>
      <c r="Q50" s="403">
        <f>+'P13'!T10</f>
        <v>926045824</v>
      </c>
      <c r="R50" s="403">
        <f>+'P13'!U10</f>
        <v>926045824</v>
      </c>
      <c r="S50" s="403">
        <f>+'P13'!V10</f>
        <v>926045824</v>
      </c>
      <c r="T50" s="403">
        <f>+'P13'!W10</f>
        <v>926045824</v>
      </c>
      <c r="U50" s="403">
        <f>+'P13'!X10</f>
        <v>926045824</v>
      </c>
      <c r="V50" s="403">
        <f>+'P13'!Y10</f>
        <v>22413423494</v>
      </c>
      <c r="W50" s="404">
        <f t="shared" si="13"/>
        <v>8.1320530067629775E-3</v>
      </c>
    </row>
    <row r="51" spans="1:84" s="407" customFormat="1">
      <c r="A51" s="398" t="s">
        <v>1178</v>
      </c>
      <c r="B51" s="399"/>
      <c r="C51" s="399">
        <f t="shared" ref="C51:V51" si="18">C52+C53+C54+C55+C56</f>
        <v>0</v>
      </c>
      <c r="D51" s="399">
        <f t="shared" si="18"/>
        <v>4591329813</v>
      </c>
      <c r="E51" s="399">
        <f t="shared" si="18"/>
        <v>5362934151.5</v>
      </c>
      <c r="F51" s="399">
        <f t="shared" si="18"/>
        <v>6084134589.5</v>
      </c>
      <c r="G51" s="399">
        <f t="shared" si="18"/>
        <v>23087460052.639999</v>
      </c>
      <c r="H51" s="399">
        <f t="shared" si="18"/>
        <v>25333186391.779999</v>
      </c>
      <c r="I51" s="399">
        <f t="shared" si="18"/>
        <v>41300379925.779999</v>
      </c>
      <c r="J51" s="399">
        <f t="shared" si="18"/>
        <v>42021580363.779999</v>
      </c>
      <c r="K51" s="399">
        <f t="shared" si="18"/>
        <v>41300379925.779999</v>
      </c>
      <c r="L51" s="399">
        <f t="shared" si="18"/>
        <v>42021580363.779999</v>
      </c>
      <c r="M51" s="399">
        <f t="shared" si="18"/>
        <v>41300379925.779999</v>
      </c>
      <c r="N51" s="399">
        <f t="shared" si="18"/>
        <v>42021580363.779999</v>
      </c>
      <c r="O51" s="399">
        <f t="shared" si="18"/>
        <v>38824823836.139999</v>
      </c>
      <c r="P51" s="399">
        <f t="shared" si="18"/>
        <v>40497054462.639999</v>
      </c>
      <c r="Q51" s="399">
        <f t="shared" si="18"/>
        <v>22624823836.139999</v>
      </c>
      <c r="R51" s="399">
        <f t="shared" si="18"/>
        <v>22772528561.5</v>
      </c>
      <c r="S51" s="399">
        <f t="shared" si="18"/>
        <v>4411903963</v>
      </c>
      <c r="T51" s="399">
        <f t="shared" si="18"/>
        <v>6084134589.5</v>
      </c>
      <c r="U51" s="399">
        <f t="shared" si="18"/>
        <v>4411903963</v>
      </c>
      <c r="V51" s="399">
        <f t="shared" si="18"/>
        <v>454052099079.02002</v>
      </c>
      <c r="W51" s="400">
        <f t="shared" si="13"/>
        <v>0.16473948027310611</v>
      </c>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row>
    <row r="52" spans="1:84">
      <c r="A52" s="402" t="s">
        <v>1179</v>
      </c>
      <c r="B52" s="403">
        <f>+'P14'!E9</f>
        <v>0</v>
      </c>
      <c r="C52" s="403">
        <f>+'P14'!F9</f>
        <v>0</v>
      </c>
      <c r="D52" s="403">
        <f>+'P14'!G9</f>
        <v>1981198748.5</v>
      </c>
      <c r="E52" s="403">
        <f>+'P14'!H9</f>
        <v>1981198748.5</v>
      </c>
      <c r="F52" s="403">
        <f>+'P14'!I9</f>
        <v>1981198748.5</v>
      </c>
      <c r="G52" s="403">
        <f>+'P14'!J9</f>
        <v>18181198748.5</v>
      </c>
      <c r="H52" s="403">
        <f>+'P14'!K9</f>
        <v>18181198748.5</v>
      </c>
      <c r="I52" s="403">
        <f>+'P14'!L9</f>
        <v>18181198748.5</v>
      </c>
      <c r="J52" s="403">
        <f>+'P14'!M9</f>
        <v>18181198748.5</v>
      </c>
      <c r="K52" s="403">
        <f>+'P14'!N9</f>
        <v>18181198748.5</v>
      </c>
      <c r="L52" s="403">
        <f>+'P14'!O9</f>
        <v>18181198748.5</v>
      </c>
      <c r="M52" s="403">
        <f>+'P14'!P9</f>
        <v>18181198748.5</v>
      </c>
      <c r="N52" s="403">
        <f>+'P14'!Q9</f>
        <v>18181198748.5</v>
      </c>
      <c r="O52" s="403">
        <f>+'P14'!R9</f>
        <v>18181198748.5</v>
      </c>
      <c r="P52" s="403">
        <f>+'P14'!S9</f>
        <v>18181198748.5</v>
      </c>
      <c r="Q52" s="403">
        <f>+'P14'!T9</f>
        <v>1981198748.5</v>
      </c>
      <c r="R52" s="403">
        <f>+'P14'!U9</f>
        <v>1981198748.5</v>
      </c>
      <c r="S52" s="403">
        <f>+'P14'!V9</f>
        <v>1981198748.5</v>
      </c>
      <c r="T52" s="403">
        <f>+'P14'!W9</f>
        <v>1981198748.5</v>
      </c>
      <c r="U52" s="403">
        <f>+'P14'!X9</f>
        <v>1981198748.5</v>
      </c>
      <c r="V52" s="403">
        <f>+'P14'!Y9</f>
        <v>197661577473</v>
      </c>
      <c r="W52" s="404">
        <f t="shared" si="13"/>
        <v>7.171570312947137E-2</v>
      </c>
    </row>
    <row r="53" spans="1:84">
      <c r="A53" s="402" t="s">
        <v>1319</v>
      </c>
      <c r="B53" s="403">
        <f>+'P14'!E10</f>
        <v>0</v>
      </c>
      <c r="C53" s="403">
        <f>+'P14'!F10</f>
        <v>0</v>
      </c>
      <c r="D53" s="403">
        <f>+'P14'!G10</f>
        <v>0</v>
      </c>
      <c r="E53" s="403">
        <f>+'P14'!H10</f>
        <v>1492804776.5</v>
      </c>
      <c r="F53" s="403">
        <f>+'P14'!I10</f>
        <v>1492804776.5</v>
      </c>
      <c r="G53" s="403">
        <f>+'P14'!J10</f>
        <v>1492804776.5</v>
      </c>
      <c r="H53" s="403">
        <f>+'P14'!K10</f>
        <v>1492804776.5</v>
      </c>
      <c r="I53" s="403">
        <f>+'P14'!L10</f>
        <v>18181198748.5</v>
      </c>
      <c r="J53" s="403">
        <f>+'P14'!M10</f>
        <v>18181198748.5</v>
      </c>
      <c r="K53" s="403">
        <f>+'P14'!N10</f>
        <v>18181198748.5</v>
      </c>
      <c r="L53" s="403">
        <f>+'P14'!O10</f>
        <v>18181198748.5</v>
      </c>
      <c r="M53" s="403">
        <f>+'P14'!P10</f>
        <v>18181198748.5</v>
      </c>
      <c r="N53" s="403">
        <f>+'P14'!Q10</f>
        <v>18181198748.5</v>
      </c>
      <c r="O53" s="403">
        <f>+'P14'!R10</f>
        <v>18181198748.5</v>
      </c>
      <c r="P53" s="403">
        <f>+'P14'!S10</f>
        <v>18181198748.5</v>
      </c>
      <c r="Q53" s="403">
        <f>+'P14'!T10</f>
        <v>18181198748.5</v>
      </c>
      <c r="R53" s="403">
        <f>+'P14'!U10</f>
        <v>18181198748.5</v>
      </c>
      <c r="S53" s="403">
        <f>+'P14'!V10</f>
        <v>1492804776.5</v>
      </c>
      <c r="T53" s="403">
        <f>+'P14'!W10</f>
        <v>1492804776.5</v>
      </c>
      <c r="U53" s="403">
        <f>+'P14'!X10</f>
        <v>1492804776.5</v>
      </c>
      <c r="V53" s="403">
        <f>+'P14'!Y10</f>
        <v>192261620920.5</v>
      </c>
      <c r="W53" s="404">
        <f t="shared" si="13"/>
        <v>6.975648735277834E-2</v>
      </c>
    </row>
    <row r="54" spans="1:84">
      <c r="A54" s="402" t="s">
        <v>1320</v>
      </c>
      <c r="B54" s="403">
        <f>+'P14'!E11</f>
        <v>0</v>
      </c>
      <c r="C54" s="403">
        <f>+'P14'!F11</f>
        <v>0</v>
      </c>
      <c r="D54" s="403">
        <f>+'P14'!G11</f>
        <v>951030188.5</v>
      </c>
      <c r="E54" s="403">
        <f>+'P14'!H11</f>
        <v>951030188.5</v>
      </c>
      <c r="F54" s="403">
        <f>+'P14'!I11</f>
        <v>951030188.5</v>
      </c>
      <c r="G54" s="403">
        <f>+'P14'!J11</f>
        <v>2475556089.6400003</v>
      </c>
      <c r="H54" s="403">
        <f>+'P14'!K11</f>
        <v>2475556089.6400003</v>
      </c>
      <c r="I54" s="403">
        <f>+'P14'!L11</f>
        <v>2475556089.6400003</v>
      </c>
      <c r="J54" s="403">
        <f>+'P14'!M11</f>
        <v>2475556089.6400003</v>
      </c>
      <c r="K54" s="403">
        <f>+'P14'!N11</f>
        <v>2475556089.6400003</v>
      </c>
      <c r="L54" s="403">
        <f>+'P14'!O11</f>
        <v>2475556089.6400003</v>
      </c>
      <c r="M54" s="403">
        <f>+'P14'!P11</f>
        <v>2475556089.6400003</v>
      </c>
      <c r="N54" s="403">
        <f>+'P14'!Q11</f>
        <v>2475556089.6400003</v>
      </c>
      <c r="O54" s="403">
        <f>+'P14'!R11</f>
        <v>0</v>
      </c>
      <c r="P54" s="403">
        <f>+'P14'!S11</f>
        <v>951030188.5</v>
      </c>
      <c r="Q54" s="403">
        <f>+'P14'!T11</f>
        <v>0</v>
      </c>
      <c r="R54" s="403">
        <f>+'P14'!U11</f>
        <v>951030188.5</v>
      </c>
      <c r="S54" s="403">
        <f>+'P14'!V11</f>
        <v>0</v>
      </c>
      <c r="T54" s="403">
        <f>+'P14'!W11</f>
        <v>951030188.5</v>
      </c>
      <c r="U54" s="403">
        <f>+'P14'!X11</f>
        <v>0</v>
      </c>
      <c r="V54" s="403">
        <f>+'P14'!Y11</f>
        <v>25510629848.119999</v>
      </c>
      <c r="W54" s="404">
        <f t="shared" si="13"/>
        <v>9.2557834467526263E-3</v>
      </c>
    </row>
    <row r="55" spans="1:84">
      <c r="A55" s="402" t="s">
        <v>1321</v>
      </c>
      <c r="B55" s="403">
        <f>+'P14'!E12</f>
        <v>0</v>
      </c>
      <c r="C55" s="403">
        <f>+'P14'!F12</f>
        <v>0</v>
      </c>
      <c r="D55" s="403">
        <f>+'P14'!G12</f>
        <v>937900438</v>
      </c>
      <c r="E55" s="403">
        <f>+'P14'!H12</f>
        <v>937900438</v>
      </c>
      <c r="F55" s="403">
        <f>+'P14'!I12</f>
        <v>937900438</v>
      </c>
      <c r="G55" s="403">
        <f>+'P14'!J12</f>
        <v>937900438</v>
      </c>
      <c r="H55" s="403">
        <f>+'P14'!K12</f>
        <v>2462426339.1400003</v>
      </c>
      <c r="I55" s="403">
        <f>+'P14'!L12</f>
        <v>2462426339.1400003</v>
      </c>
      <c r="J55" s="403">
        <f>+'P14'!M12</f>
        <v>2462426339.1400003</v>
      </c>
      <c r="K55" s="403">
        <f>+'P14'!N12</f>
        <v>2462426339.1400003</v>
      </c>
      <c r="L55" s="403">
        <f>+'P14'!O12</f>
        <v>2462426339.1400003</v>
      </c>
      <c r="M55" s="403">
        <f>+'P14'!P12</f>
        <v>2462426339.1400003</v>
      </c>
      <c r="N55" s="403">
        <f>+'P14'!Q12</f>
        <v>2462426339.1400003</v>
      </c>
      <c r="O55" s="403">
        <f>+'P14'!R12</f>
        <v>2462426339.1400003</v>
      </c>
      <c r="P55" s="403">
        <f>+'P14'!S12</f>
        <v>2462426339.1400003</v>
      </c>
      <c r="Q55" s="403">
        <f>+'P14'!T12</f>
        <v>2462426339.1400003</v>
      </c>
      <c r="R55" s="403">
        <f>+'P14'!U12</f>
        <v>937900438</v>
      </c>
      <c r="S55" s="403">
        <f>+'P14'!V12</f>
        <v>937900438</v>
      </c>
      <c r="T55" s="403">
        <f>+'P14'!W12</f>
        <v>937900438</v>
      </c>
      <c r="U55" s="403">
        <f>+'P14'!X12</f>
        <v>937900438</v>
      </c>
      <c r="V55" s="403">
        <f>+'P14'!Y12</f>
        <v>32127466895.399998</v>
      </c>
      <c r="W55" s="404">
        <f t="shared" si="13"/>
        <v>1.1656508602371907E-2</v>
      </c>
    </row>
    <row r="56" spans="1:84">
      <c r="A56" s="402" t="s">
        <v>1322</v>
      </c>
      <c r="B56" s="403">
        <f>+'P14'!E13</f>
        <v>0</v>
      </c>
      <c r="C56" s="403">
        <f>+'P14'!F13</f>
        <v>0</v>
      </c>
      <c r="D56" s="403">
        <f>+'P14'!G13</f>
        <v>721200438</v>
      </c>
      <c r="E56" s="403">
        <f>+'P14'!H13</f>
        <v>0</v>
      </c>
      <c r="F56" s="403">
        <f>+'P14'!I13</f>
        <v>721200438</v>
      </c>
      <c r="G56" s="403">
        <f>+'P14'!J13</f>
        <v>0</v>
      </c>
      <c r="H56" s="403">
        <f>+'P14'!K13</f>
        <v>721200438</v>
      </c>
      <c r="I56" s="403">
        <f>+'P14'!L13</f>
        <v>0</v>
      </c>
      <c r="J56" s="403">
        <f>+'P14'!M13</f>
        <v>721200438</v>
      </c>
      <c r="K56" s="403">
        <f>+'P14'!N13</f>
        <v>0</v>
      </c>
      <c r="L56" s="403">
        <f>+'P14'!O13</f>
        <v>721200438</v>
      </c>
      <c r="M56" s="403">
        <f>+'P14'!P13</f>
        <v>0</v>
      </c>
      <c r="N56" s="403">
        <f>+'P14'!Q13</f>
        <v>721200438</v>
      </c>
      <c r="O56" s="403">
        <f>+'P14'!R13</f>
        <v>0</v>
      </c>
      <c r="P56" s="403">
        <f>+'P14'!S13</f>
        <v>721200438</v>
      </c>
      <c r="Q56" s="403">
        <f>+'P14'!T13</f>
        <v>0</v>
      </c>
      <c r="R56" s="403">
        <f>+'P14'!U13</f>
        <v>721200438</v>
      </c>
      <c r="S56" s="403">
        <f>+'P14'!V13</f>
        <v>0</v>
      </c>
      <c r="T56" s="403">
        <f>+'P14'!W13</f>
        <v>721200438</v>
      </c>
      <c r="U56" s="403">
        <f>+'P14'!X13</f>
        <v>0</v>
      </c>
      <c r="V56" s="403">
        <f>+'P14'!Y13</f>
        <v>6490803942</v>
      </c>
      <c r="W56" s="404">
        <f t="shared" si="13"/>
        <v>2.3549977417318723E-3</v>
      </c>
    </row>
    <row r="57" spans="1:84" s="407" customFormat="1">
      <c r="A57" s="398" t="s">
        <v>1220</v>
      </c>
      <c r="B57" s="399">
        <f t="shared" ref="B57:V57" si="19">B58+B59</f>
        <v>457623429</v>
      </c>
      <c r="C57" s="399">
        <f t="shared" si="19"/>
        <v>1379474268</v>
      </c>
      <c r="D57" s="399">
        <f t="shared" si="19"/>
        <v>1379474268</v>
      </c>
      <c r="E57" s="399">
        <f t="shared" si="19"/>
        <v>1379474268</v>
      </c>
      <c r="F57" s="399">
        <f t="shared" si="19"/>
        <v>1379474268</v>
      </c>
      <c r="G57" s="399">
        <f t="shared" si="19"/>
        <v>1106350839</v>
      </c>
      <c r="H57" s="399">
        <f t="shared" si="19"/>
        <v>1106350839</v>
      </c>
      <c r="I57" s="399">
        <f t="shared" si="19"/>
        <v>1563974268</v>
      </c>
      <c r="J57" s="399">
        <f t="shared" si="19"/>
        <v>1106350839</v>
      </c>
      <c r="K57" s="399">
        <f t="shared" si="19"/>
        <v>1106350839</v>
      </c>
      <c r="L57" s="399">
        <f t="shared" si="19"/>
        <v>457623429</v>
      </c>
      <c r="M57" s="399">
        <f t="shared" si="19"/>
        <v>0</v>
      </c>
      <c r="N57" s="399">
        <f t="shared" si="19"/>
        <v>0</v>
      </c>
      <c r="O57" s="399">
        <f t="shared" si="19"/>
        <v>457623429</v>
      </c>
      <c r="P57" s="399">
        <f t="shared" si="19"/>
        <v>921850839</v>
      </c>
      <c r="Q57" s="399">
        <f t="shared" si="19"/>
        <v>0</v>
      </c>
      <c r="R57" s="399">
        <f t="shared" si="19"/>
        <v>457623429</v>
      </c>
      <c r="S57" s="399">
        <f t="shared" si="19"/>
        <v>0</v>
      </c>
      <c r="T57" s="399">
        <f t="shared" si="19"/>
        <v>0</v>
      </c>
      <c r="U57" s="399">
        <f t="shared" si="19"/>
        <v>1379474268</v>
      </c>
      <c r="V57" s="399">
        <f t="shared" si="19"/>
        <v>15639093519</v>
      </c>
      <c r="W57" s="400">
        <f t="shared" si="13"/>
        <v>5.6741861638529463E-3</v>
      </c>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row>
    <row r="58" spans="1:84">
      <c r="A58" s="402" t="s">
        <v>1323</v>
      </c>
      <c r="B58" s="403">
        <f>+'P15'!E8</f>
        <v>457623429</v>
      </c>
      <c r="C58" s="403">
        <f>+'P15'!F8</f>
        <v>457623429</v>
      </c>
      <c r="D58" s="403">
        <f>+'P15'!G8</f>
        <v>457623429</v>
      </c>
      <c r="E58" s="403">
        <f>+'P15'!H8</f>
        <v>457623429</v>
      </c>
      <c r="F58" s="403">
        <f>+'P15'!I8</f>
        <v>457623429</v>
      </c>
      <c r="G58" s="403">
        <f>+'P15'!J8</f>
        <v>0</v>
      </c>
      <c r="H58" s="403">
        <f>+'P15'!K8</f>
        <v>0</v>
      </c>
      <c r="I58" s="403">
        <f>+'P15'!L8</f>
        <v>457623429</v>
      </c>
      <c r="J58" s="403">
        <f>+'P15'!M8</f>
        <v>0</v>
      </c>
      <c r="K58" s="403">
        <f>+'P15'!N8</f>
        <v>0</v>
      </c>
      <c r="L58" s="403">
        <f>+'P15'!O8</f>
        <v>457623429</v>
      </c>
      <c r="M58" s="403">
        <f>+'P15'!P8</f>
        <v>0</v>
      </c>
      <c r="N58" s="403">
        <f>+'P15'!Q8</f>
        <v>0</v>
      </c>
      <c r="O58" s="403">
        <f>+'P15'!R8</f>
        <v>457623429</v>
      </c>
      <c r="P58" s="403">
        <f>+'P15'!S8</f>
        <v>0</v>
      </c>
      <c r="Q58" s="403">
        <f>+'P15'!T8</f>
        <v>0</v>
      </c>
      <c r="R58" s="403">
        <f>+'P15'!U8</f>
        <v>457623429</v>
      </c>
      <c r="S58" s="403">
        <f>+'P15'!V8</f>
        <v>0</v>
      </c>
      <c r="T58" s="403">
        <f>+'P15'!W8</f>
        <v>0</v>
      </c>
      <c r="U58" s="403">
        <f>+'P15'!X8</f>
        <v>457623429</v>
      </c>
      <c r="V58" s="403">
        <f>+'P15'!Y8</f>
        <v>4576234290</v>
      </c>
      <c r="W58" s="404">
        <f t="shared" si="13"/>
        <v>1.6603523253646841E-3</v>
      </c>
    </row>
    <row r="59" spans="1:84">
      <c r="A59" s="402" t="s">
        <v>1226</v>
      </c>
      <c r="B59" s="403">
        <f>+'P15'!E9</f>
        <v>0</v>
      </c>
      <c r="C59" s="403">
        <f>+'P15'!F9</f>
        <v>921850839</v>
      </c>
      <c r="D59" s="403">
        <f>+'P15'!G9</f>
        <v>921850839</v>
      </c>
      <c r="E59" s="403">
        <f>+'P15'!H9</f>
        <v>921850839</v>
      </c>
      <c r="F59" s="403">
        <f>+'P15'!I9</f>
        <v>921850839</v>
      </c>
      <c r="G59" s="403">
        <f>+'P15'!J9</f>
        <v>1106350839</v>
      </c>
      <c r="H59" s="403">
        <f>+'P15'!K9</f>
        <v>1106350839</v>
      </c>
      <c r="I59" s="403">
        <f>+'P15'!L9</f>
        <v>1106350839</v>
      </c>
      <c r="J59" s="403">
        <f>+'P15'!M9</f>
        <v>1106350839</v>
      </c>
      <c r="K59" s="403">
        <f>+'P15'!N9</f>
        <v>1106350839</v>
      </c>
      <c r="L59" s="403">
        <f>+'P15'!O9</f>
        <v>0</v>
      </c>
      <c r="M59" s="403">
        <f>+'P15'!P9</f>
        <v>0</v>
      </c>
      <c r="N59" s="403">
        <f>+'P15'!Q9</f>
        <v>0</v>
      </c>
      <c r="O59" s="403">
        <f>+'P15'!R9</f>
        <v>0</v>
      </c>
      <c r="P59" s="403">
        <f>+'P15'!S9</f>
        <v>921850839</v>
      </c>
      <c r="Q59" s="403">
        <f>+'P15'!T9</f>
        <v>0</v>
      </c>
      <c r="R59" s="403">
        <f>+'P15'!U9</f>
        <v>0</v>
      </c>
      <c r="S59" s="403">
        <f>+'P15'!V9</f>
        <v>0</v>
      </c>
      <c r="T59" s="403">
        <f>+'P15'!W9</f>
        <v>0</v>
      </c>
      <c r="U59" s="403">
        <f>+'P15'!X9</f>
        <v>921850839</v>
      </c>
      <c r="V59" s="403">
        <f>+'P15'!Y9</f>
        <v>11062859229</v>
      </c>
      <c r="W59" s="404">
        <f t="shared" si="13"/>
        <v>4.013833838488262E-3</v>
      </c>
    </row>
    <row r="60" spans="1:84" s="407" customFormat="1">
      <c r="A60" s="398" t="s">
        <v>1324</v>
      </c>
      <c r="B60" s="399">
        <f t="shared" ref="B60:V60" si="20">B61+B62</f>
        <v>437882592</v>
      </c>
      <c r="C60" s="399">
        <f>SUM(C61:C62)</f>
        <v>0</v>
      </c>
      <c r="D60" s="399">
        <f t="shared" ref="D60:F60" si="21">SUM(D61:D62)</f>
        <v>0</v>
      </c>
      <c r="E60" s="399">
        <f t="shared" si="21"/>
        <v>223105328</v>
      </c>
      <c r="F60" s="399">
        <f t="shared" si="21"/>
        <v>0</v>
      </c>
      <c r="G60" s="399">
        <f t="shared" ref="G60" si="22">SUM(G61:G62)</f>
        <v>0</v>
      </c>
      <c r="H60" s="399">
        <f t="shared" ref="H60:I60" si="23">SUM(H61:H62)</f>
        <v>223105328</v>
      </c>
      <c r="I60" s="399">
        <f t="shared" si="23"/>
        <v>0</v>
      </c>
      <c r="J60" s="399">
        <f t="shared" ref="J60" si="24">SUM(J61:J62)</f>
        <v>0</v>
      </c>
      <c r="K60" s="399">
        <f t="shared" ref="K60:L60" si="25">SUM(K61:K62)</f>
        <v>437882592</v>
      </c>
      <c r="L60" s="399">
        <f t="shared" si="25"/>
        <v>0</v>
      </c>
      <c r="M60" s="399">
        <f t="shared" ref="M60" si="26">SUM(M61:M62)</f>
        <v>0</v>
      </c>
      <c r="N60" s="399">
        <f t="shared" ref="N60:O60" si="27">SUM(N61:N62)</f>
        <v>223105328</v>
      </c>
      <c r="O60" s="399">
        <f t="shared" si="27"/>
        <v>0</v>
      </c>
      <c r="P60" s="399">
        <f t="shared" ref="P60" si="28">SUM(P61:P62)</f>
        <v>0</v>
      </c>
      <c r="Q60" s="399">
        <f t="shared" ref="Q60:R60" si="29">SUM(Q61:Q62)</f>
        <v>223105328</v>
      </c>
      <c r="R60" s="399">
        <f t="shared" si="29"/>
        <v>0</v>
      </c>
      <c r="S60" s="399">
        <f t="shared" ref="S60" si="30">SUM(S61:S62)</f>
        <v>0</v>
      </c>
      <c r="T60" s="399">
        <f t="shared" ref="T60:U60" si="31">SUM(T61:T62)</f>
        <v>223105328</v>
      </c>
      <c r="U60" s="399">
        <f t="shared" si="31"/>
        <v>0</v>
      </c>
      <c r="V60" s="399">
        <f t="shared" si="20"/>
        <v>1991291824</v>
      </c>
      <c r="W60" s="400">
        <f t="shared" si="13"/>
        <v>7.2248180511275421E-4</v>
      </c>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row>
    <row r="61" spans="1:84" s="410" customFormat="1" ht="30">
      <c r="A61" s="402" t="s">
        <v>1239</v>
      </c>
      <c r="B61" s="403">
        <f>+'P16'!E9</f>
        <v>223105328</v>
      </c>
      <c r="C61" s="403">
        <f>+'P16'!F9</f>
        <v>0</v>
      </c>
      <c r="D61" s="403">
        <f>+'P16'!G9</f>
        <v>0</v>
      </c>
      <c r="E61" s="403">
        <f>+'P16'!H9</f>
        <v>223105328</v>
      </c>
      <c r="F61" s="403">
        <f>+'P16'!I9</f>
        <v>0</v>
      </c>
      <c r="G61" s="403">
        <f>+'P16'!J9</f>
        <v>0</v>
      </c>
      <c r="H61" s="403">
        <f>+'P16'!K9</f>
        <v>223105328</v>
      </c>
      <c r="I61" s="403">
        <f>+'P16'!L9</f>
        <v>0</v>
      </c>
      <c r="J61" s="403">
        <f>+'P16'!M9</f>
        <v>0</v>
      </c>
      <c r="K61" s="403">
        <f>+'P16'!N9</f>
        <v>223105328</v>
      </c>
      <c r="L61" s="403">
        <f>+'P16'!O9</f>
        <v>0</v>
      </c>
      <c r="M61" s="403">
        <f>+'P16'!P9</f>
        <v>0</v>
      </c>
      <c r="N61" s="403">
        <f>+'P16'!Q9</f>
        <v>223105328</v>
      </c>
      <c r="O61" s="403">
        <f>+'P16'!R9</f>
        <v>0</v>
      </c>
      <c r="P61" s="403">
        <f>+'P16'!S9</f>
        <v>0</v>
      </c>
      <c r="Q61" s="403">
        <f>+'P16'!T9</f>
        <v>223105328</v>
      </c>
      <c r="R61" s="403">
        <f>+'P16'!U9</f>
        <v>0</v>
      </c>
      <c r="S61" s="403">
        <f>+'P16'!V9</f>
        <v>0</v>
      </c>
      <c r="T61" s="403">
        <f>+'P16'!W9</f>
        <v>223105328</v>
      </c>
      <c r="U61" s="403">
        <f>+'P16'!X9</f>
        <v>0</v>
      </c>
      <c r="V61" s="403">
        <f>+'P16'!Y9</f>
        <v>1561737296</v>
      </c>
      <c r="W61" s="404">
        <f t="shared" si="13"/>
        <v>5.6663054963961511E-4</v>
      </c>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row>
    <row r="62" spans="1:84" s="410" customFormat="1">
      <c r="A62" s="402" t="s">
        <v>1325</v>
      </c>
      <c r="B62" s="403">
        <f>+'P16'!E10</f>
        <v>214777264</v>
      </c>
      <c r="C62" s="403" t="str">
        <f>+'P16'!F10</f>
        <v>Por definir</v>
      </c>
      <c r="D62" s="403" t="str">
        <f>+'P16'!G10</f>
        <v>Por definir</v>
      </c>
      <c r="E62" s="403" t="str">
        <f>+'P16'!H10</f>
        <v>Por definir</v>
      </c>
      <c r="F62" s="403" t="str">
        <f>+'P16'!I10</f>
        <v>Por definir</v>
      </c>
      <c r="G62" s="403" t="str">
        <f>+'P16'!J10</f>
        <v>Por definir</v>
      </c>
      <c r="H62" s="403" t="str">
        <f>+'P16'!K10</f>
        <v>Por definir</v>
      </c>
      <c r="I62" s="403" t="str">
        <f>+'P16'!L10</f>
        <v>Por definir</v>
      </c>
      <c r="J62" s="403" t="str">
        <f>+'P16'!M10</f>
        <v>Por definir</v>
      </c>
      <c r="K62" s="403">
        <f>+'P16'!N10</f>
        <v>214777264</v>
      </c>
      <c r="L62" s="403" t="str">
        <f>+'P16'!O10</f>
        <v>Por definir</v>
      </c>
      <c r="M62" s="403" t="str">
        <f>+'P16'!P10</f>
        <v>Por definir</v>
      </c>
      <c r="N62" s="403" t="str">
        <f>+'P16'!Q10</f>
        <v>Por definir</v>
      </c>
      <c r="O62" s="403" t="str">
        <f>+'P16'!R10</f>
        <v>Por definir</v>
      </c>
      <c r="P62" s="403" t="str">
        <f>+'P16'!S10</f>
        <v>Por definir</v>
      </c>
      <c r="Q62" s="403" t="str">
        <f>+'P16'!T10</f>
        <v>Por definir</v>
      </c>
      <c r="R62" s="403" t="str">
        <f>+'P16'!U10</f>
        <v>Por definir</v>
      </c>
      <c r="S62" s="403" t="str">
        <f>+'P16'!V10</f>
        <v>Por definir</v>
      </c>
      <c r="T62" s="403" t="str">
        <f>+'P16'!W10</f>
        <v>Por definir</v>
      </c>
      <c r="U62" s="403" t="str">
        <f>+'P16'!X10</f>
        <v>Por definir</v>
      </c>
      <c r="V62" s="403">
        <f>+'P16'!Y10</f>
        <v>429554528</v>
      </c>
      <c r="W62" s="404">
        <f t="shared" si="13"/>
        <v>1.558512554731391E-4</v>
      </c>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row>
    <row r="63" spans="1:84" s="407" customFormat="1">
      <c r="A63" s="398" t="s">
        <v>1258</v>
      </c>
      <c r="B63" s="399">
        <f t="shared" ref="B63:V63" si="32">B64</f>
        <v>7374543155</v>
      </c>
      <c r="C63" s="399">
        <f t="shared" si="32"/>
        <v>7374543155</v>
      </c>
      <c r="D63" s="399">
        <f t="shared" si="32"/>
        <v>7374543155</v>
      </c>
      <c r="E63" s="399">
        <f t="shared" si="32"/>
        <v>7442703155</v>
      </c>
      <c r="F63" s="399">
        <f t="shared" si="32"/>
        <v>7442703155</v>
      </c>
      <c r="G63" s="399">
        <f t="shared" si="32"/>
        <v>7442703155</v>
      </c>
      <c r="H63" s="399">
        <f t="shared" si="32"/>
        <v>7442703155</v>
      </c>
      <c r="I63" s="399">
        <f t="shared" si="32"/>
        <v>7442703155</v>
      </c>
      <c r="J63" s="399">
        <f t="shared" si="32"/>
        <v>7442703155</v>
      </c>
      <c r="K63" s="399">
        <f t="shared" si="32"/>
        <v>7442703155</v>
      </c>
      <c r="L63" s="399">
        <f t="shared" si="32"/>
        <v>7442703155</v>
      </c>
      <c r="M63" s="399">
        <f t="shared" si="32"/>
        <v>7442703155</v>
      </c>
      <c r="N63" s="399">
        <f t="shared" si="32"/>
        <v>7442703155</v>
      </c>
      <c r="O63" s="399">
        <f t="shared" si="32"/>
        <v>7442703155</v>
      </c>
      <c r="P63" s="399">
        <f t="shared" si="32"/>
        <v>7374543155</v>
      </c>
      <c r="Q63" s="399">
        <f t="shared" si="32"/>
        <v>7374543155</v>
      </c>
      <c r="R63" s="399">
        <f t="shared" si="32"/>
        <v>7374543155</v>
      </c>
      <c r="S63" s="399">
        <f t="shared" si="32"/>
        <v>7374543155</v>
      </c>
      <c r="T63" s="399">
        <f t="shared" si="32"/>
        <v>7374543155</v>
      </c>
      <c r="U63" s="399">
        <f t="shared" si="32"/>
        <v>7374543155</v>
      </c>
      <c r="V63" s="399">
        <f t="shared" si="32"/>
        <v>148240623100</v>
      </c>
      <c r="W63" s="400">
        <f t="shared" si="13"/>
        <v>5.3784760062534888E-2</v>
      </c>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row>
    <row r="64" spans="1:84" ht="21.6" customHeight="1">
      <c r="A64" s="402" t="s">
        <v>1259</v>
      </c>
      <c r="B64" s="403">
        <f>+'P17'!E8</f>
        <v>7374543155</v>
      </c>
      <c r="C64" s="403">
        <f>+'P17'!F8</f>
        <v>7374543155</v>
      </c>
      <c r="D64" s="403">
        <f>+'P17'!G8</f>
        <v>7374543155</v>
      </c>
      <c r="E64" s="403">
        <f>+'P17'!H8</f>
        <v>7442703155</v>
      </c>
      <c r="F64" s="403">
        <f>+'P17'!I8</f>
        <v>7442703155</v>
      </c>
      <c r="G64" s="403">
        <f>+'P17'!J8</f>
        <v>7442703155</v>
      </c>
      <c r="H64" s="403">
        <f>+'P17'!K8</f>
        <v>7442703155</v>
      </c>
      <c r="I64" s="403">
        <f>+'P17'!L8</f>
        <v>7442703155</v>
      </c>
      <c r="J64" s="403">
        <f>+'P17'!M8</f>
        <v>7442703155</v>
      </c>
      <c r="K64" s="403">
        <f>+'P17'!N8</f>
        <v>7442703155</v>
      </c>
      <c r="L64" s="403">
        <f>+'P17'!O8</f>
        <v>7442703155</v>
      </c>
      <c r="M64" s="403">
        <f>+'P17'!P8</f>
        <v>7442703155</v>
      </c>
      <c r="N64" s="403">
        <f>+'P17'!Q8</f>
        <v>7442703155</v>
      </c>
      <c r="O64" s="403">
        <f>+'P17'!R8</f>
        <v>7442703155</v>
      </c>
      <c r="P64" s="403">
        <f>+'P17'!S8</f>
        <v>7374543155</v>
      </c>
      <c r="Q64" s="403">
        <f>+'P17'!T8</f>
        <v>7374543155</v>
      </c>
      <c r="R64" s="403">
        <f>+'P17'!U8</f>
        <v>7374543155</v>
      </c>
      <c r="S64" s="403">
        <f>+'P17'!V8</f>
        <v>7374543155</v>
      </c>
      <c r="T64" s="403">
        <f>+'P17'!W8</f>
        <v>7374543155</v>
      </c>
      <c r="U64" s="403">
        <f>+'P17'!X8</f>
        <v>7374543155</v>
      </c>
      <c r="V64" s="403">
        <f>+'P17'!Y8</f>
        <v>148240623100</v>
      </c>
      <c r="W64" s="404">
        <f t="shared" si="13"/>
        <v>5.3784760062534888E-2</v>
      </c>
    </row>
    <row r="65" spans="1:84" s="407" customFormat="1">
      <c r="A65" s="398" t="s">
        <v>1276</v>
      </c>
      <c r="B65" s="399">
        <f t="shared" ref="B65:U65" si="33">B66+B67+B68</f>
        <v>1589075566</v>
      </c>
      <c r="C65" s="399">
        <f t="shared" si="33"/>
        <v>1589075566</v>
      </c>
      <c r="D65" s="399">
        <f t="shared" si="33"/>
        <v>1726575566</v>
      </c>
      <c r="E65" s="399">
        <f t="shared" si="33"/>
        <v>1726575566</v>
      </c>
      <c r="F65" s="399">
        <f t="shared" si="33"/>
        <v>1726575566</v>
      </c>
      <c r="G65" s="399">
        <f t="shared" si="33"/>
        <v>2676575566</v>
      </c>
      <c r="H65" s="399">
        <f t="shared" si="33"/>
        <v>2676575566</v>
      </c>
      <c r="I65" s="399">
        <f t="shared" si="33"/>
        <v>2676575566</v>
      </c>
      <c r="J65" s="399">
        <f t="shared" si="33"/>
        <v>2676575566</v>
      </c>
      <c r="K65" s="399">
        <f t="shared" si="33"/>
        <v>2676575566</v>
      </c>
      <c r="L65" s="399">
        <f t="shared" si="33"/>
        <v>1726575566</v>
      </c>
      <c r="M65" s="399">
        <f t="shared" si="33"/>
        <v>1726575566</v>
      </c>
      <c r="N65" s="399">
        <f t="shared" si="33"/>
        <v>1726575566</v>
      </c>
      <c r="O65" s="399">
        <f t="shared" si="33"/>
        <v>1726575566</v>
      </c>
      <c r="P65" s="399">
        <f t="shared" si="33"/>
        <v>1726575566</v>
      </c>
      <c r="Q65" s="399">
        <f t="shared" si="33"/>
        <v>1726575566</v>
      </c>
      <c r="R65" s="399">
        <f t="shared" si="33"/>
        <v>1726575566</v>
      </c>
      <c r="S65" s="399">
        <f t="shared" si="33"/>
        <v>1726575566</v>
      </c>
      <c r="T65" s="399">
        <f t="shared" si="33"/>
        <v>1726575566</v>
      </c>
      <c r="U65" s="399">
        <f t="shared" si="33"/>
        <v>1726575566</v>
      </c>
      <c r="V65" s="399">
        <f>V66+V67+V68</f>
        <v>39006511320</v>
      </c>
      <c r="W65" s="400">
        <f t="shared" si="13"/>
        <v>1.415236801053861E-2</v>
      </c>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row>
    <row r="66" spans="1:84">
      <c r="A66" s="402" t="s">
        <v>1277</v>
      </c>
      <c r="B66" s="403">
        <f>+'P18'!E8</f>
        <v>815778290</v>
      </c>
      <c r="C66" s="403">
        <f>+'P18'!F8</f>
        <v>815778290</v>
      </c>
      <c r="D66" s="403">
        <f>+'P18'!G8</f>
        <v>815778290</v>
      </c>
      <c r="E66" s="403">
        <f>+'P18'!H8</f>
        <v>815778290</v>
      </c>
      <c r="F66" s="403">
        <f>+'P18'!I8</f>
        <v>815778290</v>
      </c>
      <c r="G66" s="403">
        <f>+'P18'!J8</f>
        <v>1765778290</v>
      </c>
      <c r="H66" s="403">
        <f>+'P18'!K8</f>
        <v>1765778290</v>
      </c>
      <c r="I66" s="403">
        <f>+'P18'!L8</f>
        <v>1765778290</v>
      </c>
      <c r="J66" s="403">
        <f>+'P18'!M8</f>
        <v>1765778290</v>
      </c>
      <c r="K66" s="403">
        <f>+'P18'!N8</f>
        <v>1765778290</v>
      </c>
      <c r="L66" s="403">
        <f>+'P18'!O8</f>
        <v>815778290</v>
      </c>
      <c r="M66" s="403">
        <f>+'P18'!P8</f>
        <v>815778290</v>
      </c>
      <c r="N66" s="403">
        <f>+'P18'!Q8</f>
        <v>815778290</v>
      </c>
      <c r="O66" s="403">
        <f>+'P18'!R8</f>
        <v>815778290</v>
      </c>
      <c r="P66" s="403">
        <f>+'P18'!S8</f>
        <v>815778290</v>
      </c>
      <c r="Q66" s="403">
        <f>+'P18'!T8</f>
        <v>815778290</v>
      </c>
      <c r="R66" s="403">
        <f>+'P18'!U8</f>
        <v>815778290</v>
      </c>
      <c r="S66" s="403">
        <f>+'P18'!V8</f>
        <v>815778290</v>
      </c>
      <c r="T66" s="403">
        <f>+'P18'!W8</f>
        <v>815778290</v>
      </c>
      <c r="U66" s="403">
        <f>+'P18'!X8</f>
        <v>815778290</v>
      </c>
      <c r="V66" s="403">
        <f>+'P18'!Y8</f>
        <v>21065565800</v>
      </c>
      <c r="W66" s="404">
        <f t="shared" si="13"/>
        <v>7.6430223945445682E-3</v>
      </c>
    </row>
    <row r="67" spans="1:84" s="205" customFormat="1">
      <c r="A67" s="402" t="s">
        <v>1326</v>
      </c>
      <c r="B67" s="403">
        <f>+'P18'!E9</f>
        <v>436689284</v>
      </c>
      <c r="C67" s="403">
        <f>+'P18'!F9</f>
        <v>436689284</v>
      </c>
      <c r="D67" s="403">
        <f>+'P18'!G9</f>
        <v>574189284</v>
      </c>
      <c r="E67" s="403">
        <f>+'P18'!H9</f>
        <v>574189284</v>
      </c>
      <c r="F67" s="403">
        <f>+'P18'!I9</f>
        <v>574189284</v>
      </c>
      <c r="G67" s="403">
        <f>+'P18'!J9</f>
        <v>574189284</v>
      </c>
      <c r="H67" s="403">
        <f>+'P18'!K9</f>
        <v>574189284</v>
      </c>
      <c r="I67" s="403">
        <f>+'P18'!L9</f>
        <v>574189284</v>
      </c>
      <c r="J67" s="403">
        <f>+'P18'!M9</f>
        <v>574189284</v>
      </c>
      <c r="K67" s="403">
        <f>+'P18'!N9</f>
        <v>574189284</v>
      </c>
      <c r="L67" s="403">
        <f>+'P18'!O9</f>
        <v>574189284</v>
      </c>
      <c r="M67" s="403">
        <f>+'P18'!P9</f>
        <v>574189284</v>
      </c>
      <c r="N67" s="403">
        <f>+'P18'!Q9</f>
        <v>574189284</v>
      </c>
      <c r="O67" s="403">
        <f>+'P18'!R9</f>
        <v>574189284</v>
      </c>
      <c r="P67" s="403">
        <f>+'P18'!S9</f>
        <v>574189284</v>
      </c>
      <c r="Q67" s="403">
        <f>+'P18'!T9</f>
        <v>574189284</v>
      </c>
      <c r="R67" s="403">
        <f>+'P18'!U9</f>
        <v>574189284</v>
      </c>
      <c r="S67" s="403">
        <f>+'P18'!V9</f>
        <v>574189284</v>
      </c>
      <c r="T67" s="403">
        <f>+'P18'!W9</f>
        <v>574189284</v>
      </c>
      <c r="U67" s="403">
        <f>+'P18'!X9</f>
        <v>574189284</v>
      </c>
      <c r="V67" s="403">
        <f>+'P18'!Y9</f>
        <v>11208785680</v>
      </c>
      <c r="W67" s="404">
        <f t="shared" si="13"/>
        <v>4.0667789691122593E-3</v>
      </c>
    </row>
    <row r="68" spans="1:84" s="205" customFormat="1" ht="24" customHeight="1">
      <c r="A68" s="402" t="s">
        <v>1296</v>
      </c>
      <c r="B68" s="403">
        <f>+'P18'!E10</f>
        <v>336607992</v>
      </c>
      <c r="C68" s="403">
        <f>+'P18'!F10</f>
        <v>336607992</v>
      </c>
      <c r="D68" s="403">
        <f>+'P18'!G10</f>
        <v>336607992</v>
      </c>
      <c r="E68" s="403">
        <f>+'P18'!H10</f>
        <v>336607992</v>
      </c>
      <c r="F68" s="403">
        <f>+'P18'!I10</f>
        <v>336607992</v>
      </c>
      <c r="G68" s="403">
        <f>+'P18'!J10</f>
        <v>336607992</v>
      </c>
      <c r="H68" s="403">
        <f>+'P18'!K10</f>
        <v>336607992</v>
      </c>
      <c r="I68" s="403">
        <f>+'P18'!L10</f>
        <v>336607992</v>
      </c>
      <c r="J68" s="403">
        <f>+'P18'!M10</f>
        <v>336607992</v>
      </c>
      <c r="K68" s="403">
        <f>+'P18'!N10</f>
        <v>336607992</v>
      </c>
      <c r="L68" s="403">
        <f>+'P18'!O10</f>
        <v>336607992</v>
      </c>
      <c r="M68" s="403">
        <f>+'P18'!P10</f>
        <v>336607992</v>
      </c>
      <c r="N68" s="403">
        <f>+'P18'!Q10</f>
        <v>336607992</v>
      </c>
      <c r="O68" s="403">
        <f>+'P18'!R10</f>
        <v>336607992</v>
      </c>
      <c r="P68" s="403">
        <f>+'P18'!S10</f>
        <v>336607992</v>
      </c>
      <c r="Q68" s="403">
        <f>+'P18'!T10</f>
        <v>336607992</v>
      </c>
      <c r="R68" s="403">
        <f>+'P18'!U10</f>
        <v>336607992</v>
      </c>
      <c r="S68" s="403">
        <f>+'P18'!V10</f>
        <v>336607992</v>
      </c>
      <c r="T68" s="403">
        <f>+'P18'!W10</f>
        <v>336607992</v>
      </c>
      <c r="U68" s="403">
        <f>+'P18'!X10</f>
        <v>336607992</v>
      </c>
      <c r="V68" s="403">
        <f>+'P18'!Y10</f>
        <v>6732159840</v>
      </c>
      <c r="W68" s="404">
        <f t="shared" si="13"/>
        <v>2.4425666468817836E-3</v>
      </c>
    </row>
    <row r="69" spans="1:84" s="205" customFormat="1">
      <c r="A69" s="395" t="s">
        <v>1327</v>
      </c>
      <c r="B69" s="411">
        <f t="shared" ref="B69:G69" si="34">B5+B9+B12+B14+B19+B24+B28+B30+B33+B37+B41+B45+B48+B51+B57+B60+B63+B65</f>
        <v>15074130559</v>
      </c>
      <c r="C69" s="411">
        <f t="shared" si="34"/>
        <v>44320164806</v>
      </c>
      <c r="D69" s="411">
        <f t="shared" si="34"/>
        <v>121261447861.29999</v>
      </c>
      <c r="E69" s="411">
        <f t="shared" si="34"/>
        <v>160657220687.46567</v>
      </c>
      <c r="F69" s="411">
        <f t="shared" si="34"/>
        <v>165157099822.76566</v>
      </c>
      <c r="G69" s="411">
        <f t="shared" si="34"/>
        <v>187159344937.34564</v>
      </c>
      <c r="H69" s="411">
        <f>H5+H9+H14+H19+H24+H28+H30+H33+H37+H41+H45+H48+H51+H57+H60+H63+H65</f>
        <v>187586988237.27136</v>
      </c>
      <c r="I69" s="411">
        <f t="shared" ref="I69:T69" si="35">I5+I9+I14+I19+I24+I28+I30+I33+I37+I41+I45+I48+I51+I57+I60+I63+I65</f>
        <v>205924452391.97137</v>
      </c>
      <c r="J69" s="411">
        <f>J5+J9+J14+J19+J24+J28+J30+J33+J37+J41+J45+J48+J51+J57+J60+J63+J65</f>
        <v>181540613899.27136</v>
      </c>
      <c r="K69" s="411">
        <f>K5+K9+K14+K19+K24+K28+K30+K33+K37+K41+K45+K48+K51+K57+K60+K63+K65</f>
        <v>187496235517.52136</v>
      </c>
      <c r="L69" s="411">
        <f t="shared" si="35"/>
        <v>168164465652.7532</v>
      </c>
      <c r="M69" s="411">
        <f t="shared" si="35"/>
        <v>160390349787.96259</v>
      </c>
      <c r="N69" s="411">
        <f t="shared" si="35"/>
        <v>159480596499.89743</v>
      </c>
      <c r="O69" s="411">
        <f t="shared" si="35"/>
        <v>151183056070.91827</v>
      </c>
      <c r="P69" s="411">
        <f t="shared" si="35"/>
        <v>142554344154.06622</v>
      </c>
      <c r="Q69" s="411">
        <f t="shared" si="35"/>
        <v>121749773302.37154</v>
      </c>
      <c r="R69" s="411">
        <f t="shared" si="35"/>
        <v>123185859925.3891</v>
      </c>
      <c r="S69" s="411">
        <f t="shared" si="35"/>
        <v>101862963927.45456</v>
      </c>
      <c r="T69" s="411">
        <f t="shared" si="35"/>
        <v>84988574104.113297</v>
      </c>
      <c r="U69" s="411">
        <f>U5+U9+U14+U19+U24+U28+U30+U33+U37+U41+U45+U48+U51+U57+U60+U63+U65</f>
        <v>86444978661.724945</v>
      </c>
      <c r="V69" s="411">
        <f>V5+V9+V14+V19+V24+V28+V30+V33+V37+V41+V45+V48+V51+V57+V60+V63+V65+V12</f>
        <v>2756182660806.5635</v>
      </c>
      <c r="W69" s="412">
        <f t="shared" ref="W69" si="36">V69/$V$69</f>
        <v>1</v>
      </c>
    </row>
    <row r="70" spans="1:84" s="205" customFormat="1" ht="18.75">
      <c r="A70" s="260"/>
      <c r="B70" s="413"/>
      <c r="C70" s="413"/>
      <c r="D70" s="413"/>
      <c r="E70" s="413"/>
      <c r="F70" s="413"/>
      <c r="G70" s="413"/>
      <c r="H70" s="413"/>
      <c r="I70" s="413"/>
      <c r="J70" s="413"/>
      <c r="K70" s="413"/>
      <c r="L70" s="413"/>
      <c r="M70" s="413"/>
      <c r="N70" s="413"/>
      <c r="O70" s="413"/>
      <c r="P70" s="413"/>
      <c r="Q70" s="413"/>
      <c r="R70" s="413"/>
      <c r="S70" s="413"/>
      <c r="T70" s="413"/>
      <c r="U70" s="413"/>
      <c r="V70" s="414"/>
      <c r="W70" s="415"/>
    </row>
    <row r="71" spans="1:84" s="205" customFormat="1">
      <c r="A71" s="260"/>
      <c r="B71" s="413"/>
      <c r="C71" s="413"/>
      <c r="D71" s="413"/>
      <c r="E71" s="413"/>
      <c r="F71" s="413"/>
      <c r="G71" s="413"/>
      <c r="H71" s="413"/>
      <c r="I71" s="413"/>
      <c r="J71" s="413"/>
      <c r="K71" s="413"/>
      <c r="L71" s="413"/>
      <c r="M71" s="413"/>
      <c r="N71" s="413"/>
      <c r="O71" s="413"/>
      <c r="P71" s="413"/>
      <c r="Q71" s="413"/>
      <c r="R71" s="413"/>
      <c r="S71" s="413"/>
      <c r="T71" s="413"/>
      <c r="U71" s="413"/>
      <c r="V71" s="416"/>
      <c r="W71" s="415"/>
    </row>
    <row r="72" spans="1:84" s="205" customFormat="1" ht="18.75">
      <c r="A72" s="260"/>
      <c r="B72" s="413"/>
      <c r="C72" s="413"/>
      <c r="D72" s="413"/>
      <c r="E72" s="413"/>
      <c r="F72" s="413"/>
      <c r="G72" s="413"/>
      <c r="H72" s="413"/>
      <c r="I72" s="413"/>
      <c r="J72" s="413"/>
      <c r="K72" s="413"/>
      <c r="L72" s="413"/>
      <c r="M72" s="413"/>
      <c r="N72" s="413"/>
      <c r="O72" s="413"/>
      <c r="P72" s="413"/>
      <c r="Q72" s="413"/>
      <c r="R72" s="413"/>
      <c r="S72" s="413"/>
      <c r="T72" s="413"/>
      <c r="U72" s="413"/>
      <c r="V72" s="239">
        <f>+Portafolio_Cadena_Láctea!K262</f>
        <v>2756182660806.564</v>
      </c>
      <c r="W72" s="41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4"/>
  <sheetViews>
    <sheetView windowProtection="1" showGridLines="0" tabSelected="1" zoomScaleNormal="100" workbookViewId="0">
      <selection sqref="A1:E1"/>
    </sheetView>
  </sheetViews>
  <sheetFormatPr baseColWidth="10" defaultColWidth="10.85546875" defaultRowHeight="15"/>
  <cols>
    <col min="1" max="1" width="112.42578125" style="260" customWidth="1"/>
    <col min="2" max="4" width="22.42578125" style="418" customWidth="1"/>
    <col min="5" max="5" width="26.7109375" style="418" customWidth="1"/>
    <col min="6" max="6" width="14.7109375" style="205" customWidth="1"/>
    <col min="7" max="66" width="10.85546875" style="205"/>
  </cols>
  <sheetData>
    <row r="1" spans="1:66" ht="68.099999999999994" customHeight="1">
      <c r="A1" s="684" t="s">
        <v>1328</v>
      </c>
      <c r="B1" s="685"/>
      <c r="C1" s="685"/>
      <c r="D1" s="685"/>
      <c r="E1" s="685"/>
      <c r="AV1"/>
      <c r="AW1"/>
      <c r="AX1"/>
      <c r="AY1"/>
      <c r="AZ1"/>
      <c r="BA1"/>
      <c r="BB1"/>
      <c r="BC1"/>
      <c r="BD1"/>
      <c r="BE1"/>
      <c r="BF1"/>
      <c r="BG1"/>
      <c r="BH1"/>
      <c r="BI1"/>
      <c r="BJ1"/>
      <c r="BK1"/>
      <c r="BL1"/>
      <c r="BM1"/>
      <c r="BN1"/>
    </row>
    <row r="2" spans="1:66" ht="21.6" customHeight="1">
      <c r="A2" s="393"/>
      <c r="B2" s="417"/>
      <c r="C2" s="417"/>
      <c r="D2" s="417"/>
      <c r="E2" s="417"/>
      <c r="AV2"/>
      <c r="AW2"/>
      <c r="AX2"/>
      <c r="AY2"/>
      <c r="AZ2"/>
      <c r="BA2"/>
      <c r="BB2"/>
      <c r="BC2"/>
      <c r="BD2"/>
      <c r="BE2"/>
      <c r="BF2"/>
      <c r="BG2"/>
      <c r="BH2"/>
      <c r="BI2"/>
      <c r="BJ2"/>
      <c r="BK2"/>
      <c r="BL2"/>
      <c r="BM2"/>
      <c r="BN2"/>
    </row>
    <row r="3" spans="1:66" ht="21.6" customHeight="1">
      <c r="A3" s="393"/>
      <c r="B3" s="417"/>
      <c r="C3" s="417"/>
      <c r="D3" s="417"/>
      <c r="E3" s="417"/>
      <c r="AV3"/>
      <c r="AW3"/>
      <c r="AX3"/>
      <c r="AY3"/>
      <c r="AZ3"/>
      <c r="BA3"/>
      <c r="BB3"/>
      <c r="BC3"/>
      <c r="BD3"/>
      <c r="BE3"/>
      <c r="BF3"/>
      <c r="BG3"/>
      <c r="BH3"/>
      <c r="BI3"/>
      <c r="BJ3"/>
      <c r="BK3"/>
      <c r="BL3"/>
      <c r="BM3"/>
      <c r="BN3"/>
    </row>
    <row r="4" spans="1:66" s="205" customFormat="1">
      <c r="A4" s="260"/>
      <c r="B4" s="544">
        <v>1000000</v>
      </c>
      <c r="C4" s="418"/>
      <c r="D4" s="418"/>
      <c r="E4" s="418"/>
    </row>
    <row r="5" spans="1:66" ht="45" customHeight="1">
      <c r="A5" s="395" t="s">
        <v>1714</v>
      </c>
      <c r="B5" s="482" t="s">
        <v>1329</v>
      </c>
      <c r="C5" s="419" t="s">
        <v>1718</v>
      </c>
      <c r="D5" s="419" t="s">
        <v>1330</v>
      </c>
      <c r="E5" s="419" t="s">
        <v>32</v>
      </c>
    </row>
    <row r="6" spans="1:66" s="401" customFormat="1">
      <c r="A6" s="398" t="s">
        <v>811</v>
      </c>
      <c r="B6" s="420">
        <f>+'Estimación de Costos Anualizada'!V5/B$4</f>
        <v>374074.33469400002</v>
      </c>
      <c r="C6" s="420">
        <f>+('Estimación de Costos Anualizada'!B5+'Estimación de Costos Anualizada'!C5+'Estimación de Costos Anualizada'!D5+'Estimación de Costos Anualizada'!E5)/B$4</f>
        <v>48800.344965999997</v>
      </c>
      <c r="D6" s="420">
        <f>(+'Estimación de Costos Anualizada'!F5+'Estimación de Costos Anualizada'!G5+'Estimación de Costos Anualizada'!H5+'Estimación de Costos Anualizada'!I5+'Estimación de Costos Anualizada'!J5+'Estimación de Costos Anualizada'!K5+'Estimación de Costos Anualizada'!L5+'Estimación de Costos Anualizada'!M5)/B$4</f>
        <v>210505.86523200001</v>
      </c>
      <c r="E6" s="420">
        <f>(+'Estimación de Costos Anualizada'!N5+'Estimación de Costos Anualizada'!O5+'Estimación de Costos Anualizada'!P5+'Estimación de Costos Anualizada'!Q5+'Estimación de Costos Anualizada'!R5+'Estimación de Costos Anualizada'!S5+'Estimación de Costos Anualizada'!T5+'Estimación de Costos Anualizada'!U5)/B$4</f>
        <v>114768.124496</v>
      </c>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row>
    <row r="7" spans="1:66">
      <c r="A7" s="402" t="s">
        <v>812</v>
      </c>
      <c r="B7" s="403">
        <f>+'Estimación de Costos Anualizada'!V6/B$4</f>
        <v>14565.675832499999</v>
      </c>
      <c r="C7" s="403">
        <f>+('Estimación de Costos Anualizada'!B6+'Estimación de Costos Anualizada'!C6+'Estimación de Costos Anualizada'!D6+'Estimación de Costos Anualizada'!E6)/B$4</f>
        <v>2299.8435525</v>
      </c>
      <c r="D7" s="403">
        <f>(+'Estimación de Costos Anualizada'!F6+'Estimación de Costos Anualizada'!G6+'Estimación de Costos Anualizada'!H6+'Estimación de Costos Anualizada'!I6+'Estimación de Costos Anualizada'!J6+'Estimación de Costos Anualizada'!K6+'Estimación de Costos Anualizada'!L6+'Estimación de Costos Anualizada'!M6)/B$4</f>
        <v>6132.9161400000003</v>
      </c>
      <c r="E7" s="403">
        <f>(+'Estimación de Costos Anualizada'!N6+'Estimación de Costos Anualizada'!O6+'Estimación de Costos Anualizada'!P6+'Estimación de Costos Anualizada'!Q6+'Estimación de Costos Anualizada'!R6+'Estimación de Costos Anualizada'!S6+'Estimación de Costos Anualizada'!T6+'Estimación de Costos Anualizada'!U6)/B$4</f>
        <v>6132.9161400000003</v>
      </c>
    </row>
    <row r="8" spans="1:66" ht="30">
      <c r="A8" s="402" t="s">
        <v>1305</v>
      </c>
      <c r="B8" s="403">
        <f>+'Estimación de Costos Anualizada'!V7/B$4</f>
        <v>54561.724503999998</v>
      </c>
      <c r="C8" s="403">
        <f>+('Estimación de Costos Anualizada'!B7+'Estimación de Costos Anualizada'!C7+'Estimación de Costos Anualizada'!D7+'Estimación de Costos Anualizada'!E7)/B$4</f>
        <v>7086.7749359999998</v>
      </c>
      <c r="D8" s="403">
        <f>(+'Estimación de Costos Anualizada'!F7+'Estimación de Costos Anualizada'!G7+'Estimación de Costos Anualizada'!H7+'Estimación de Costos Anualizada'!I7+'Estimación de Costos Anualizada'!J7+'Estimación de Costos Anualizada'!K7+'Estimación de Costos Anualizada'!L7+'Estimación de Costos Anualizada'!M7)/B$4</f>
        <v>32976.345152000002</v>
      </c>
      <c r="E8" s="403">
        <f>(+'Estimación de Costos Anualizada'!N7+'Estimación de Costos Anualizada'!O7+'Estimación de Costos Anualizada'!P7+'Estimación de Costos Anualizada'!Q7+'Estimación de Costos Anualizada'!R7+'Estimación de Costos Anualizada'!S7+'Estimación de Costos Anualizada'!T7+'Estimación de Costos Anualizada'!U7)/B$4</f>
        <v>14498.604416</v>
      </c>
    </row>
    <row r="9" spans="1:66">
      <c r="A9" s="402" t="s">
        <v>837</v>
      </c>
      <c r="B9" s="403">
        <f>+'Estimación de Costos Anualizada'!V8/B$4</f>
        <v>304946.93435749999</v>
      </c>
      <c r="C9" s="403">
        <f>+('Estimación de Costos Anualizada'!B8+'Estimación de Costos Anualizada'!C8+'Estimación de Costos Anualizada'!D8+'Estimación de Costos Anualizada'!E8)/B$4</f>
        <v>39413.7264775</v>
      </c>
      <c r="D9" s="403">
        <f>(+'Estimación de Costos Anualizada'!F8+'Estimación de Costos Anualizada'!G8+'Estimación de Costos Anualizada'!H8+'Estimación de Costos Anualizada'!I8+'Estimación de Costos Anualizada'!J8+'Estimación de Costos Anualizada'!K8+'Estimación de Costos Anualizada'!L8+'Estimación de Costos Anualizada'!M8)/B$4</f>
        <v>171396.60394</v>
      </c>
      <c r="E9" s="403">
        <f>(+'Estimación de Costos Anualizada'!N8+'Estimación de Costos Anualizada'!O8+'Estimación de Costos Anualizada'!P8+'Estimación de Costos Anualizada'!Q8+'Estimación de Costos Anualizada'!R8+'Estimación de Costos Anualizada'!S8+'Estimación de Costos Anualizada'!T8+'Estimación de Costos Anualizada'!U8)/B$4</f>
        <v>94136.603940000001</v>
      </c>
    </row>
    <row r="10" spans="1:66" s="401" customFormat="1">
      <c r="A10" s="398" t="s">
        <v>849</v>
      </c>
      <c r="B10" s="399">
        <f>+'Estimación de Costos Anualizada'!V9/B$4</f>
        <v>147550.40744899999</v>
      </c>
      <c r="C10" s="399">
        <f>+('Estimación de Costos Anualizada'!B9+'Estimación de Costos Anualizada'!C9+'Estimación de Costos Anualizada'!D9+'Estimación de Costos Anualizada'!E9)/B$4</f>
        <v>33890.865308</v>
      </c>
      <c r="D10" s="399">
        <f>(+'Estimación de Costos Anualizada'!F9+'Estimación de Costos Anualizada'!G9+'Estimación de Costos Anualizada'!H9+'Estimación de Costos Anualizada'!I9+'Estimación de Costos Anualizada'!J9+'Estimación de Costos Anualizada'!K9+'Estimación de Costos Anualizada'!L9+'Estimación de Costos Anualizada'!M9)/B$4</f>
        <v>73212.637692999997</v>
      </c>
      <c r="E10" s="399">
        <f>(+'Estimación de Costos Anualizada'!N9+'Estimación de Costos Anualizada'!O9+'Estimación de Costos Anualizada'!P9+'Estimación de Costos Anualizada'!Q9+'Estimación de Costos Anualizada'!R9+'Estimación de Costos Anualizada'!S9+'Estimación de Costos Anualizada'!T9+'Estimación de Costos Anualizada'!U9)/B$4</f>
        <v>40446.904448000001</v>
      </c>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row>
    <row r="11" spans="1:66">
      <c r="A11" s="402" t="str">
        <f>+'Estimación de Costos Anualizada'!A10</f>
        <v xml:space="preserve">2.1.Fortalecimiento del sistema oficial de trazabilidad para la cadena láctea. </v>
      </c>
      <c r="B11" s="403">
        <f>+'Estimación de Costos Anualizada'!V10/B$4</f>
        <v>51489.009384999998</v>
      </c>
      <c r="C11" s="403">
        <f>+('Estimación de Costos Anualizada'!B10+'Estimación de Costos Anualizada'!C10+'Estimación de Costos Anualizada'!D10+'Estimación de Costos Anualizada'!E10)/B$4</f>
        <v>18723.276140000002</v>
      </c>
      <c r="D11" s="403">
        <v>32765.733244999999</v>
      </c>
      <c r="E11" s="403" t="s">
        <v>1331</v>
      </c>
    </row>
    <row r="12" spans="1:66" s="276" customFormat="1">
      <c r="A12" s="405" t="s">
        <v>1306</v>
      </c>
      <c r="B12" s="403">
        <f>+'Estimación de Costos Anualizada'!V11/B$4</f>
        <v>96061.398063999994</v>
      </c>
      <c r="C12" s="403">
        <f>+('Estimación de Costos Anualizada'!B11+'Estimación de Costos Anualizada'!C11+'Estimación de Costos Anualizada'!D11+'Estimación de Costos Anualizada'!E11)/B$4</f>
        <v>15167.589168</v>
      </c>
      <c r="D12" s="403">
        <f>(+'Estimación de Costos Anualizada'!F11+'Estimación de Costos Anualizada'!G11+'Estimación de Costos Anualizada'!H11+'Estimación de Costos Anualizada'!I11+'Estimación de Costos Anualizada'!J11+'Estimación de Costos Anualizada'!K11+'Estimación de Costos Anualizada'!L11+'Estimación de Costos Anualizada'!M11)/B$4</f>
        <v>40446.904448000001</v>
      </c>
      <c r="E12" s="403">
        <f>(+'Estimación de Costos Anualizada'!N11+'Estimación de Costos Anualizada'!O11+'Estimación de Costos Anualizada'!P11+'Estimación de Costos Anualizada'!Q11+'Estimación de Costos Anualizada'!R11+'Estimación de Costos Anualizada'!S11+'Estimación de Costos Anualizada'!T11+'Estimación de Costos Anualizada'!U11)/B$4</f>
        <v>40446.904448000001</v>
      </c>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row>
    <row r="13" spans="1:66" s="401" customFormat="1">
      <c r="A13" s="398" t="s">
        <v>868</v>
      </c>
      <c r="B13" s="399">
        <f>+'Estimación de Costos Anualizada'!V12/B$4</f>
        <v>5177.3769279999997</v>
      </c>
      <c r="C13" s="399">
        <f>+('Estimación de Costos Anualizada'!B12+'Estimación de Costos Anualizada'!C12+'Estimación de Costos Anualizada'!D12+'Estimación de Costos Anualizada'!E12)/B$4</f>
        <v>2588.6884639999998</v>
      </c>
      <c r="D13" s="399">
        <f>D14</f>
        <v>2588.6884639999998</v>
      </c>
      <c r="E13" s="399" t="s">
        <v>1331</v>
      </c>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row>
    <row r="14" spans="1:66" ht="30">
      <c r="A14" s="402" t="s">
        <v>1307</v>
      </c>
      <c r="B14" s="403">
        <f>+'Estimación de Costos Anualizada'!V13/B$4</f>
        <v>5177.3769279999997</v>
      </c>
      <c r="C14" s="403">
        <f>+('Estimación de Costos Anualizada'!B13+'Estimación de Costos Anualizada'!C13+'Estimación de Costos Anualizada'!D13+'Estimación de Costos Anualizada'!E13)/B$4</f>
        <v>2588.6884639999998</v>
      </c>
      <c r="D14" s="403">
        <f>('Estimación de Costos Anualizada'!F13+'Estimación de Costos Anualizada'!G13)/B$4</f>
        <v>2588.6884639999998</v>
      </c>
      <c r="E14" s="403" t="s">
        <v>1331</v>
      </c>
    </row>
    <row r="15" spans="1:66" s="401" customFormat="1">
      <c r="A15" s="398" t="s">
        <v>881</v>
      </c>
      <c r="B15" s="399">
        <f>+'Estimación de Costos Anualizada'!V14/B$4</f>
        <v>124763.639048</v>
      </c>
      <c r="C15" s="399">
        <f>+('Estimación de Costos Anualizada'!B14+'Estimación de Costos Anualizada'!C14+'Estimación de Costos Anualizada'!D14+'Estimación de Costos Anualizada'!E14)/B$4</f>
        <v>13279.023499999999</v>
      </c>
      <c r="D15" s="399">
        <f>(+'Estimación de Costos Anualizada'!F14+'Estimación de Costos Anualizada'!G14+'Estimación de Costos Anualizada'!H14+'Estimación de Costos Anualizada'!I14+'Estimación de Costos Anualizada'!J14+'Estimación de Costos Anualizada'!K14+'Estimación de Costos Anualizada'!L14+'Estimación de Costos Anualizada'!M14)/B$4</f>
        <v>57411.347519600007</v>
      </c>
      <c r="E15" s="399">
        <f>(+'Estimación de Costos Anualizada'!N14+'Estimación de Costos Anualizada'!O14+'Estimación de Costos Anualizada'!P14+'Estimación de Costos Anualizada'!Q14+'Estimación de Costos Anualizada'!R14+'Estimación de Costos Anualizada'!S14+'Estimación de Costos Anualizada'!T14+'Estimación de Costos Anualizada'!U14)/B$4</f>
        <v>54073.268028400002</v>
      </c>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row>
    <row r="16" spans="1:66">
      <c r="A16" s="402" t="s">
        <v>882</v>
      </c>
      <c r="B16" s="403">
        <f>+'Estimación de Costos Anualizada'!V15/B$4</f>
        <v>56205.342629999999</v>
      </c>
      <c r="C16" s="403">
        <f>+('Estimación de Costos Anualizada'!B15+'Estimación de Costos Anualizada'!C15+'Estimación de Costos Anualizada'!D15+'Estimación de Costos Anualizada'!E15)/B$4</f>
        <v>6245.0380699999996</v>
      </c>
      <c r="D16" s="403">
        <f>(+'Estimación de Costos Anualizada'!F15+'Estimación de Costos Anualizada'!G15+'Estimación de Costos Anualizada'!H15+'Estimación de Costos Anualizada'!I15+'Estimación de Costos Anualizada'!J15+'Estimación de Costos Anualizada'!K15+'Estimación de Costos Anualizada'!L15+'Estimación de Costos Anualizada'!M15)/B$4</f>
        <v>24980.152279999998</v>
      </c>
      <c r="E16" s="403">
        <f>(+'Estimación de Costos Anualizada'!N15+'Estimación de Costos Anualizada'!O15+'Estimación de Costos Anualizada'!P15+'Estimación de Costos Anualizada'!Q15+'Estimación de Costos Anualizada'!R15+'Estimación de Costos Anualizada'!S15+'Estimación de Costos Anualizada'!T15+'Estimación de Costos Anualizada'!U15)/B$4</f>
        <v>24980.152279999998</v>
      </c>
    </row>
    <row r="17" spans="1:66" s="205" customFormat="1" ht="30">
      <c r="A17" s="402" t="s">
        <v>893</v>
      </c>
      <c r="B17" s="403">
        <f>+'Estimación de Costos Anualizada'!V16/B$4</f>
        <v>5867.6070399999999</v>
      </c>
      <c r="C17" s="403">
        <f>+('Estimación de Costos Anualizada'!B16+'Estimación de Costos Anualizada'!C16+'Estimación de Costos Anualizada'!D16+'Estimación de Costos Anualizada'!E16)/B$4</f>
        <v>1466.90176</v>
      </c>
      <c r="D17" s="403">
        <f>(+'Estimación de Costos Anualizada'!F16+'Estimación de Costos Anualizada'!G16+'Estimación de Costos Anualizada'!H16+'Estimación de Costos Anualizada'!I16+'Estimación de Costos Anualizada'!J16+'Estimación de Costos Anualizada'!K16+'Estimación de Costos Anualizada'!L16+'Estimación de Costos Anualizada'!M16)/B$4</f>
        <v>2200.3526400000001</v>
      </c>
      <c r="E17" s="403">
        <f>(+'Estimación de Costos Anualizada'!N16+'Estimación de Costos Anualizada'!O16+'Estimación de Costos Anualizada'!P16+'Estimación de Costos Anualizada'!Q16+'Estimación de Costos Anualizada'!R16+'Estimación de Costos Anualizada'!S16+'Estimación de Costos Anualizada'!T16+'Estimación de Costos Anualizada'!U16)/B$4</f>
        <v>2200.3526400000001</v>
      </c>
    </row>
    <row r="18" spans="1:66" s="205" customFormat="1" ht="30">
      <c r="A18" s="402" t="s">
        <v>1308</v>
      </c>
      <c r="B18" s="403">
        <f>+'Estimación de Costos Anualizada'!V17/B$4</f>
        <v>41620.27779</v>
      </c>
      <c r="C18" s="403">
        <f>+('Estimación de Costos Anualizada'!B17+'Estimación de Costos Anualizada'!C17+'Estimación de Costos Anualizada'!D17+'Estimación de Costos Anualizada'!E17)/B$4</f>
        <v>4624.4753099999998</v>
      </c>
      <c r="D18" s="403">
        <f>(+'Estimación de Costos Anualizada'!F17+'Estimación de Costos Anualizada'!G17+'Estimación de Costos Anualizada'!H17+'Estimación de Costos Anualizada'!I17+'Estimación de Costos Anualizada'!J17+'Estimación de Costos Anualizada'!K17+'Estimación de Costos Anualizada'!L17+'Estimación de Costos Anualizada'!M17)/B$4</f>
        <v>18497.901239999999</v>
      </c>
      <c r="E18" s="403">
        <f>(+'Estimación de Costos Anualizada'!N17+'Estimación de Costos Anualizada'!O17+'Estimación de Costos Anualizada'!P17+'Estimación de Costos Anualizada'!Q17+'Estimación de Costos Anualizada'!R17+'Estimación de Costos Anualizada'!S17+'Estimación de Costos Anualizada'!T17+'Estimación de Costos Anualizada'!U17)/B$4</f>
        <v>18497.901239999999</v>
      </c>
    </row>
    <row r="19" spans="1:66">
      <c r="A19" s="402" t="s">
        <v>917</v>
      </c>
      <c r="B19" s="403">
        <f>+'Estimación de Costos Anualizada'!V18/B$4</f>
        <v>21070.411587999995</v>
      </c>
      <c r="C19" s="403">
        <f>+('Estimación de Costos Anualizada'!B18+'Estimación de Costos Anualizada'!C18+'Estimación de Costos Anualizada'!D18+'Estimación de Costos Anualizada'!E18)/B$4</f>
        <v>942.60835999999995</v>
      </c>
      <c r="D19" s="403">
        <f>(+'Estimación de Costos Anualizada'!F18+'Estimación de Costos Anualizada'!G18+'Estimación de Costos Anualizada'!H18+'Estimación de Costos Anualizada'!I18+'Estimación de Costos Anualizada'!J18+'Estimación de Costos Anualizada'!K18+'Estimación de Costos Anualizada'!L18+'Estimación de Costos Anualizada'!M18)/B$4</f>
        <v>11732.941359599998</v>
      </c>
      <c r="E19" s="403">
        <f>(+'Estimación de Costos Anualizada'!N18+'Estimación de Costos Anualizada'!O18+'Estimación de Costos Anualizada'!P18+'Estimación de Costos Anualizada'!Q18+'Estimación de Costos Anualizada'!R18+'Estimación de Costos Anualizada'!S18+'Estimación de Costos Anualizada'!T18+'Estimación de Costos Anualizada'!U18)/B$4</f>
        <v>8394.8618683999994</v>
      </c>
    </row>
    <row r="20" spans="1:66" s="401" customFormat="1">
      <c r="A20" s="398" t="s">
        <v>929</v>
      </c>
      <c r="B20" s="399">
        <f>+'Estimación de Costos Anualizada'!V19/B$4</f>
        <v>132482.04594350001</v>
      </c>
      <c r="C20" s="399">
        <f>+('Estimación de Costos Anualizada'!B19+'Estimación de Costos Anualizada'!C19+'Estimación de Costos Anualizada'!D19+'Estimación de Costos Anualizada'!E19)/B$4</f>
        <v>11373.5728335</v>
      </c>
      <c r="D20" s="399">
        <f>(+'Estimación de Costos Anualizada'!F19+'Estimación de Costos Anualizada'!G19+'Estimación de Costos Anualizada'!H19+'Estimación de Costos Anualizada'!I19+'Estimación de Costos Anualizada'!J19+'Estimación de Costos Anualizada'!K19+'Estimación de Costos Anualizada'!L19+'Estimación de Costos Anualizada'!M19)/B$4</f>
        <v>67546.9764077</v>
      </c>
      <c r="E20" s="399">
        <f>(+'Estimación de Costos Anualizada'!N19+'Estimación de Costos Anualizada'!O19+'Estimación de Costos Anualizada'!P19+'Estimación de Costos Anualizada'!Q19+'Estimación de Costos Anualizada'!R19+'Estimación de Costos Anualizada'!S19+'Estimación de Costos Anualizada'!T19+'Estimación de Costos Anualizada'!U19)/B$4</f>
        <v>53561.496702299999</v>
      </c>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row>
    <row r="21" spans="1:66">
      <c r="A21" s="402" t="s">
        <v>1309</v>
      </c>
      <c r="B21" s="403">
        <f>+'Estimación de Costos Anualizada'!V20/B$4</f>
        <v>7249.5047500000001</v>
      </c>
      <c r="C21" s="403">
        <f>+('Estimación de Costos Anualizada'!B20+'Estimación de Costos Anualizada'!C20+'Estimación de Costos Anualizada'!D20+'Estimación de Costos Anualizada'!E20)/B$4</f>
        <v>1449.90095</v>
      </c>
      <c r="D21" s="403">
        <f>(+'Estimación de Costos Anualizada'!F20+'Estimación de Costos Anualizada'!G20+'Estimación de Costos Anualizada'!H20+'Estimación de Costos Anualizada'!I20+'Estimación de Costos Anualizada'!J20+'Estimación de Costos Anualizada'!K20+'Estimación de Costos Anualizada'!L20+'Estimación de Costos Anualizada'!M20)/B$4</f>
        <v>3624.752375</v>
      </c>
      <c r="E21" s="403">
        <f>(+'Estimación de Costos Anualizada'!N20+'Estimación de Costos Anualizada'!O20+'Estimación de Costos Anualizada'!P20+'Estimación de Costos Anualizada'!Q20+'Estimación de Costos Anualizada'!R20+'Estimación de Costos Anualizada'!S20+'Estimación de Costos Anualizada'!T20+'Estimación de Costos Anualizada'!U20)/B$4</f>
        <v>2174.8514249999998</v>
      </c>
    </row>
    <row r="22" spans="1:66" s="205" customFormat="1" ht="30">
      <c r="A22" s="402" t="s">
        <v>1310</v>
      </c>
      <c r="B22" s="403">
        <f>+'Estimación de Costos Anualizada'!V21/B$4</f>
        <v>31189.783822000005</v>
      </c>
      <c r="C22" s="403">
        <f>+('Estimación de Costos Anualizada'!B21+'Estimación de Costos Anualizada'!C21+'Estimación de Costos Anualizada'!D21+'Estimación de Costos Anualizada'!E21)/B$4</f>
        <v>4917.0035200000002</v>
      </c>
      <c r="D22" s="403">
        <f>(+'Estimación de Costos Anualizada'!F21+'Estimación de Costos Anualizada'!G21+'Estimación de Costos Anualizada'!H21+'Estimación de Costos Anualizada'!I21+'Estimación de Costos Anualizada'!J21+'Estimación de Costos Anualizada'!K21+'Estimación de Costos Anualizada'!L21+'Estimación de Costos Anualizada'!M21)/B$4</f>
        <v>15763.668181200001</v>
      </c>
      <c r="E22" s="403">
        <f>(+'Estimación de Costos Anualizada'!N21+'Estimación de Costos Anualizada'!O21+'Estimación de Costos Anualizada'!P21+'Estimación de Costos Anualizada'!Q21+'Estimación de Costos Anualizada'!R21+'Estimación de Costos Anualizada'!S21+'Estimación de Costos Anualizada'!T21+'Estimación de Costos Anualizada'!U21)/B$4</f>
        <v>10509.112120799999</v>
      </c>
    </row>
    <row r="23" spans="1:66" s="205" customFormat="1">
      <c r="A23" s="402" t="s">
        <v>1311</v>
      </c>
      <c r="B23" s="403">
        <f>+'Estimación de Costos Anualizada'!V22/B$4</f>
        <v>76244.147244000007</v>
      </c>
      <c r="C23" s="403">
        <f>+('Estimación de Costos Anualizada'!B22+'Estimación de Costos Anualizada'!C22+'Estimación de Costos Anualizada'!D22+'Estimación de Costos Anualizada'!E22)/B$4</f>
        <v>3029.045016</v>
      </c>
      <c r="D23" s="403">
        <f>(+'Estimación de Costos Anualizada'!F22+'Estimación de Costos Anualizada'!G22+'Estimación de Costos Anualizada'!H22+'Estimación de Costos Anualizada'!I22+'Estimación de Costos Anualizada'!J22+'Estimación de Costos Anualizada'!K22+'Estimación de Costos Anualizada'!L22+'Estimación de Costos Anualizada'!M22)/B$4</f>
        <v>40248.062461499998</v>
      </c>
      <c r="E23" s="403">
        <f>(+'Estimación de Costos Anualizada'!N22+'Estimación de Costos Anualizada'!O22+'Estimación de Costos Anualizada'!P22+'Estimación de Costos Anualizada'!Q22+'Estimación de Costos Anualizada'!R22+'Estimación de Costos Anualizada'!S22+'Estimación de Costos Anualizada'!T22+'Estimación de Costos Anualizada'!U22)/B$4</f>
        <v>32967.039766499998</v>
      </c>
    </row>
    <row r="24" spans="1:66" s="205" customFormat="1">
      <c r="A24" s="402" t="s">
        <v>1312</v>
      </c>
      <c r="B24" s="403">
        <f>+'Estimación de Costos Anualizada'!V23/B$4</f>
        <v>17798.6101275</v>
      </c>
      <c r="C24" s="403">
        <f>+('Estimación de Costos Anualizada'!B23+'Estimación de Costos Anualizada'!C23+'Estimación de Costos Anualizada'!D23+'Estimación de Costos Anualizada'!E23)/B$4</f>
        <v>1977.6233474999999</v>
      </c>
      <c r="D24" s="403">
        <f>(+'Estimación de Costos Anualizada'!F23+'Estimación de Costos Anualizada'!G23+'Estimación de Costos Anualizada'!H23+'Estimación de Costos Anualizada'!I23+'Estimación de Costos Anualizada'!J23+'Estimación de Costos Anualizada'!K23+'Estimación de Costos Anualizada'!L23+'Estimación de Costos Anualizada'!M23)/B$4</f>
        <v>7910.4933899999996</v>
      </c>
      <c r="E24" s="403">
        <f>(+'Estimación de Costos Anualizada'!N23+'Estimación de Costos Anualizada'!O23+'Estimación de Costos Anualizada'!P23+'Estimación de Costos Anualizada'!Q23+'Estimación de Costos Anualizada'!R23+'Estimación de Costos Anualizada'!S23+'Estimación de Costos Anualizada'!T23+'Estimación de Costos Anualizada'!U23)/B$4</f>
        <v>7910.4933899999996</v>
      </c>
    </row>
    <row r="25" spans="1:66" s="407" customFormat="1">
      <c r="A25" s="398" t="s">
        <v>969</v>
      </c>
      <c r="B25" s="399">
        <f>+'Estimación de Costos Anualizada'!V24/B$4</f>
        <v>139113.32021379998</v>
      </c>
      <c r="C25" s="399">
        <f>+('Estimación de Costos Anualizada'!B24+'Estimación de Costos Anualizada'!C24+'Estimación de Costos Anualizada'!D24+'Estimación de Costos Anualizada'!E24)/B$4</f>
        <v>22682.918885380001</v>
      </c>
      <c r="D25" s="399">
        <f>(+'Estimación de Costos Anualizada'!F24+'Estimación de Costos Anualizada'!G24+'Estimación de Costos Anualizada'!H24+'Estimación de Costos Anualizada'!I24+'Estimación de Costos Anualizada'!J24+'Estimación de Costos Anualizada'!K24+'Estimación de Costos Anualizada'!L24+'Estimación de Costos Anualizada'!M24)/B$4</f>
        <v>64508.859563039994</v>
      </c>
      <c r="E25" s="399">
        <f>(+'Estimación de Costos Anualizada'!N24+'Estimación de Costos Anualizada'!O24+'Estimación de Costos Anualizada'!P24+'Estimación de Costos Anualizada'!Q24+'Estimación de Costos Anualizada'!R24+'Estimación de Costos Anualizada'!S24+'Estimación de Costos Anualizada'!T24+'Estimación de Costos Anualizada'!U24)/B$4</f>
        <v>51921.541765380003</v>
      </c>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row>
    <row r="26" spans="1:66">
      <c r="A26" s="402" t="s">
        <v>970</v>
      </c>
      <c r="B26" s="403">
        <f>+'Estimación de Costos Anualizada'!V25/B$4</f>
        <v>54759.759883800005</v>
      </c>
      <c r="C26" s="403">
        <f>+('Estimación de Costos Anualizada'!B25+'Estimación de Costos Anualizada'!C25+'Estimación de Costos Anualizada'!D25+'Estimación de Costos Anualizada'!E25)/B$4</f>
        <v>8710.3588303800007</v>
      </c>
      <c r="D26" s="403">
        <f>(+'Estimación de Costos Anualizada'!F25+'Estimación de Costos Anualizada'!G25+'Estimación de Costos Anualizada'!H25+'Estimación de Costos Anualizada'!I25+'Estimación de Costos Anualizada'!J25+'Estimación de Costos Anualizada'!K25+'Estimación de Costos Anualizada'!L25+'Estimación de Costos Anualizada'!M25)/B$4</f>
        <v>26557.766083040005</v>
      </c>
      <c r="E26" s="403">
        <f>(+'Estimación de Costos Anualizada'!N25+'Estimación de Costos Anualizada'!O25+'Estimación de Costos Anualizada'!P25+'Estimación de Costos Anualizada'!Q25+'Estimación de Costos Anualizada'!R25+'Estimación de Costos Anualizada'!S25+'Estimación de Costos Anualizada'!T25+'Estimación de Costos Anualizada'!U25)/B$4</f>
        <v>19491.634970380001</v>
      </c>
    </row>
    <row r="27" spans="1:66" ht="29.1" customHeight="1">
      <c r="A27" s="402" t="s">
        <v>982</v>
      </c>
      <c r="B27" s="403">
        <f>+'Estimación de Costos Anualizada'!V26/B$4</f>
        <v>54806.150070000003</v>
      </c>
      <c r="C27" s="403">
        <f>+('Estimación de Costos Anualizada'!B26+'Estimación de Costos Anualizada'!C26+'Estimación de Costos Anualizada'!D26+'Estimación de Costos Anualizada'!E26)/B$4</f>
        <v>9134.3583450000006</v>
      </c>
      <c r="D27" s="403">
        <f>(+'Estimación de Costos Anualizada'!F26+'Estimación de Costos Anualizada'!G26+'Estimación de Costos Anualizada'!H26+'Estimación de Costos Anualizada'!I26+'Estimación de Costos Anualizada'!J26+'Estimación de Costos Anualizada'!K26+'Estimación de Costos Anualizada'!L26+'Estimación de Costos Anualizada'!M26)/B$4</f>
        <v>24358.288919999999</v>
      </c>
      <c r="E27" s="403">
        <f>(+'Estimación de Costos Anualizada'!N26+'Estimación de Costos Anualizada'!O26+'Estimación de Costos Anualizada'!P26+'Estimación de Costos Anualizada'!Q26+'Estimación de Costos Anualizada'!R26+'Estimación de Costos Anualizada'!S26+'Estimación de Costos Anualizada'!T26+'Estimación de Costos Anualizada'!U26)/B$4</f>
        <v>21313.502805</v>
      </c>
    </row>
    <row r="28" spans="1:66">
      <c r="A28" s="402" t="s">
        <v>1313</v>
      </c>
      <c r="B28" s="403">
        <f>+'Estimación de Costos Anualizada'!V27/B$4</f>
        <v>29547.410260000001</v>
      </c>
      <c r="C28" s="403">
        <f>+('Estimación de Costos Anualizada'!B27+'Estimación de Costos Anualizada'!C27+'Estimación de Costos Anualizada'!D27+'Estimación de Costos Anualizada'!E27)/B$4</f>
        <v>4838.2017100000003</v>
      </c>
      <c r="D28" s="403">
        <f>(+'Estimación de Costos Anualizada'!F27+'Estimación de Costos Anualizada'!G27+'Estimación de Costos Anualizada'!H27+'Estimación de Costos Anualizada'!I27+'Estimación de Costos Anualizada'!J27+'Estimación de Costos Anualizada'!K27+'Estimación de Costos Anualizada'!L27+'Estimación de Costos Anualizada'!M27)/B$4</f>
        <v>13592.80456</v>
      </c>
      <c r="E28" s="403">
        <f>(+'Estimación de Costos Anualizada'!N27+'Estimación de Costos Anualizada'!O27+'Estimación de Costos Anualizada'!P27+'Estimación de Costos Anualizada'!Q27+'Estimación de Costos Anualizada'!R27+'Estimación de Costos Anualizada'!S27+'Estimación de Costos Anualizada'!T27+'Estimación de Costos Anualizada'!U27)/B$4</f>
        <v>11116.403990000001</v>
      </c>
    </row>
    <row r="29" spans="1:66" s="407" customFormat="1">
      <c r="A29" s="398" t="s">
        <v>1001</v>
      </c>
      <c r="B29" s="399">
        <f>+'Estimación de Costos Anualizada'!V28/B$4</f>
        <v>50425.135620999994</v>
      </c>
      <c r="C29" s="399">
        <f>+('Estimación de Costos Anualizada'!B28+'Estimación de Costos Anualizada'!C28+'Estimación de Costos Anualizada'!D28+'Estimación de Costos Anualizada'!E28)/B$4</f>
        <v>4558.6877249999998</v>
      </c>
      <c r="D29" s="399">
        <f>(+'Estimación de Costos Anualizada'!F28+'Estimación de Costos Anualizada'!G28+'Estimación de Costos Anualizada'!H28+'Estimación de Costos Anualizada'!I28+'Estimación de Costos Anualizada'!J28+'Estimación de Costos Anualizada'!K28+'Estimación de Costos Anualizada'!L28+'Estimación de Costos Anualizada'!M28)/B$4</f>
        <v>25752.307776799997</v>
      </c>
      <c r="E29" s="399">
        <f>(+'Estimación de Costos Anualizada'!N28+'Estimación de Costos Anualizada'!O28+'Estimación de Costos Anualizada'!P28+'Estimación de Costos Anualizada'!Q28+'Estimación de Costos Anualizada'!R28+'Estimación de Costos Anualizada'!S28+'Estimación de Costos Anualizada'!T28+'Estimación de Costos Anualizada'!U28)/B$4</f>
        <v>20114.140119200001</v>
      </c>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row>
    <row r="30" spans="1:66">
      <c r="A30" s="402" t="s">
        <v>1002</v>
      </c>
      <c r="B30" s="403">
        <f>+'Estimación de Costos Anualizada'!V29/B$4</f>
        <v>50425.135620999994</v>
      </c>
      <c r="C30" s="403">
        <f>+('Estimación de Costos Anualizada'!B29+'Estimación de Costos Anualizada'!C29+'Estimación de Costos Anualizada'!D29+'Estimación de Costos Anualizada'!E29)/B$4</f>
        <v>4558.6877249999998</v>
      </c>
      <c r="D30" s="403">
        <f>(+'Estimación de Costos Anualizada'!F29+'Estimación de Costos Anualizada'!G29+'Estimación de Costos Anualizada'!H29+'Estimación de Costos Anualizada'!I29+'Estimación de Costos Anualizada'!J29+'Estimación de Costos Anualizada'!K29+'Estimación de Costos Anualizada'!L29+'Estimación de Costos Anualizada'!M29)/B$4</f>
        <v>25752.307776799997</v>
      </c>
      <c r="E30" s="403">
        <f>(+'Estimación de Costos Anualizada'!N29+'Estimación de Costos Anualizada'!O29+'Estimación de Costos Anualizada'!P29+'Estimación de Costos Anualizada'!Q29+'Estimación de Costos Anualizada'!R29+'Estimación de Costos Anualizada'!S29+'Estimación de Costos Anualizada'!T29+'Estimación de Costos Anualizada'!U29)/B$4</f>
        <v>20114.140119200001</v>
      </c>
    </row>
    <row r="31" spans="1:66" s="407" customFormat="1">
      <c r="A31" s="398" t="s">
        <v>1314</v>
      </c>
      <c r="B31" s="408">
        <f>+'Estimación de Costos Anualizada'!V30/B$4</f>
        <v>112906.9148062</v>
      </c>
      <c r="C31" s="408">
        <f>+('Estimación de Costos Anualizada'!B30+'Estimación de Costos Anualizada'!C30+'Estimación de Costos Anualizada'!D30+'Estimación de Costos Anualizada'!E30)/B$4</f>
        <v>10394.291863599999</v>
      </c>
      <c r="D31" s="408">
        <f>(+'Estimación de Costos Anualizada'!F30+'Estimación de Costos Anualizada'!G30+'Estimación de Costos Anualizada'!H30+'Estimación de Costos Anualizada'!I30+'Estimación de Costos Anualizada'!J30+'Estimación de Costos Anualizada'!K30+'Estimación de Costos Anualizada'!L30+'Estimación de Costos Anualizada'!M30)/B$4</f>
        <v>60598.573247199995</v>
      </c>
      <c r="E31" s="408">
        <f>(+'Estimación de Costos Anualizada'!N30+'Estimación de Costos Anualizada'!O30+'Estimación de Costos Anualizada'!P30+'Estimación de Costos Anualizada'!Q30+'Estimación de Costos Anualizada'!R30+'Estimación de Costos Anualizada'!S30+'Estimación de Costos Anualizada'!T30+'Estimación de Costos Anualizada'!U30)/B$4</f>
        <v>41914.049695400005</v>
      </c>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row>
    <row r="32" spans="1:66" ht="22.5" customHeight="1">
      <c r="A32" s="402" t="s">
        <v>1013</v>
      </c>
      <c r="B32" s="403">
        <f>+'Estimación de Costos Anualizada'!V31/B$4</f>
        <v>21406.711966199997</v>
      </c>
      <c r="C32" s="403">
        <f>+('Estimación de Costos Anualizada'!B31+'Estimación de Costos Anualizada'!C31+'Estimación de Costos Anualizada'!D31+'Estimación de Costos Anualizada'!E31)/B$4</f>
        <v>4757.0471036000008</v>
      </c>
      <c r="D32" s="403">
        <f>(+'Estimación de Costos Anualizada'!F31+'Estimación de Costos Anualizada'!G31+'Estimación de Costos Anualizada'!H31+'Estimación de Costos Anualizada'!I31+'Estimación de Costos Anualizada'!J31+'Estimación de Costos Anualizada'!K31+'Estimación de Costos Anualizada'!L31+'Estimación de Costos Anualizada'!M31)/B$4</f>
        <v>9514.0942072000016</v>
      </c>
      <c r="E32" s="403">
        <f>(+'Estimación de Costos Anualizada'!N31+'Estimación de Costos Anualizada'!O31+'Estimación de Costos Anualizada'!P31+'Estimación de Costos Anualizada'!Q31+'Estimación de Costos Anualizada'!R31+'Estimación de Costos Anualizada'!S31+'Estimación de Costos Anualizada'!T31+'Estimación de Costos Anualizada'!U31)/B$4</f>
        <v>7135.5706554000008</v>
      </c>
    </row>
    <row r="33" spans="1:66">
      <c r="A33" s="402" t="s">
        <v>1023</v>
      </c>
      <c r="B33" s="403">
        <f>+'Estimación de Costos Anualizada'!V32/B$4</f>
        <v>91500.202839999998</v>
      </c>
      <c r="C33" s="403">
        <f>+('Estimación de Costos Anualizada'!B32+'Estimación de Costos Anualizada'!C32+'Estimación de Costos Anualizada'!D32+'Estimación de Costos Anualizada'!E32)/B$4</f>
        <v>5637.2447599999996</v>
      </c>
      <c r="D33" s="403">
        <f>(+'Estimación de Costos Anualizada'!F32+'Estimación de Costos Anualizada'!G32+'Estimación de Costos Anualizada'!H32+'Estimación de Costos Anualizada'!I32+'Estimación de Costos Anualizada'!J32+'Estimación de Costos Anualizada'!K32+'Estimación de Costos Anualizada'!L32+'Estimación de Costos Anualizada'!M32)/B$4</f>
        <v>51084.479039999998</v>
      </c>
      <c r="E33" s="403">
        <f>(+'Estimación de Costos Anualizada'!N32+'Estimación de Costos Anualizada'!O32+'Estimación de Costos Anualizada'!P32+'Estimación de Costos Anualizada'!Q32+'Estimación de Costos Anualizada'!R32+'Estimación de Costos Anualizada'!S32+'Estimación de Costos Anualizada'!T32+'Estimación de Costos Anualizada'!U32)/B$4</f>
        <v>34778.479039999998</v>
      </c>
    </row>
    <row r="34" spans="1:66" s="407" customFormat="1">
      <c r="A34" s="398" t="s">
        <v>1035</v>
      </c>
      <c r="B34" s="399">
        <f>+'Estimación de Costos Anualizada'!V33/B$4</f>
        <v>20569.47205</v>
      </c>
      <c r="C34" s="399">
        <f>+('Estimación de Costos Anualizada'!B33+'Estimación de Costos Anualizada'!C33+'Estimación de Costos Anualizada'!D33+'Estimación de Costos Anualizada'!E33)/B$4</f>
        <v>3184.0890760000002</v>
      </c>
      <c r="D34" s="399">
        <f>(+'Estimación de Costos Anualizada'!F33+'Estimación de Costos Anualizada'!G33+'Estimación de Costos Anualizada'!H33+'Estimación de Costos Anualizada'!I33+'Estimación de Costos Anualizada'!J33+'Estimación de Costos Anualizada'!K33+'Estimación de Costos Anualizada'!L33+'Estimación de Costos Anualizada'!M33)/B$4</f>
        <v>14508.870052</v>
      </c>
      <c r="E34" s="399">
        <f>(+'Estimación de Costos Anualizada'!N33+'Estimación de Costos Anualizada'!O33+'Estimación de Costos Anualizada'!P33+'Estimación de Costos Anualizada'!Q33+'Estimación de Costos Anualizada'!R33+'Estimación de Costos Anualizada'!S33+'Estimación de Costos Anualizada'!T33+'Estimación de Costos Anualizada'!U33)/B$4</f>
        <v>2876.5129219999999</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row>
    <row r="35" spans="1:66">
      <c r="A35" s="402" t="s">
        <v>1036</v>
      </c>
      <c r="B35" s="403">
        <f>+'Estimación de Costos Anualizada'!V34/B$4</f>
        <v>15272.8284</v>
      </c>
      <c r="C35" s="403">
        <f>+('Estimación de Costos Anualizada'!B34+'Estimación de Costos Anualizada'!C34+'Estimación de Costos Anualizada'!D34+'Estimación de Costos Anualizada'!E34)/B$4</f>
        <v>522.20000000000005</v>
      </c>
      <c r="D35" s="403">
        <f>(+'Estimación de Costos Anualizada'!F34+'Estimación de Costos Anualizada'!G34+'Estimación de Costos Anualizada'!H34+'Estimación de Costos Anualizada'!I34+'Estimación de Costos Anualizada'!J34+'Estimación de Costos Anualizada'!K34+'Estimación de Costos Anualizada'!L34+'Estimación de Costos Anualizada'!M34)/B$4</f>
        <v>12661.8284</v>
      </c>
      <c r="E35" s="403">
        <f>(+'Estimación de Costos Anualizada'!N34+'Estimación de Costos Anualizada'!O34+'Estimación de Costos Anualizada'!P34+'Estimación de Costos Anualizada'!Q34+'Estimación de Costos Anualizada'!R34+'Estimación de Costos Anualizada'!S34+'Estimación de Costos Anualizada'!T34+'Estimación de Costos Anualizada'!U34)/B$4</f>
        <v>2088.8000000000002</v>
      </c>
    </row>
    <row r="36" spans="1:66">
      <c r="A36" s="402" t="s">
        <v>1045</v>
      </c>
      <c r="B36" s="403">
        <f>+'Estimación de Costos Anualizada'!V35/B$4</f>
        <v>2670.9339100000002</v>
      </c>
      <c r="C36" s="403">
        <f>+('Estimación de Costos Anualizada'!B35+'Estimación de Costos Anualizada'!C35+'Estimación de Costos Anualizada'!D35+'Estimación de Costos Anualizada'!E35)/B$4</f>
        <v>2136.747128</v>
      </c>
      <c r="D36" s="403">
        <f>C36</f>
        <v>2136.747128</v>
      </c>
      <c r="E36" s="403" t="s">
        <v>1331</v>
      </c>
    </row>
    <row r="37" spans="1:66">
      <c r="A37" s="402" t="s">
        <v>1053</v>
      </c>
      <c r="B37" s="403">
        <f>+'Estimación de Costos Anualizada'!V36/B$4</f>
        <v>2625.7097399999998</v>
      </c>
      <c r="C37" s="403">
        <f>+('Estimación de Costos Anualizada'!B36+'Estimación de Costos Anualizada'!C36+'Estimación de Costos Anualizada'!D36+'Estimación de Costos Anualizada'!E36)/B$4</f>
        <v>525.14194799999996</v>
      </c>
      <c r="D37" s="403">
        <f>(+'Estimación de Costos Anualizada'!F36+'Estimación de Costos Anualizada'!G36+'Estimación de Costos Anualizada'!H36+'Estimación de Costos Anualizada'!I36+'Estimación de Costos Anualizada'!J36+'Estimación de Costos Anualizada'!K36+'Estimación de Costos Anualizada'!L36+'Estimación de Costos Anualizada'!M36)/B$4</f>
        <v>1312.8548699999999</v>
      </c>
      <c r="E37" s="403">
        <f>(+'Estimación de Costos Anualizada'!N36+'Estimación de Costos Anualizada'!O36+'Estimación de Costos Anualizada'!P36+'Estimación de Costos Anualizada'!Q36+'Estimación de Costos Anualizada'!R36+'Estimación de Costos Anualizada'!S36+'Estimación de Costos Anualizada'!T36+'Estimación de Costos Anualizada'!U36)/B$4</f>
        <v>787.71292200000005</v>
      </c>
    </row>
    <row r="38" spans="1:66" s="407" customFormat="1">
      <c r="A38" s="398" t="s">
        <v>1061</v>
      </c>
      <c r="B38" s="399">
        <f>+'Estimación de Costos Anualizada'!V37/B$4</f>
        <v>469883.94272136001</v>
      </c>
      <c r="C38" s="399">
        <f>+('Estimación de Costos Anualizada'!B37+'Estimación de Costos Anualizada'!C37+'Estimación de Costos Anualizada'!D37+'Estimación de Costos Anualizada'!E37)/B$4</f>
        <v>77944.509840080005</v>
      </c>
      <c r="D38" s="399">
        <f>(+'Estimación de Costos Anualizada'!F37+'Estimación de Costos Anualizada'!G37+'Estimación de Costos Anualizada'!H37+'Estimación de Costos Anualizada'!I37+'Estimación de Costos Anualizada'!J37+'Estimación de Costos Anualizada'!K37+'Estimación de Costos Anualizada'!L37+'Estimación de Costos Anualizada'!M37)/B$4</f>
        <v>244841.18644064007</v>
      </c>
      <c r="E38" s="399">
        <f>(+'Estimación de Costos Anualizada'!N37+'Estimación de Costos Anualizada'!O37+'Estimación de Costos Anualizada'!P37+'Estimación de Costos Anualizada'!Q37+'Estimación de Costos Anualizada'!R37+'Estimación de Costos Anualizada'!S37+'Estimación de Costos Anualizada'!T37+'Estimación de Costos Anualizada'!U37)/B$4</f>
        <v>147098.24644063998</v>
      </c>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row>
    <row r="39" spans="1:66">
      <c r="A39" s="402" t="s">
        <v>1315</v>
      </c>
      <c r="B39" s="403">
        <f>+'Estimación de Costos Anualizada'!V38/B$4</f>
        <v>359923.45591999998</v>
      </c>
      <c r="C39" s="403">
        <f>+('Estimación de Costos Anualizada'!B38+'Estimación de Costos Anualizada'!C38+'Estimación de Costos Anualizada'!D38+'Estimación de Costos Anualizada'!E38)/B$4</f>
        <v>61769.272879999997</v>
      </c>
      <c r="D39" s="403">
        <f>(+'Estimación de Costos Anualizada'!F38+'Estimación de Costos Anualizada'!G38+'Estimación de Costos Anualizada'!H38+'Estimación de Costos Anualizada'!I38+'Estimación de Costos Anualizada'!J38+'Estimación de Costos Anualizada'!K38+'Estimación de Costos Anualizada'!L38+'Estimación de Costos Anualizada'!M38)/B$4</f>
        <v>191077.09151999999</v>
      </c>
      <c r="E39" s="403">
        <f>(+'Estimación de Costos Anualizada'!N38+'Estimación de Costos Anualizada'!O38+'Estimación de Costos Anualizada'!P38+'Estimación de Costos Anualizada'!Q38+'Estimación de Costos Anualizada'!R38+'Estimación de Costos Anualizada'!S38+'Estimación de Costos Anualizada'!T38+'Estimación de Costos Anualizada'!U38)/B$4</f>
        <v>107077.09152</v>
      </c>
    </row>
    <row r="40" spans="1:66" s="205" customFormat="1">
      <c r="A40" s="402" t="s">
        <v>1076</v>
      </c>
      <c r="B40" s="403">
        <f>+'Estimación de Costos Anualizada'!V39/B$4</f>
        <v>84639.636710000006</v>
      </c>
      <c r="C40" s="403">
        <f>+('Estimación de Costos Anualizada'!B39+'Estimación de Costos Anualizada'!C39+'Estimación de Costos Anualizada'!D39+'Estimación de Costos Anualizada'!E39)/B$4</f>
        <v>14685.77519</v>
      </c>
      <c r="D40" s="403">
        <f>(+'Estimación de Costos Anualizada'!F39+'Estimación de Costos Anualizada'!G39+'Estimación de Costos Anualizada'!H39+'Estimación de Costos Anualizada'!I39+'Estimación de Costos Anualizada'!J39+'Estimación de Costos Anualizada'!K39+'Estimación de Costos Anualizada'!L39+'Estimación de Costos Anualizada'!M39)/B$4</f>
        <v>41848.400759999997</v>
      </c>
      <c r="E40" s="403">
        <f>(+'Estimación de Costos Anualizada'!N39+'Estimación de Costos Anualizada'!O39+'Estimación de Costos Anualizada'!P39+'Estimación de Costos Anualizada'!Q39+'Estimación de Costos Anualizada'!R39+'Estimación de Costos Anualizada'!S39+'Estimación de Costos Anualizada'!T39+'Estimación de Costos Anualizada'!U39)/B$4</f>
        <v>28105.460760000002</v>
      </c>
    </row>
    <row r="41" spans="1:66" s="205" customFormat="1">
      <c r="A41" s="402" t="s">
        <v>1086</v>
      </c>
      <c r="B41" s="403">
        <f>+'Estimación de Costos Anualizada'!V40/B$4</f>
        <v>25320.850091360007</v>
      </c>
      <c r="C41" s="403">
        <f>+('Estimación de Costos Anualizada'!B40+'Estimación de Costos Anualizada'!C40+'Estimación de Costos Anualizada'!D40+'Estimación de Costos Anualizada'!E40)/B$4</f>
        <v>1489.46177008</v>
      </c>
      <c r="D41" s="403">
        <f>(+'Estimación de Costos Anualizada'!F40+'Estimación de Costos Anualizada'!G40+'Estimación de Costos Anualizada'!H40+'Estimación de Costos Anualizada'!I40+'Estimación de Costos Anualizada'!J40+'Estimación de Costos Anualizada'!K40+'Estimación de Costos Anualizada'!L40+'Estimación de Costos Anualizada'!M40)/B$4</f>
        <v>11915.69416064</v>
      </c>
      <c r="E41" s="403">
        <f>(+'Estimación de Costos Anualizada'!N40+'Estimación de Costos Anualizada'!O40+'Estimación de Costos Anualizada'!P40+'Estimación de Costos Anualizada'!Q40+'Estimación de Costos Anualizada'!R40+'Estimación de Costos Anualizada'!S40+'Estimación de Costos Anualizada'!T40+'Estimación de Costos Anualizada'!U40)/B$4</f>
        <v>11915.69416064</v>
      </c>
    </row>
    <row r="42" spans="1:66" s="407" customFormat="1">
      <c r="A42" s="398" t="s">
        <v>1096</v>
      </c>
      <c r="B42" s="399">
        <f>+'Estimación de Costos Anualizada'!V41/B$4</f>
        <v>323160.1929171441</v>
      </c>
      <c r="C42" s="399">
        <f>+('Estimación de Costos Anualizada'!B41+'Estimación de Costos Anualizada'!C41+'Estimación de Costos Anualizada'!D41+'Estimación de Costos Anualizada'!E41)/B$4</f>
        <v>37788.161599199993</v>
      </c>
      <c r="D42" s="399">
        <f>(+'Estimación de Costos Anualizada'!F41+'Estimación de Costos Anualizada'!G41+'Estimación de Costos Anualizada'!H41+'Estimación de Costos Anualizada'!I41+'Estimación de Costos Anualizada'!J41+'Estimación de Costos Anualizada'!K41+'Estimación de Costos Anualizada'!L41+'Estimación de Costos Anualizada'!M41)/B$4</f>
        <v>130622.17661243438</v>
      </c>
      <c r="E42" s="399">
        <f>(+'Estimación de Costos Anualizada'!N41+'Estimación de Costos Anualizada'!O41+'Estimación de Costos Anualizada'!P41+'Estimación de Costos Anualizada'!Q41+'Estimación de Costos Anualizada'!R41+'Estimación de Costos Anualizada'!S41+'Estimación de Costos Anualizada'!T41+'Estimación de Costos Anualizada'!U41)/B$4</f>
        <v>154749.85470550967</v>
      </c>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row>
    <row r="43" spans="1:66">
      <c r="A43" s="402" t="s">
        <v>1316</v>
      </c>
      <c r="B43" s="403">
        <f>+'Estimación de Costos Anualizada'!V42/B$4</f>
        <v>23837.944544999998</v>
      </c>
      <c r="C43" s="403">
        <f>+('Estimación de Costos Anualizada'!B42+'Estimación de Costos Anualizada'!C42+'Estimación de Costos Anualizada'!D42+'Estimación de Costos Anualizada'!E42)/B$4</f>
        <v>7945.9815150000004</v>
      </c>
      <c r="D43" s="403">
        <f>(+'Estimación de Costos Anualizada'!F42+'Estimación de Costos Anualizada'!G42+'Estimación de Costos Anualizada'!H42+'Estimación de Costos Anualizada'!I42+'Estimación de Costos Anualizada'!J42+'Estimación de Costos Anualizada'!K42+'Estimación de Costos Anualizada'!L42+'Estimación de Costos Anualizada'!M42)/B$4</f>
        <v>7945.9815150000004</v>
      </c>
      <c r="E43" s="403">
        <f>(+'Estimación de Costos Anualizada'!N42+'Estimación de Costos Anualizada'!O42+'Estimación de Costos Anualizada'!P42+'Estimación de Costos Anualizada'!Q42+'Estimación de Costos Anualizada'!R42+'Estimación de Costos Anualizada'!S42+'Estimación de Costos Anualizada'!T42+'Estimación de Costos Anualizada'!U42)/B$4</f>
        <v>7945.9815150000004</v>
      </c>
    </row>
    <row r="44" spans="1:66" ht="30">
      <c r="A44" s="402" t="s">
        <v>1317</v>
      </c>
      <c r="B44" s="403">
        <f>+'Estimación de Costos Anualizada'!V43/B$4</f>
        <v>7866.4094100000002</v>
      </c>
      <c r="C44" s="403">
        <f>+('Estimación de Costos Anualizada'!B43+'Estimación de Costos Anualizada'!C43+'Estimación de Costos Anualizada'!D43+'Estimación de Costos Anualizada'!E43)/B$4</f>
        <v>2622.1364699999999</v>
      </c>
      <c r="D44" s="403">
        <f>(+'Estimación de Costos Anualizada'!F43+'Estimación de Costos Anualizada'!G43+'Estimación de Costos Anualizada'!H43+'Estimación de Costos Anualizada'!I43+'Estimación de Costos Anualizada'!J43+'Estimación de Costos Anualizada'!K43+'Estimación de Costos Anualizada'!L43+'Estimación de Costos Anualizada'!M43)/B$4</f>
        <v>2622.1364699999999</v>
      </c>
      <c r="E44" s="403">
        <f>(+'Estimación de Costos Anualizada'!N43+'Estimación de Costos Anualizada'!O43+'Estimación de Costos Anualizada'!P43+'Estimación de Costos Anualizada'!Q43+'Estimación de Costos Anualizada'!R43+'Estimación de Costos Anualizada'!S43+'Estimación de Costos Anualizada'!T43+'Estimación de Costos Anualizada'!U43)/B$4</f>
        <v>2622.1364699999999</v>
      </c>
    </row>
    <row r="45" spans="1:66" ht="30">
      <c r="A45" s="402" t="s">
        <v>1318</v>
      </c>
      <c r="B45" s="403">
        <f>+'Estimación de Costos Anualizada'!V44/B$4</f>
        <v>291455.8389621441</v>
      </c>
      <c r="C45" s="403">
        <f>+('Estimación de Costos Anualizada'!B44+'Estimación de Costos Anualizada'!C44+'Estimación de Costos Anualizada'!D44+'Estimación de Costos Anualizada'!E44)/B$4</f>
        <v>27220.0436142</v>
      </c>
      <c r="D45" s="403">
        <f>(+'Estimación de Costos Anualizada'!F44+'Estimación de Costos Anualizada'!G44+'Estimación de Costos Anualizada'!H44+'Estimación de Costos Anualizada'!I44+'Estimación de Costos Anualizada'!J44+'Estimación de Costos Anualizada'!K44+'Estimación de Costos Anualizada'!L44+'Estimación de Costos Anualizada'!M44)/B$4</f>
        <v>120054.05862743438</v>
      </c>
      <c r="E45" s="403">
        <f>(+'Estimación de Costos Anualizada'!N44+'Estimación de Costos Anualizada'!O44+'Estimación de Costos Anualizada'!P44+'Estimación de Costos Anualizada'!Q44+'Estimación de Costos Anualizada'!R44+'Estimación de Costos Anualizada'!S44+'Estimación de Costos Anualizada'!T44+'Estimación de Costos Anualizada'!U44)/B$4</f>
        <v>144181.73672050971</v>
      </c>
    </row>
    <row r="46" spans="1:66" s="407" customFormat="1">
      <c r="A46" s="398" t="s">
        <v>1133</v>
      </c>
      <c r="B46" s="399">
        <f>+'Estimación de Costos Anualizada'!V45/B$4</f>
        <v>136065.0598839396</v>
      </c>
      <c r="C46" s="399">
        <f>+('Estimación de Costos Anualizada'!B45+'Estimación de Costos Anualizada'!C45+'Estimación de Costos Anualizada'!D45+'Estimación de Costos Anualizada'!E45)/B$4</f>
        <v>19437.865697705656</v>
      </c>
      <c r="D46" s="399">
        <f>(+'Estimación de Costos Anualizada'!F45+'Estimación de Costos Anualizada'!G45+'Estimación de Costos Anualizada'!H45+'Estimación de Costos Anualizada'!I45+'Estimación de Costos Anualizada'!J45+'Estimación de Costos Anualizada'!K45+'Estimación de Costos Anualizada'!L45+'Estimación de Costos Anualizada'!M45)/B$4</f>
        <v>109114.20174723395</v>
      </c>
      <c r="E46" s="399">
        <f>(+'Estimación de Costos Anualizada'!N45+'Estimación de Costos Anualizada'!O45+'Estimación de Costos Anualizada'!P45+'Estimación de Costos Anualizada'!Q45+'Estimación de Costos Anualizada'!R45+'Estimación de Costos Anualizada'!S45+'Estimación de Costos Anualizada'!T45+'Estimación de Costos Anualizada'!U45)/B$4</f>
        <v>7512.9924389999996</v>
      </c>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row>
    <row r="47" spans="1:66">
      <c r="A47" s="402" t="s">
        <v>1134</v>
      </c>
      <c r="B47" s="403">
        <f>+'Estimación de Costos Anualizada'!V46/B$4</f>
        <v>17530.315691</v>
      </c>
      <c r="C47" s="403">
        <f>+('Estimación de Costos Anualizada'!B46+'Estimación de Costos Anualizada'!C46+'Estimación de Costos Anualizada'!D46+'Estimación de Costos Anualizada'!E46)/B$4</f>
        <v>2504.330813</v>
      </c>
      <c r="D47" s="403">
        <f>(+'Estimación de Costos Anualizada'!F46+'Estimación de Costos Anualizada'!G46+'Estimación de Costos Anualizada'!H46+'Estimación de Costos Anualizada'!I46+'Estimación de Costos Anualizada'!J46+'Estimación de Costos Anualizada'!K46+'Estimación de Costos Anualizada'!L46+'Estimación de Costos Anualizada'!M46)/B$4</f>
        <v>7512.9924389999996</v>
      </c>
      <c r="E47" s="403">
        <f>(+'Estimación de Costos Anualizada'!N46+'Estimación de Costos Anualizada'!O46+'Estimación de Costos Anualizada'!P46+'Estimación de Costos Anualizada'!Q46+'Estimación de Costos Anualizada'!R46+'Estimación de Costos Anualizada'!S46+'Estimación de Costos Anualizada'!T46+'Estimación de Costos Anualizada'!U46)/B$4</f>
        <v>7512.9924389999996</v>
      </c>
    </row>
    <row r="48" spans="1:66">
      <c r="A48" s="402" t="s">
        <v>1141</v>
      </c>
      <c r="B48" s="403">
        <f>+'Estimación de Costos Anualizada'!V47/B$4</f>
        <v>118534.7441929396</v>
      </c>
      <c r="C48" s="403">
        <f>+('Estimación de Costos Anualizada'!B47+'Estimación de Costos Anualizada'!C47+'Estimación de Costos Anualizada'!D47+'Estimación de Costos Anualizada'!E47)/B$4</f>
        <v>16933.534884705659</v>
      </c>
      <c r="D48" s="403" t="s">
        <v>1331</v>
      </c>
      <c r="E48" s="403" t="s">
        <v>1331</v>
      </c>
    </row>
    <row r="49" spans="1:66" s="407" customFormat="1">
      <c r="A49" s="398" t="s">
        <v>1154</v>
      </c>
      <c r="B49" s="399">
        <f>+'Estimación de Costos Anualizada'!V48/B$4</f>
        <v>61081.199688600012</v>
      </c>
      <c r="C49" s="399">
        <f>+('Estimación de Costos Anualizada'!B48+'Estimación de Costos Anualizada'!C48+'Estimación de Costos Anualizada'!D48+'Estimación de Costos Anualizada'!E48)/B$4</f>
        <v>3981.0111538000001</v>
      </c>
      <c r="D49" s="399">
        <f>(+'Estimación de Costos Anualizada'!F48+'Estimación de Costos Anualizada'!G48+'Estimación de Costos Anualizada'!H48+'Estimación de Costos Anualizada'!I48+'Estimación de Costos Anualizada'!J48+'Estimación de Costos Anualizada'!K48+'Estimación de Costos Anualizada'!L48+'Estimación de Costos Anualizada'!M48)/B$4</f>
        <v>33167.084943394286</v>
      </c>
      <c r="E49" s="399">
        <f>(+'Estimación de Costos Anualizada'!N48+'Estimación de Costos Anualizada'!O48+'Estimación de Costos Anualizada'!P48+'Estimación de Costos Anualizada'!Q48+'Estimación de Costos Anualizada'!R48+'Estimación de Costos Anualizada'!S48+'Estimación de Costos Anualizada'!T48+'Estimación de Costos Anualizada'!U48)/B$4</f>
        <v>23933.103591405717</v>
      </c>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row>
    <row r="50" spans="1:66" ht="30">
      <c r="A50" s="402" t="s">
        <v>1155</v>
      </c>
      <c r="B50" s="403">
        <f>+'Estimación de Costos Anualizada'!V49/B$4</f>
        <v>38667.776194600017</v>
      </c>
      <c r="C50" s="403">
        <f>+('Estimación de Costos Anualizada'!B49+'Estimación de Costos Anualizada'!C49+'Estimación de Costos Anualizada'!D49+'Estimación de Costos Anualizada'!E49)/B$4</f>
        <v>3054.9653298000003</v>
      </c>
      <c r="D50" s="403">
        <f>(+'Estimación de Costos Anualizada'!F49+'Estimación de Costos Anualizada'!G49+'Estimación de Costos Anualizada'!H49+'Estimación de Costos Anualizada'!I49+'Estimación de Costos Anualizada'!J49+'Estimación de Costos Anualizada'!K49+'Estimación de Costos Anualizada'!L49+'Estimación de Costos Anualizada'!M49)/B$4</f>
        <v>20041.023077680005</v>
      </c>
      <c r="E50" s="403">
        <f>(+'Estimación de Costos Anualizada'!N49+'Estimación de Costos Anualizada'!O49+'Estimación de Costos Anualizada'!P49+'Estimación de Costos Anualizada'!Q49+'Estimación de Costos Anualizada'!R49+'Estimación de Costos Anualizada'!S49+'Estimación de Costos Anualizada'!T49+'Estimación de Costos Anualizada'!U49)/B$4</f>
        <v>15571.787787119998</v>
      </c>
    </row>
    <row r="51" spans="1:66">
      <c r="A51" s="402" t="s">
        <v>1167</v>
      </c>
      <c r="B51" s="403">
        <f>+'Estimación de Costos Anualizada'!V50/B$4</f>
        <v>22413.423493999999</v>
      </c>
      <c r="C51" s="403">
        <f>+('Estimación de Costos Anualizada'!B50+'Estimación de Costos Anualizada'!C50+'Estimación de Costos Anualizada'!D50+'Estimación de Costos Anualizada'!E50)/B$4</f>
        <v>926.04582400000004</v>
      </c>
      <c r="D51" s="403">
        <f>(+'Estimación de Costos Anualizada'!F50+'Estimación de Costos Anualizada'!G50+'Estimación de Costos Anualizada'!H50+'Estimación de Costos Anualizada'!I50+'Estimación de Costos Anualizada'!J50+'Estimación de Costos Anualizada'!K50+'Estimación de Costos Anualizada'!L50+'Estimación de Costos Anualizada'!M50)/B$4</f>
        <v>13126.061865714288</v>
      </c>
      <c r="E51" s="403">
        <f>(+'Estimación de Costos Anualizada'!N50+'Estimación de Costos Anualizada'!O50+'Estimación de Costos Anualizada'!P50+'Estimación de Costos Anualizada'!Q50+'Estimación de Costos Anualizada'!R50+'Estimación de Costos Anualizada'!S50+'Estimación de Costos Anualizada'!T50+'Estimación de Costos Anualizada'!U50)/B$4</f>
        <v>8361.315804285714</v>
      </c>
    </row>
    <row r="52" spans="1:66" s="407" customFormat="1">
      <c r="A52" s="398" t="s">
        <v>1178</v>
      </c>
      <c r="B52" s="399">
        <f>+'Estimación de Costos Anualizada'!V51/B$4</f>
        <v>454052.09907902003</v>
      </c>
      <c r="C52" s="399">
        <f>+('Estimación de Costos Anualizada'!B51+'Estimación de Costos Anualizada'!C51+'Estimación de Costos Anualizada'!D51+'Estimación de Costos Anualizada'!E51)/B$4</f>
        <v>9954.2639644999999</v>
      </c>
      <c r="D52" s="399">
        <f>(+'Estimación de Costos Anualizada'!F51+'Estimación de Costos Anualizada'!G51+'Estimación de Costos Anualizada'!H51+'Estimación de Costos Anualizada'!I51+'Estimación de Costos Anualizada'!J51+'Estimación de Costos Anualizada'!K51+'Estimación de Costos Anualizada'!L51+'Estimación de Costos Anualizada'!M51)/B$4</f>
        <v>262449.08153882</v>
      </c>
      <c r="E52" s="399">
        <f>(+'Estimación de Costos Anualizada'!N51+'Estimación de Costos Anualizada'!O51+'Estimación de Costos Anualizada'!P51+'Estimación de Costos Anualizada'!Q51+'Estimación de Costos Anualizada'!R51+'Estimación de Costos Anualizada'!S51+'Estimación de Costos Anualizada'!T51+'Estimación de Costos Anualizada'!U51)/B$4</f>
        <v>181648.75357570002</v>
      </c>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row>
    <row r="53" spans="1:66">
      <c r="A53" s="402" t="s">
        <v>1179</v>
      </c>
      <c r="B53" s="403">
        <f>+'Estimación de Costos Anualizada'!V52/B$4</f>
        <v>197661.57747300001</v>
      </c>
      <c r="C53" s="403">
        <f>+('Estimación de Costos Anualizada'!B52+'Estimación de Costos Anualizada'!C52+'Estimación de Costos Anualizada'!D52+'Estimación de Costos Anualizada'!E52)/B$4</f>
        <v>3962.3974969999999</v>
      </c>
      <c r="D53" s="403">
        <f>(+'Estimación de Costos Anualizada'!F52+'Estimación de Costos Anualizada'!G52+'Estimación de Costos Anualizada'!H52+'Estimación de Costos Anualizada'!I52+'Estimación de Costos Anualizada'!J52+'Estimación de Costos Anualizada'!K52+'Estimación de Costos Anualizada'!L52+'Estimación de Costos Anualizada'!M52)/B$4</f>
        <v>129249.58998800001</v>
      </c>
      <c r="E53" s="403">
        <f>(+'Estimación de Costos Anualizada'!N52+'Estimación de Costos Anualizada'!O52+'Estimación de Costos Anualizada'!P52+'Estimación de Costos Anualizada'!Q52+'Estimación de Costos Anualizada'!R52+'Estimación de Costos Anualizada'!S52+'Estimación de Costos Anualizada'!T52+'Estimación de Costos Anualizada'!U52)/B$4</f>
        <v>64449.589988</v>
      </c>
    </row>
    <row r="54" spans="1:66">
      <c r="A54" s="402" t="s">
        <v>1319</v>
      </c>
      <c r="B54" s="403">
        <f>+'Estimación de Costos Anualizada'!V53/B$4</f>
        <v>192261.62092049999</v>
      </c>
      <c r="C54" s="403">
        <f>+('Estimación de Costos Anualizada'!B53+'Estimación de Costos Anualizada'!C53+'Estimación de Costos Anualizada'!D53+'Estimación de Costos Anualizada'!E53)/B$4</f>
        <v>1492.8047764999999</v>
      </c>
      <c r="D54" s="403">
        <f>(+'Estimación de Costos Anualizada'!F53+'Estimación de Costos Anualizada'!G53+'Estimación de Costos Anualizada'!H53+'Estimación de Costos Anualizada'!I53+'Estimación de Costos Anualizada'!J53+'Estimación de Costos Anualizada'!K53+'Estimación de Costos Anualizada'!L53+'Estimación de Costos Anualizada'!M53)/B$4</f>
        <v>95384.408072000006</v>
      </c>
      <c r="E54" s="403">
        <f>(+'Estimación de Costos Anualizada'!N53+'Estimación de Costos Anualizada'!O53+'Estimación de Costos Anualizada'!P53+'Estimación de Costos Anualizada'!Q53+'Estimación de Costos Anualizada'!R53+'Estimación de Costos Anualizada'!S53+'Estimación de Costos Anualizada'!T53+'Estimación de Costos Anualizada'!U53)/B$4</f>
        <v>95384.408072000006</v>
      </c>
    </row>
    <row r="55" spans="1:66">
      <c r="A55" s="402" t="s">
        <v>1320</v>
      </c>
      <c r="B55" s="403">
        <f>+'Estimación de Costos Anualizada'!V54/B$4</f>
        <v>25510.629848119999</v>
      </c>
      <c r="C55" s="403">
        <f>+('Estimación de Costos Anualizada'!B54+'Estimación de Costos Anualizada'!C54+'Estimación de Costos Anualizada'!D54+'Estimación de Costos Anualizada'!E54)/B$4</f>
        <v>1902.060377</v>
      </c>
      <c r="D55" s="403">
        <f>(+'Estimación de Costos Anualizada'!F54+'Estimación de Costos Anualizada'!G54+'Estimación de Costos Anualizada'!H54+'Estimación de Costos Anualizada'!I54+'Estimación de Costos Anualizada'!J54+'Estimación de Costos Anualizada'!K54+'Estimación de Costos Anualizada'!L54+'Estimación de Costos Anualizada'!M54)/B$4</f>
        <v>18279.92281598</v>
      </c>
      <c r="E55" s="403">
        <f>(+'Estimación de Costos Anualizada'!N54+'Estimación de Costos Anualizada'!O54+'Estimación de Costos Anualizada'!P54+'Estimación de Costos Anualizada'!Q54+'Estimación de Costos Anualizada'!R54+'Estimación de Costos Anualizada'!S54+'Estimación de Costos Anualizada'!T54+'Estimación de Costos Anualizada'!U54)/B$4</f>
        <v>5328.6466551399999</v>
      </c>
    </row>
    <row r="56" spans="1:66">
      <c r="A56" s="402" t="s">
        <v>1321</v>
      </c>
      <c r="B56" s="403">
        <f>+'Estimación de Costos Anualizada'!V55/B$4</f>
        <v>32127.466895399997</v>
      </c>
      <c r="C56" s="403">
        <f>+('Estimación de Costos Anualizada'!B55+'Estimación de Costos Anualizada'!C55+'Estimación de Costos Anualizada'!D55+'Estimación de Costos Anualizada'!E55)/B$4</f>
        <v>1875.800876</v>
      </c>
      <c r="D56" s="403">
        <f>(+'Estimación de Costos Anualizada'!F55+'Estimación de Costos Anualizada'!G55+'Estimación de Costos Anualizada'!H55+'Estimación de Costos Anualizada'!I55+'Estimación de Costos Anualizada'!J55+'Estimación de Costos Anualizada'!K55+'Estimación de Costos Anualizada'!L55+'Estimación de Costos Anualizada'!M55)/B$4</f>
        <v>16650.358910840001</v>
      </c>
      <c r="E56" s="403">
        <f>(+'Estimación de Costos Anualizada'!N55+'Estimación de Costos Anualizada'!O55+'Estimación de Costos Anualizada'!P55+'Estimación de Costos Anualizada'!Q55+'Estimación de Costos Anualizada'!R55+'Estimación de Costos Anualizada'!S55+'Estimación de Costos Anualizada'!T55+'Estimación de Costos Anualizada'!U55)/B$4</f>
        <v>13601.307108560002</v>
      </c>
    </row>
    <row r="57" spans="1:66">
      <c r="A57" s="402" t="s">
        <v>1322</v>
      </c>
      <c r="B57" s="403">
        <f>+'Estimación de Costos Anualizada'!V56/B$4</f>
        <v>6490.8039419999996</v>
      </c>
      <c r="C57" s="403">
        <f>+('Estimación de Costos Anualizada'!B56+'Estimación de Costos Anualizada'!C56+'Estimación de Costos Anualizada'!D56+'Estimación de Costos Anualizada'!E56)/B$4</f>
        <v>721.20043799999996</v>
      </c>
      <c r="D57" s="403">
        <f>(+'Estimación de Costos Anualizada'!F56+'Estimación de Costos Anualizada'!G56+'Estimación de Costos Anualizada'!H56+'Estimación de Costos Anualizada'!I56+'Estimación de Costos Anualizada'!J56+'Estimación de Costos Anualizada'!K56+'Estimación de Costos Anualizada'!L56+'Estimación de Costos Anualizada'!M56)/B$4</f>
        <v>2884.8017519999999</v>
      </c>
      <c r="E57" s="403">
        <f>(+'Estimación de Costos Anualizada'!N56+'Estimación de Costos Anualizada'!O56+'Estimación de Costos Anualizada'!P56+'Estimación de Costos Anualizada'!Q56+'Estimación de Costos Anualizada'!R56+'Estimación de Costos Anualizada'!S56+'Estimación de Costos Anualizada'!T56+'Estimación de Costos Anualizada'!U56)/B$4</f>
        <v>2884.8017519999999</v>
      </c>
    </row>
    <row r="58" spans="1:66" s="407" customFormat="1">
      <c r="A58" s="398" t="s">
        <v>1220</v>
      </c>
      <c r="B58" s="399">
        <f>+'Estimación de Costos Anualizada'!V57/B$4</f>
        <v>15639.093519</v>
      </c>
      <c r="C58" s="399">
        <f>+('Estimación de Costos Anualizada'!B57+'Estimación de Costos Anualizada'!C57+'Estimación de Costos Anualizada'!D57+'Estimación de Costos Anualizada'!E57)/B$4</f>
        <v>4596.046233</v>
      </c>
      <c r="D58" s="399">
        <f>(+'Estimación de Costos Anualizada'!F57+'Estimación de Costos Anualizada'!G57+'Estimación de Costos Anualizada'!H57+'Estimación de Costos Anualizada'!I57+'Estimación de Costos Anualizada'!J57+'Estimación de Costos Anualizada'!K57+'Estimación de Costos Anualizada'!L57+'Estimación de Costos Anualizada'!M57)/B$4</f>
        <v>7826.4753209999999</v>
      </c>
      <c r="E58" s="399">
        <f>(+'Estimación de Costos Anualizada'!N57+'Estimación de Costos Anualizada'!O57+'Estimación de Costos Anualizada'!P57+'Estimación de Costos Anualizada'!Q57+'Estimación de Costos Anualizada'!R57+'Estimación de Costos Anualizada'!S57+'Estimación de Costos Anualizada'!T57+'Estimación de Costos Anualizada'!U57)/B$4</f>
        <v>3216.5719650000001</v>
      </c>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row>
    <row r="59" spans="1:66">
      <c r="A59" s="402" t="s">
        <v>1323</v>
      </c>
      <c r="B59" s="403">
        <f>+'Estimación de Costos Anualizada'!V58/B$4</f>
        <v>4576.2342900000003</v>
      </c>
      <c r="C59" s="403">
        <f>+('Estimación de Costos Anualizada'!B58+'Estimación de Costos Anualizada'!C58+'Estimación de Costos Anualizada'!D58+'Estimación de Costos Anualizada'!E58)/B$4</f>
        <v>1830.4937159999999</v>
      </c>
      <c r="D59" s="403">
        <f>(+'Estimación de Costos Anualizada'!F58+'Estimación de Costos Anualizada'!G58+'Estimación de Costos Anualizada'!H58+'Estimación de Costos Anualizada'!I58+'Estimación de Costos Anualizada'!J58+'Estimación de Costos Anualizada'!K58+'Estimación de Costos Anualizada'!L58+'Estimación de Costos Anualizada'!M58)/B$4</f>
        <v>1372.870287</v>
      </c>
      <c r="E59" s="403">
        <f>(+'Estimación de Costos Anualizada'!N58+'Estimación de Costos Anualizada'!O58+'Estimación de Costos Anualizada'!P58+'Estimación de Costos Anualizada'!Q58+'Estimación de Costos Anualizada'!R58+'Estimación de Costos Anualizada'!S58+'Estimación de Costos Anualizada'!T58+'Estimación de Costos Anualizada'!U58)/B$4</f>
        <v>1372.870287</v>
      </c>
    </row>
    <row r="60" spans="1:66">
      <c r="A60" s="402" t="s">
        <v>1226</v>
      </c>
      <c r="B60" s="403">
        <f>+'Estimación de Costos Anualizada'!V59/B$4</f>
        <v>11062.859229</v>
      </c>
      <c r="C60" s="403">
        <f>+('Estimación de Costos Anualizada'!B59+'Estimación de Costos Anualizada'!C59+'Estimación de Costos Anualizada'!D59+'Estimación de Costos Anualizada'!E59)/B$4</f>
        <v>2765.5525170000001</v>
      </c>
      <c r="D60" s="403">
        <f>(+'Estimación de Costos Anualizada'!F59+'Estimación de Costos Anualizada'!G59+'Estimación de Costos Anualizada'!H59+'Estimación de Costos Anualizada'!I59+'Estimación de Costos Anualizada'!J59+'Estimación de Costos Anualizada'!K59+'Estimación de Costos Anualizada'!L59+'Estimación de Costos Anualizada'!M59)/B$4</f>
        <v>6453.6050340000002</v>
      </c>
      <c r="E60" s="403">
        <f>(+'Estimación de Costos Anualizada'!N59+'Estimación de Costos Anualizada'!O59+'Estimación de Costos Anualizada'!P59+'Estimación de Costos Anualizada'!Q59+'Estimación de Costos Anualizada'!R59+'Estimación de Costos Anualizada'!S59+'Estimación de Costos Anualizada'!T59+'Estimación de Costos Anualizada'!U59)/B$4</f>
        <v>1843.7016779999999</v>
      </c>
    </row>
    <row r="61" spans="1:66" s="407" customFormat="1">
      <c r="A61" s="398" t="s">
        <v>1324</v>
      </c>
      <c r="B61" s="399">
        <f>+'Estimación de Costos Anualizada'!V60/B$4</f>
        <v>1991.2918239999999</v>
      </c>
      <c r="C61" s="399">
        <f>+('Estimación de Costos Anualizada'!B60+'Estimación de Costos Anualizada'!C60+'Estimación de Costos Anualizada'!D60+'Estimación de Costos Anualizada'!E60)/B$4</f>
        <v>660.98792000000003</v>
      </c>
      <c r="D61" s="399">
        <f>(+'Estimación de Costos Anualizada'!F60+'Estimación de Costos Anualizada'!G60+'Estimación de Costos Anualizada'!H60+'Estimación de Costos Anualizada'!I60+'Estimación de Costos Anualizada'!J60+'Estimación de Costos Anualizada'!K60+'Estimación de Costos Anualizada'!L60+'Estimación de Costos Anualizada'!M60)/B$4</f>
        <v>660.98792000000003</v>
      </c>
      <c r="E61" s="399">
        <f>(+'Estimación de Costos Anualizada'!N60+'Estimación de Costos Anualizada'!O60+'Estimación de Costos Anualizada'!P60+'Estimación de Costos Anualizada'!Q60+'Estimación de Costos Anualizada'!R60+'Estimación de Costos Anualizada'!S60+'Estimación de Costos Anualizada'!T60+'Estimación de Costos Anualizada'!U60)/B$4</f>
        <v>669.31598399999996</v>
      </c>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row>
    <row r="62" spans="1:66" s="410" customFormat="1" ht="30">
      <c r="A62" s="402" t="s">
        <v>1239</v>
      </c>
      <c r="B62" s="403">
        <f>+'Estimación de Costos Anualizada'!V61/B$4</f>
        <v>1561.737296</v>
      </c>
      <c r="C62" s="403">
        <f>+('Estimación de Costos Anualizada'!B61+'Estimación de Costos Anualizada'!C61+'Estimación de Costos Anualizada'!D61+'Estimación de Costos Anualizada'!E61)/B$4</f>
        <v>446.21065599999997</v>
      </c>
      <c r="D62" s="403">
        <f>(+'Estimación de Costos Anualizada'!F61+'Estimación de Costos Anualizada'!G61+'Estimación de Costos Anualizada'!H61+'Estimación de Costos Anualizada'!I61+'Estimación de Costos Anualizada'!J61+'Estimación de Costos Anualizada'!K61+'Estimación de Costos Anualizada'!L61+'Estimación de Costos Anualizada'!M61)/B$4</f>
        <v>446.21065599999997</v>
      </c>
      <c r="E62" s="403">
        <f>(+'Estimación de Costos Anualizada'!N61+'Estimación de Costos Anualizada'!O61+'Estimación de Costos Anualizada'!P61+'Estimación de Costos Anualizada'!Q61+'Estimación de Costos Anualizada'!R61+'Estimación de Costos Anualizada'!S61+'Estimación de Costos Anualizada'!T61+'Estimación de Costos Anualizada'!U61)/B$4</f>
        <v>669.31598399999996</v>
      </c>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row>
    <row r="63" spans="1:66" s="410" customFormat="1">
      <c r="A63" s="402" t="s">
        <v>1325</v>
      </c>
      <c r="B63" s="403">
        <f>+'Estimación de Costos Anualizada'!V62/B$4</f>
        <v>429.554528</v>
      </c>
      <c r="C63" s="403">
        <f>SUM('Estimación de Costos Anualizada'!B62:D62)/$B$4</f>
        <v>214.777264</v>
      </c>
      <c r="D63" s="403">
        <f>SUM('Estimación de Costos Anualizada'!F62:M62)/$B$4</f>
        <v>214.777264</v>
      </c>
      <c r="E63" s="403" t="s">
        <v>1331</v>
      </c>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row>
    <row r="64" spans="1:66" s="407" customFormat="1">
      <c r="A64" s="398" t="s">
        <v>1258</v>
      </c>
      <c r="B64" s="399">
        <f>+'Estimación de Costos Anualizada'!V63/B$4</f>
        <v>148240.6231</v>
      </c>
      <c r="C64" s="399">
        <f>+('Estimación de Costos Anualizada'!B63+'Estimación de Costos Anualizada'!C63+'Estimación de Costos Anualizada'!D63+'Estimación de Costos Anualizada'!E63)/B$4</f>
        <v>29566.332620000001</v>
      </c>
      <c r="D64" s="399">
        <f>(+'Estimación de Costos Anualizada'!F63+'Estimación de Costos Anualizada'!G63+'Estimación de Costos Anualizada'!H63+'Estimación de Costos Anualizada'!I63+'Estimación de Costos Anualizada'!J63+'Estimación de Costos Anualizada'!K63+'Estimación de Costos Anualizada'!L63+'Estimación de Costos Anualizada'!M63)/B$4</f>
        <v>59541.625240000001</v>
      </c>
      <c r="E64" s="399">
        <f>(+'Estimación de Costos Anualizada'!N63+'Estimación de Costos Anualizada'!O63+'Estimación de Costos Anualizada'!P63+'Estimación de Costos Anualizada'!Q63+'Estimación de Costos Anualizada'!R63+'Estimación de Costos Anualizada'!S63+'Estimación de Costos Anualizada'!T63+'Estimación de Costos Anualizada'!U63)/B$4</f>
        <v>59132.665240000002</v>
      </c>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row>
    <row r="65" spans="1:66" ht="21.6" customHeight="1">
      <c r="A65" s="402" t="s">
        <v>1259</v>
      </c>
      <c r="B65" s="403">
        <f>+'Estimación de Costos Anualizada'!V64/B$4</f>
        <v>148240.6231</v>
      </c>
      <c r="C65" s="403">
        <f>+('Estimación de Costos Anualizada'!B64+'Estimación de Costos Anualizada'!C64+'Estimación de Costos Anualizada'!D64+'Estimación de Costos Anualizada'!E64)/B$4</f>
        <v>29566.332620000001</v>
      </c>
      <c r="D65" s="403">
        <f>(+'Estimación de Costos Anualizada'!F64+'Estimación de Costos Anualizada'!G64+'Estimación de Costos Anualizada'!H64+'Estimación de Costos Anualizada'!I64+'Estimación de Costos Anualizada'!J64+'Estimación de Costos Anualizada'!K64+'Estimación de Costos Anualizada'!L64+'Estimación de Costos Anualizada'!M64)/B$4</f>
        <v>59541.625240000001</v>
      </c>
      <c r="E65" s="403">
        <f>(+'Estimación de Costos Anualizada'!N64+'Estimación de Costos Anualizada'!O64+'Estimación de Costos Anualizada'!P64+'Estimación de Costos Anualizada'!Q64+'Estimación de Costos Anualizada'!R64+'Estimación de Costos Anualizada'!S64+'Estimación de Costos Anualizada'!T64+'Estimación de Costos Anualizada'!U64)/B$4</f>
        <v>59132.665240000002</v>
      </c>
    </row>
    <row r="66" spans="1:66" s="407" customFormat="1">
      <c r="A66" s="398" t="s">
        <v>1276</v>
      </c>
      <c r="B66" s="399">
        <f>+'Estimación de Costos Anualizada'!V65/B$4</f>
        <v>39006.511319999998</v>
      </c>
      <c r="C66" s="399">
        <f>+('Estimación de Costos Anualizada'!B65+'Estimación de Costos Anualizada'!C65+'Estimación de Costos Anualizada'!D65+'Estimación de Costos Anualizada'!E65)/B$4</f>
        <v>6631.3022639999999</v>
      </c>
      <c r="D66" s="399">
        <f>(+'Estimación de Costos Anualizada'!F65+'Estimación de Costos Anualizada'!G65+'Estimación de Costos Anualizada'!H65+'Estimación de Costos Anualizada'!I65+'Estimación de Costos Anualizada'!J65+'Estimación de Costos Anualizada'!K65+'Estimación de Costos Anualizada'!L65+'Estimación de Costos Anualizada'!M65)/B$4</f>
        <v>18562.604528</v>
      </c>
      <c r="E66" s="399">
        <f>(+'Estimación de Costos Anualizada'!N65+'Estimación de Costos Anualizada'!O65+'Estimación de Costos Anualizada'!P65+'Estimación de Costos Anualizada'!Q65+'Estimación de Costos Anualizada'!R65+'Estimación de Costos Anualizada'!S65+'Estimación de Costos Anualizada'!T65+'Estimación de Costos Anualizada'!U65)/B$4</f>
        <v>13812.604528</v>
      </c>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row>
    <row r="67" spans="1:66">
      <c r="A67" s="402" t="s">
        <v>1277</v>
      </c>
      <c r="B67" s="403">
        <f>+'Estimación de Costos Anualizada'!V66/B$4</f>
        <v>21065.5658</v>
      </c>
      <c r="C67" s="403">
        <f>+('Estimación de Costos Anualizada'!B66+'Estimación de Costos Anualizada'!C66+'Estimación de Costos Anualizada'!D66+'Estimación de Costos Anualizada'!E66)/B$4</f>
        <v>3263.1131599999999</v>
      </c>
      <c r="D67" s="403">
        <f>(+'Estimación de Costos Anualizada'!F66+'Estimación de Costos Anualizada'!G66+'Estimación de Costos Anualizada'!H66+'Estimación de Costos Anualizada'!I66+'Estimación de Costos Anualizada'!J66+'Estimación de Costos Anualizada'!K66+'Estimación de Costos Anualizada'!L66+'Estimación de Costos Anualizada'!M66)/B$4</f>
        <v>11276.22632</v>
      </c>
      <c r="E67" s="403">
        <f>(+'Estimación de Costos Anualizada'!N66+'Estimación de Costos Anualizada'!O66+'Estimación de Costos Anualizada'!P66+'Estimación de Costos Anualizada'!Q66+'Estimación de Costos Anualizada'!R66+'Estimación de Costos Anualizada'!S66+'Estimación de Costos Anualizada'!T66+'Estimación de Costos Anualizada'!U66)/B$4</f>
        <v>6526.2263199999998</v>
      </c>
    </row>
    <row r="68" spans="1:66" s="205" customFormat="1">
      <c r="A68" s="402" t="s">
        <v>1332</v>
      </c>
      <c r="B68" s="403">
        <f>+'Estimación de Costos Anualizada'!V67/B$4</f>
        <v>11208.785680000001</v>
      </c>
      <c r="C68" s="403">
        <f>+('Estimación de Costos Anualizada'!B67+'Estimación de Costos Anualizada'!C67+'Estimación de Costos Anualizada'!D67+'Estimación de Costos Anualizada'!E67)/B$4</f>
        <v>2021.7571359999999</v>
      </c>
      <c r="D68" s="403">
        <f>(+'Estimación de Costos Anualizada'!F67+'Estimación de Costos Anualizada'!G67+'Estimación de Costos Anualizada'!H67+'Estimación de Costos Anualizada'!I67+'Estimación de Costos Anualizada'!J67+'Estimación de Costos Anualizada'!K67+'Estimación de Costos Anualizada'!L67+'Estimación de Costos Anualizada'!M67)/B$4</f>
        <v>4593.5142720000003</v>
      </c>
      <c r="E68" s="403">
        <f>(+'Estimación de Costos Anualizada'!N67+'Estimación de Costos Anualizada'!O67+'Estimación de Costos Anualizada'!P67+'Estimación de Costos Anualizada'!Q67+'Estimación de Costos Anualizada'!R67+'Estimación de Costos Anualizada'!S67+'Estimación de Costos Anualizada'!T67+'Estimación de Costos Anualizada'!U67)/B$4</f>
        <v>4593.5142720000003</v>
      </c>
    </row>
    <row r="69" spans="1:66" s="205" customFormat="1" ht="24" customHeight="1">
      <c r="A69" s="402" t="s">
        <v>1296</v>
      </c>
      <c r="B69" s="403">
        <f>+'Estimación de Costos Anualizada'!V68/B$4</f>
        <v>6732.1598400000003</v>
      </c>
      <c r="C69" s="403">
        <f>+('Estimación de Costos Anualizada'!B68+'Estimación de Costos Anualizada'!C68+'Estimación de Costos Anualizada'!D68+'Estimación de Costos Anualizada'!E68)/B$4</f>
        <v>1346.4319680000001</v>
      </c>
      <c r="D69" s="403">
        <f>(+'Estimación de Costos Anualizada'!F68+'Estimación de Costos Anualizada'!G68+'Estimación de Costos Anualizada'!H68+'Estimación de Costos Anualizada'!I68+'Estimación de Costos Anualizada'!J68+'Estimación de Costos Anualizada'!K68+'Estimación de Costos Anualizada'!L68+'Estimación de Costos Anualizada'!M68)/B$4</f>
        <v>2692.8639360000002</v>
      </c>
      <c r="E69" s="403">
        <f>(+'Estimación de Costos Anualizada'!N68+'Estimación de Costos Anualizada'!O68+'Estimación de Costos Anualizada'!P68+'Estimación de Costos Anualizada'!Q68+'Estimación de Costos Anualizada'!R68+'Estimación de Costos Anualizada'!S68+'Estimación de Costos Anualizada'!T68+'Estimación de Costos Anualizada'!U68)/B$4</f>
        <v>2692.8639360000002</v>
      </c>
    </row>
    <row r="70" spans="1:66" s="484" customFormat="1" ht="23.1" customHeight="1">
      <c r="A70" s="395" t="s">
        <v>1327</v>
      </c>
      <c r="B70" s="490">
        <f>+'Estimación de Costos Anualizada'!V69/B$4</f>
        <v>2756182.6608065637</v>
      </c>
      <c r="C70" s="543">
        <f>+('Estimación de Costos Anualizada'!B69+'Estimación de Costos Anualizada'!C69+'Estimación de Costos Anualizada'!D69+'Estimación de Costos Anualizada'!E69)/B$4</f>
        <v>341312.96391376562</v>
      </c>
      <c r="D70" s="482">
        <f>(+'Estimación de Costos Anualizada'!F69+'Estimación de Costos Anualizada'!G69+'Estimación de Costos Anualizada'!H69+'Estimación de Costos Anualizada'!I69+'Estimación de Costos Anualizada'!J69+'Estimación de Costos Anualizada'!K69+'Estimación de Costos Anualizada'!L69+'Estimación de Costos Anualizada'!M69)/B$4</f>
        <v>1443419.5502468625</v>
      </c>
      <c r="E70" s="482">
        <f>(+'Estimación de Costos Anualizada'!N69+'Estimación de Costos Anualizada'!O69+'Estimación de Costos Anualizada'!P69+'Estimación de Costos Anualizada'!Q69+'Estimación de Costos Anualizada'!R69+'Estimación de Costos Anualizada'!S69+'Estimación de Costos Anualizada'!T69+'Estimación de Costos Anualizada'!U69)/B$4</f>
        <v>971450.14664593537</v>
      </c>
      <c r="F70" s="491">
        <f>C70+D70+E70</f>
        <v>2756182.6608065632</v>
      </c>
    </row>
    <row r="71" spans="1:66" s="205" customFormat="1" ht="27.95" customHeight="1">
      <c r="A71" s="395" t="s">
        <v>1333</v>
      </c>
      <c r="B71" s="489"/>
      <c r="C71" s="488">
        <f>+C70/B70</f>
        <v>0.12383539333851135</v>
      </c>
      <c r="D71" s="488">
        <f>D70/B70</f>
        <v>0.52370242755408059</v>
      </c>
      <c r="E71" s="488">
        <f>E70/B70</f>
        <v>0.35246217910740801</v>
      </c>
      <c r="F71" s="486"/>
    </row>
    <row r="72" spans="1:66">
      <c r="B72" s="487"/>
      <c r="C72" s="487"/>
      <c r="D72" s="487"/>
      <c r="E72" s="487"/>
      <c r="F72" s="486"/>
    </row>
    <row r="73" spans="1:66">
      <c r="B73" s="515"/>
      <c r="C73" s="515"/>
      <c r="D73" s="515"/>
      <c r="E73" s="515"/>
      <c r="F73" s="486"/>
    </row>
    <row r="74" spans="1:66" s="205" customFormat="1">
      <c r="A74" s="260"/>
      <c r="B74" s="516"/>
      <c r="C74" s="517"/>
      <c r="D74" s="517"/>
      <c r="E74" s="517"/>
    </row>
  </sheetData>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8"/>
  <sheetViews>
    <sheetView windowProtection="1" showGridLines="0" zoomScale="90" zoomScaleNormal="90" zoomScaleSheetLayoutView="100" workbookViewId="0">
      <selection activeCell="F1" sqref="F1"/>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25" width="23.42578125" customWidth="1"/>
  </cols>
  <sheetData>
    <row r="2" spans="1:25" ht="15.75">
      <c r="A2" s="203" t="s">
        <v>1334</v>
      </c>
    </row>
    <row r="3" spans="1:25" s="205" customFormat="1">
      <c r="A3" s="204"/>
    </row>
    <row r="4" spans="1:25" ht="15.75">
      <c r="A4" s="206" t="s">
        <v>1335</v>
      </c>
      <c r="B4" s="206" t="str">
        <f>Portafolio_Cadena_Láctea!C2</f>
        <v>1. Sanidad e inocuidad en la producción de leche</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W7" si="0">SUM(D8:D10)</f>
        <v>0</v>
      </c>
      <c r="E7" s="249">
        <f t="shared" si="0"/>
        <v>0</v>
      </c>
      <c r="F7" s="249">
        <f t="shared" si="0"/>
        <v>11243555906</v>
      </c>
      <c r="G7" s="249">
        <f t="shared" si="0"/>
        <v>11243555906</v>
      </c>
      <c r="H7" s="249">
        <f t="shared" si="0"/>
        <v>26313233154</v>
      </c>
      <c r="I7" s="249">
        <f t="shared" si="0"/>
        <v>26313233154</v>
      </c>
      <c r="J7" s="249">
        <f t="shared" si="0"/>
        <v>26313233154</v>
      </c>
      <c r="K7" s="249">
        <f t="shared" si="0"/>
        <v>26313233154</v>
      </c>
      <c r="L7" s="249">
        <f t="shared" si="0"/>
        <v>26313233154</v>
      </c>
      <c r="M7" s="249">
        <f t="shared" si="0"/>
        <v>26313233154</v>
      </c>
      <c r="N7" s="249">
        <f t="shared" si="0"/>
        <v>26313233154</v>
      </c>
      <c r="O7" s="249">
        <f t="shared" si="0"/>
        <v>26313233154</v>
      </c>
      <c r="P7" s="249">
        <f t="shared" si="0"/>
        <v>26313233154</v>
      </c>
      <c r="Q7" s="249">
        <f t="shared" si="0"/>
        <v>26313233154</v>
      </c>
      <c r="R7" s="249">
        <f t="shared" si="0"/>
        <v>13193555906</v>
      </c>
      <c r="S7" s="249">
        <f t="shared" si="0"/>
        <v>13193555906</v>
      </c>
      <c r="T7" s="249">
        <f t="shared" si="0"/>
        <v>13193555906</v>
      </c>
      <c r="U7" s="249">
        <f t="shared" si="0"/>
        <v>13193555906</v>
      </c>
      <c r="V7" s="249">
        <f t="shared" si="0"/>
        <v>13193555906</v>
      </c>
      <c r="W7" s="249">
        <f t="shared" si="0"/>
        <v>11243555906</v>
      </c>
      <c r="X7" s="249">
        <f>SUM(X8:X10)</f>
        <v>11243555906</v>
      </c>
      <c r="Y7" s="249">
        <f>SUM(Y8:Y10)</f>
        <v>374074334694</v>
      </c>
    </row>
    <row r="8" spans="1:25" s="214" customFormat="1" ht="30.6" customHeight="1">
      <c r="A8" s="205"/>
      <c r="B8" s="211" t="str">
        <f>Portafolio_Cadena_Láctea!D2</f>
        <v>1.1. Fortalecimiento del programa nacional de erradicación de fiebre aftosa.</v>
      </c>
      <c r="C8" s="212" t="s">
        <v>1337</v>
      </c>
      <c r="D8" s="213"/>
      <c r="E8" s="250"/>
      <c r="F8" s="213">
        <f>H30</f>
        <v>766614517.5</v>
      </c>
      <c r="G8" s="213">
        <f t="shared" ref="G8:X8" si="1">F8</f>
        <v>766614517.5</v>
      </c>
      <c r="H8" s="213">
        <f t="shared" si="1"/>
        <v>766614517.5</v>
      </c>
      <c r="I8" s="213">
        <f t="shared" si="1"/>
        <v>766614517.5</v>
      </c>
      <c r="J8" s="213">
        <f t="shared" si="1"/>
        <v>766614517.5</v>
      </c>
      <c r="K8" s="213">
        <f t="shared" si="1"/>
        <v>766614517.5</v>
      </c>
      <c r="L8" s="250">
        <f t="shared" si="1"/>
        <v>766614517.5</v>
      </c>
      <c r="M8" s="213">
        <f t="shared" si="1"/>
        <v>766614517.5</v>
      </c>
      <c r="N8" s="213">
        <f t="shared" si="1"/>
        <v>766614517.5</v>
      </c>
      <c r="O8" s="213">
        <f t="shared" si="1"/>
        <v>766614517.5</v>
      </c>
      <c r="P8" s="213">
        <f t="shared" si="1"/>
        <v>766614517.5</v>
      </c>
      <c r="Q8" s="250">
        <f t="shared" si="1"/>
        <v>766614517.5</v>
      </c>
      <c r="R8" s="213">
        <f t="shared" si="1"/>
        <v>766614517.5</v>
      </c>
      <c r="S8" s="213">
        <f t="shared" si="1"/>
        <v>766614517.5</v>
      </c>
      <c r="T8" s="213">
        <f t="shared" si="1"/>
        <v>766614517.5</v>
      </c>
      <c r="U8" s="213">
        <f t="shared" si="1"/>
        <v>766614517.5</v>
      </c>
      <c r="V8" s="250">
        <f t="shared" si="1"/>
        <v>766614517.5</v>
      </c>
      <c r="W8" s="213">
        <f t="shared" si="1"/>
        <v>766614517.5</v>
      </c>
      <c r="X8" s="213">
        <f t="shared" si="1"/>
        <v>766614517.5</v>
      </c>
      <c r="Y8" s="213">
        <f>SUM(D8:X8)</f>
        <v>14565675832.5</v>
      </c>
    </row>
    <row r="9" spans="1:25" s="214" customFormat="1" ht="60.95" customHeight="1">
      <c r="A9" s="215"/>
      <c r="B9" s="211" t="str">
        <f>Portafolio_Cadena_Láctea!D9</f>
        <v>1.2. Fortalecimiento de los programas de control, erradicación y prevención de brucelosis y tuberculosis, bovina, y de otras enfermedades que afectan la producción de leche.</v>
      </c>
      <c r="C9" s="212" t="s">
        <v>1337</v>
      </c>
      <c r="D9" s="216"/>
      <c r="E9" s="216"/>
      <c r="F9" s="213">
        <f>H50</f>
        <v>1482365896</v>
      </c>
      <c r="G9" s="250">
        <f>F9</f>
        <v>1482365896</v>
      </c>
      <c r="H9" s="213">
        <f>H51</f>
        <v>4122043144</v>
      </c>
      <c r="I9" s="213">
        <f t="shared" ref="I9:Q9" si="2">H9</f>
        <v>4122043144</v>
      </c>
      <c r="J9" s="213">
        <f t="shared" si="2"/>
        <v>4122043144</v>
      </c>
      <c r="K9" s="213">
        <f t="shared" si="2"/>
        <v>4122043144</v>
      </c>
      <c r="L9" s="213">
        <f t="shared" si="2"/>
        <v>4122043144</v>
      </c>
      <c r="M9" s="213">
        <f t="shared" si="2"/>
        <v>4122043144</v>
      </c>
      <c r="N9" s="213">
        <f t="shared" si="2"/>
        <v>4122043144</v>
      </c>
      <c r="O9" s="250">
        <f t="shared" si="2"/>
        <v>4122043144</v>
      </c>
      <c r="P9" s="213">
        <f t="shared" si="2"/>
        <v>4122043144</v>
      </c>
      <c r="Q9" s="213">
        <f t="shared" si="2"/>
        <v>4122043144</v>
      </c>
      <c r="R9" s="213">
        <f>H50</f>
        <v>1482365896</v>
      </c>
      <c r="S9" s="250">
        <f t="shared" ref="S9:X9" si="3">R9</f>
        <v>1482365896</v>
      </c>
      <c r="T9" s="213">
        <f t="shared" si="3"/>
        <v>1482365896</v>
      </c>
      <c r="U9" s="213">
        <f t="shared" si="3"/>
        <v>1482365896</v>
      </c>
      <c r="V9" s="213">
        <f t="shared" si="3"/>
        <v>1482365896</v>
      </c>
      <c r="W9" s="213">
        <f t="shared" si="3"/>
        <v>1482365896</v>
      </c>
      <c r="X9" s="213">
        <f t="shared" si="3"/>
        <v>1482365896</v>
      </c>
      <c r="Y9" s="213">
        <f>SUM(D9:X9)</f>
        <v>54561724504</v>
      </c>
    </row>
    <row r="10" spans="1:25" s="214" customFormat="1" ht="30">
      <c r="A10" s="215"/>
      <c r="B10" s="211" t="str">
        <f>Portafolio_Cadena_Láctea!D18</f>
        <v>1.3. Promoción de la inocuidad y las buenas prácticas, en la producción de leche</v>
      </c>
      <c r="C10" s="212" t="s">
        <v>1337</v>
      </c>
      <c r="D10" s="216"/>
      <c r="E10" s="216"/>
      <c r="F10" s="213">
        <f>H74</f>
        <v>8994575492.5</v>
      </c>
      <c r="G10" s="213">
        <f>F10</f>
        <v>8994575492.5</v>
      </c>
      <c r="H10" s="213">
        <f>H75</f>
        <v>21424575492.5</v>
      </c>
      <c r="I10" s="213">
        <f t="shared" ref="I10:Q10" si="4">H10</f>
        <v>21424575492.5</v>
      </c>
      <c r="J10" s="213">
        <f t="shared" si="4"/>
        <v>21424575492.5</v>
      </c>
      <c r="K10" s="213">
        <f t="shared" si="4"/>
        <v>21424575492.5</v>
      </c>
      <c r="L10" s="213">
        <f t="shared" si="4"/>
        <v>21424575492.5</v>
      </c>
      <c r="M10" s="213">
        <f t="shared" si="4"/>
        <v>21424575492.5</v>
      </c>
      <c r="N10" s="213">
        <f t="shared" si="4"/>
        <v>21424575492.5</v>
      </c>
      <c r="O10" s="213">
        <f t="shared" si="4"/>
        <v>21424575492.5</v>
      </c>
      <c r="P10" s="213">
        <f t="shared" si="4"/>
        <v>21424575492.5</v>
      </c>
      <c r="Q10" s="213">
        <f t="shared" si="4"/>
        <v>21424575492.5</v>
      </c>
      <c r="R10" s="213">
        <f>H76</f>
        <v>10944575492.5</v>
      </c>
      <c r="S10" s="213">
        <f>R10</f>
        <v>10944575492.5</v>
      </c>
      <c r="T10" s="213">
        <f>S10</f>
        <v>10944575492.5</v>
      </c>
      <c r="U10" s="213">
        <f>T10</f>
        <v>10944575492.5</v>
      </c>
      <c r="V10" s="213">
        <f>U10</f>
        <v>10944575492.5</v>
      </c>
      <c r="W10" s="213">
        <f>H74</f>
        <v>8994575492.5</v>
      </c>
      <c r="X10" s="213">
        <f>W10</f>
        <v>8994575492.5</v>
      </c>
      <c r="Y10" s="213">
        <f>SUM(D10:X10)</f>
        <v>304946934357.5</v>
      </c>
    </row>
    <row r="11" spans="1:25" s="210" customFormat="1">
      <c r="A11"/>
      <c r="B11" s="209" t="s">
        <v>46</v>
      </c>
      <c r="C11" s="209"/>
      <c r="D11" s="249">
        <f t="shared" ref="D11:X11" si="5">SUM(D8:D10)</f>
        <v>0</v>
      </c>
      <c r="E11" s="249">
        <f t="shared" si="5"/>
        <v>0</v>
      </c>
      <c r="F11" s="249">
        <f t="shared" si="5"/>
        <v>11243555906</v>
      </c>
      <c r="G11" s="249">
        <f t="shared" si="5"/>
        <v>11243555906</v>
      </c>
      <c r="H11" s="249">
        <f t="shared" si="5"/>
        <v>26313233154</v>
      </c>
      <c r="I11" s="249">
        <f t="shared" si="5"/>
        <v>26313233154</v>
      </c>
      <c r="J11" s="249">
        <f t="shared" si="5"/>
        <v>26313233154</v>
      </c>
      <c r="K11" s="249">
        <f t="shared" si="5"/>
        <v>26313233154</v>
      </c>
      <c r="L11" s="249">
        <f t="shared" si="5"/>
        <v>26313233154</v>
      </c>
      <c r="M11" s="249">
        <f t="shared" si="5"/>
        <v>26313233154</v>
      </c>
      <c r="N11" s="249">
        <f t="shared" si="5"/>
        <v>26313233154</v>
      </c>
      <c r="O11" s="249">
        <f t="shared" si="5"/>
        <v>26313233154</v>
      </c>
      <c r="P11" s="249">
        <f t="shared" si="5"/>
        <v>26313233154</v>
      </c>
      <c r="Q11" s="249">
        <f t="shared" si="5"/>
        <v>26313233154</v>
      </c>
      <c r="R11" s="249">
        <f t="shared" si="5"/>
        <v>13193555906</v>
      </c>
      <c r="S11" s="249">
        <f t="shared" si="5"/>
        <v>13193555906</v>
      </c>
      <c r="T11" s="249">
        <f t="shared" si="5"/>
        <v>13193555906</v>
      </c>
      <c r="U11" s="249">
        <f t="shared" si="5"/>
        <v>13193555906</v>
      </c>
      <c r="V11" s="249">
        <f t="shared" si="5"/>
        <v>13193555906</v>
      </c>
      <c r="W11" s="249">
        <f t="shared" si="5"/>
        <v>11243555906</v>
      </c>
      <c r="X11" s="249">
        <f t="shared" si="5"/>
        <v>11243555906</v>
      </c>
      <c r="Y11" s="249">
        <f>SUM(Y8:Y10)</f>
        <v>374074334694</v>
      </c>
    </row>
    <row r="14" spans="1:25" s="205" customFormat="1" ht="14.45" customHeight="1">
      <c r="B14" s="686" t="str">
        <f>B8</f>
        <v>1.1. Fortalecimiento del programa nacional de erradicación de fiebre aftosa.</v>
      </c>
      <c r="C14" s="687"/>
      <c r="D14" s="687"/>
      <c r="E14" s="687"/>
      <c r="F14" s="687"/>
      <c r="G14" s="687"/>
      <c r="H14" s="687"/>
      <c r="W14" s="217"/>
    </row>
    <row r="15" spans="1:25">
      <c r="B15" s="218" t="s">
        <v>1338</v>
      </c>
      <c r="C15" s="218" t="s">
        <v>522</v>
      </c>
      <c r="D15" s="218" t="s">
        <v>263</v>
      </c>
      <c r="E15" s="218" t="s">
        <v>262</v>
      </c>
      <c r="F15" s="219" t="s">
        <v>1339</v>
      </c>
      <c r="G15" s="218" t="s">
        <v>711</v>
      </c>
      <c r="H15" s="218" t="s">
        <v>1340</v>
      </c>
      <c r="X15" s="220"/>
    </row>
    <row r="16" spans="1:25" ht="14.45" customHeight="1">
      <c r="B16" s="221" t="s">
        <v>1341</v>
      </c>
      <c r="C16" s="221">
        <v>30</v>
      </c>
      <c r="D16" s="221" t="s">
        <v>1342</v>
      </c>
      <c r="E16" s="222">
        <f>'Categorias de Costos lácteo '!C125</f>
        <v>1000000</v>
      </c>
      <c r="F16" s="224"/>
      <c r="G16" s="221"/>
      <c r="H16" s="222">
        <f t="shared" ref="H16:H24" si="6">+C16*E16</f>
        <v>30000000</v>
      </c>
    </row>
    <row r="17" spans="2:9" ht="14.45" customHeight="1">
      <c r="B17" s="221" t="s">
        <v>1343</v>
      </c>
      <c r="C17" s="221">
        <v>30</v>
      </c>
      <c r="D17" s="221" t="s">
        <v>1342</v>
      </c>
      <c r="E17" s="222">
        <f>'Categorias de Costos lácteo '!C133</f>
        <v>100000</v>
      </c>
      <c r="F17" s="224"/>
      <c r="G17" s="221"/>
      <c r="H17" s="222">
        <f t="shared" si="6"/>
        <v>3000000</v>
      </c>
    </row>
    <row r="18" spans="2:9" ht="14.45" customHeight="1">
      <c r="B18" s="221" t="s">
        <v>1344</v>
      </c>
      <c r="C18" s="221">
        <v>8</v>
      </c>
      <c r="D18" s="221" t="s">
        <v>1342</v>
      </c>
      <c r="E18" s="222">
        <v>5000000</v>
      </c>
      <c r="F18" s="224"/>
      <c r="G18" s="221"/>
      <c r="H18" s="222">
        <f t="shared" si="6"/>
        <v>40000000</v>
      </c>
    </row>
    <row r="19" spans="2:9">
      <c r="B19" s="221" t="s">
        <v>1345</v>
      </c>
      <c r="C19" s="221">
        <v>30</v>
      </c>
      <c r="D19" s="221" t="s">
        <v>1342</v>
      </c>
      <c r="E19" s="222">
        <v>5700000</v>
      </c>
      <c r="F19" s="222"/>
      <c r="G19" s="221"/>
      <c r="H19" s="222">
        <f t="shared" si="6"/>
        <v>171000000</v>
      </c>
    </row>
    <row r="20" spans="2:9">
      <c r="B20" s="221" t="s">
        <v>1346</v>
      </c>
      <c r="C20" s="221">
        <v>30</v>
      </c>
      <c r="D20" s="221" t="s">
        <v>1342</v>
      </c>
      <c r="E20" s="222">
        <f>'Categorias de Costos lácteo '!C126</f>
        <v>2882335</v>
      </c>
      <c r="F20" s="222"/>
      <c r="G20" s="221"/>
      <c r="H20" s="222">
        <f t="shared" si="6"/>
        <v>86470050</v>
      </c>
    </row>
    <row r="21" spans="2:9">
      <c r="B21" s="165" t="s">
        <v>1347</v>
      </c>
      <c r="C21" s="221">
        <v>1</v>
      </c>
      <c r="D21" s="221" t="s">
        <v>1342</v>
      </c>
      <c r="E21" s="222">
        <f>'Categorias de Costos lácteo '!C208</f>
        <v>500000</v>
      </c>
      <c r="F21" s="237"/>
      <c r="G21" s="221"/>
      <c r="H21" s="222">
        <f t="shared" si="6"/>
        <v>500000</v>
      </c>
    </row>
    <row r="22" spans="2:9">
      <c r="B22" s="165" t="s">
        <v>1348</v>
      </c>
      <c r="C22" s="221">
        <v>1</v>
      </c>
      <c r="D22" s="221" t="s">
        <v>1342</v>
      </c>
      <c r="E22" s="222">
        <v>50000000</v>
      </c>
      <c r="F22" s="237"/>
      <c r="G22" s="221"/>
      <c r="H22" s="222">
        <f t="shared" si="6"/>
        <v>50000000</v>
      </c>
    </row>
    <row r="23" spans="2:9">
      <c r="B23" s="221" t="s">
        <v>1349</v>
      </c>
      <c r="C23" s="221">
        <v>3</v>
      </c>
      <c r="D23" s="221" t="s">
        <v>1350</v>
      </c>
      <c r="E23" s="222">
        <f>'Categorias de Costos lácteo '!C90</f>
        <v>2200000</v>
      </c>
      <c r="F23" s="223"/>
      <c r="G23" s="221"/>
      <c r="H23" s="222">
        <f t="shared" si="6"/>
        <v>6600000</v>
      </c>
      <c r="I23" s="236"/>
    </row>
    <row r="24" spans="2:9">
      <c r="B24" s="221" t="s">
        <v>1351</v>
      </c>
      <c r="C24" s="221">
        <v>3</v>
      </c>
      <c r="D24" s="221" t="s">
        <v>1352</v>
      </c>
      <c r="E24" s="222">
        <f>'Categorias de Costos lácteo '!G42</f>
        <v>2743387.5</v>
      </c>
      <c r="F24" s="223"/>
      <c r="G24" s="221"/>
      <c r="H24" s="222">
        <f t="shared" si="6"/>
        <v>8230162.5</v>
      </c>
    </row>
    <row r="25" spans="2:9">
      <c r="B25" s="165" t="s">
        <v>1353</v>
      </c>
      <c r="C25" s="221">
        <v>5</v>
      </c>
      <c r="D25" s="221" t="s">
        <v>1342</v>
      </c>
      <c r="E25" s="222">
        <f>'Categorias de Costos lácteo '!D52</f>
        <v>5464476</v>
      </c>
      <c r="F25" s="237">
        <v>1</v>
      </c>
      <c r="G25" s="221">
        <v>12</v>
      </c>
      <c r="H25" s="222">
        <f>C25*E25*G25*F25</f>
        <v>327868560</v>
      </c>
    </row>
    <row r="26" spans="2:9">
      <c r="B26" s="165" t="s">
        <v>1354</v>
      </c>
      <c r="C26" s="221">
        <v>10</v>
      </c>
      <c r="D26" s="221" t="s">
        <v>1342</v>
      </c>
      <c r="E26" s="222">
        <f>('Categorias de Costos lácteo '!G52*3)+'Categorias de Costos lácteo '!C82</f>
        <v>4294574.5</v>
      </c>
      <c r="F26" s="237"/>
      <c r="G26" s="221"/>
      <c r="H26" s="222">
        <f>C26*E26</f>
        <v>42945745</v>
      </c>
    </row>
    <row r="27" spans="2:9" ht="60">
      <c r="B27" s="234" t="s">
        <v>1355</v>
      </c>
      <c r="C27" s="221"/>
      <c r="D27" s="221"/>
      <c r="E27" s="222"/>
      <c r="F27" s="224"/>
      <c r="G27" s="221"/>
      <c r="H27" s="213" t="s">
        <v>1331</v>
      </c>
    </row>
    <row r="28" spans="2:9" ht="30">
      <c r="B28" s="165" t="s">
        <v>1356</v>
      </c>
      <c r="C28" s="221"/>
      <c r="D28" s="221"/>
      <c r="E28" s="222"/>
      <c r="F28" s="221"/>
      <c r="G28" s="221"/>
      <c r="H28" s="213" t="s">
        <v>1331</v>
      </c>
    </row>
    <row r="29" spans="2:9">
      <c r="B29" s="165" t="s">
        <v>1357</v>
      </c>
      <c r="C29" s="221"/>
      <c r="D29" s="221"/>
      <c r="E29" s="222"/>
      <c r="F29" s="221"/>
      <c r="G29" s="221"/>
      <c r="H29" s="213" t="s">
        <v>1331</v>
      </c>
    </row>
    <row r="30" spans="2:9">
      <c r="B30" s="225" t="s">
        <v>46</v>
      </c>
      <c r="C30" s="226"/>
      <c r="D30" s="226"/>
      <c r="E30" s="227"/>
      <c r="F30" s="227"/>
      <c r="G30" s="226"/>
      <c r="H30" s="228">
        <f>SUM(H16:H28)</f>
        <v>766614517.5</v>
      </c>
    </row>
    <row r="31" spans="2:9" s="205" customFormat="1" ht="144.6" customHeight="1">
      <c r="B31" s="229" t="s">
        <v>1358</v>
      </c>
      <c r="E31" s="217"/>
      <c r="F31" s="217"/>
      <c r="H31" s="217"/>
      <c r="I31"/>
    </row>
    <row r="32" spans="2:9">
      <c r="H32" s="230"/>
    </row>
    <row r="33" spans="2:24">
      <c r="H33" s="231"/>
    </row>
    <row r="34" spans="2:24" s="205" customFormat="1" ht="14.45" customHeight="1">
      <c r="B34" s="686" t="str">
        <f>B9</f>
        <v>1.2. Fortalecimiento de los programas de control, erradicación y prevención de brucelosis y tuberculosis, bovina, y de otras enfermedades que afectan la producción de leche.</v>
      </c>
      <c r="C34" s="687"/>
      <c r="D34" s="687"/>
      <c r="E34" s="687"/>
      <c r="F34" s="687"/>
      <c r="G34" s="687"/>
      <c r="H34" s="687"/>
      <c r="W34" s="217"/>
    </row>
    <row r="35" spans="2:24" s="205" customFormat="1" ht="14.45" customHeight="1">
      <c r="B35" s="688"/>
      <c r="C35" s="688"/>
      <c r="D35" s="688"/>
      <c r="E35" s="688"/>
      <c r="F35" s="688"/>
      <c r="G35" s="688"/>
      <c r="H35" s="688"/>
      <c r="W35" s="217"/>
    </row>
    <row r="36" spans="2:24">
      <c r="B36" s="218" t="s">
        <v>1338</v>
      </c>
      <c r="C36" s="218" t="s">
        <v>522</v>
      </c>
      <c r="D36" s="218" t="s">
        <v>263</v>
      </c>
      <c r="E36" s="218" t="s">
        <v>262</v>
      </c>
      <c r="F36" s="219" t="s">
        <v>1339</v>
      </c>
      <c r="G36" s="218" t="s">
        <v>711</v>
      </c>
      <c r="H36" s="218" t="s">
        <v>1340</v>
      </c>
      <c r="X36" s="220"/>
    </row>
    <row r="37" spans="2:24" ht="14.45" customHeight="1">
      <c r="B37" s="221" t="s">
        <v>1359</v>
      </c>
      <c r="C37" s="221">
        <v>30</v>
      </c>
      <c r="D37" s="221" t="s">
        <v>1342</v>
      </c>
      <c r="E37" s="222">
        <f>'Categorias de Costos lácteo '!C125</f>
        <v>1000000</v>
      </c>
      <c r="F37" s="224"/>
      <c r="G37" s="221"/>
      <c r="H37" s="222">
        <f t="shared" ref="H37:H39" si="7">+C37*E37</f>
        <v>30000000</v>
      </c>
    </row>
    <row r="38" spans="2:24" ht="14.45" customHeight="1">
      <c r="B38" s="221" t="s">
        <v>1343</v>
      </c>
      <c r="C38" s="221">
        <v>30</v>
      </c>
      <c r="D38" s="221" t="s">
        <v>1342</v>
      </c>
      <c r="E38" s="222">
        <f>'Categorias de Costos lácteo '!C133</f>
        <v>100000</v>
      </c>
      <c r="F38" s="224"/>
      <c r="G38" s="221"/>
      <c r="H38" s="222">
        <f t="shared" si="7"/>
        <v>3000000</v>
      </c>
    </row>
    <row r="39" spans="2:24">
      <c r="B39" s="221" t="s">
        <v>1349</v>
      </c>
      <c r="C39" s="221">
        <v>1</v>
      </c>
      <c r="D39" s="221" t="s">
        <v>1350</v>
      </c>
      <c r="E39" s="222">
        <f>'Categorias de Costos lácteo '!C82</f>
        <v>1000000</v>
      </c>
      <c r="F39" s="223"/>
      <c r="G39" s="221"/>
      <c r="H39" s="222">
        <f t="shared" si="7"/>
        <v>1000000</v>
      </c>
      <c r="I39" s="236"/>
    </row>
    <row r="40" spans="2:24">
      <c r="B40" s="221" t="s">
        <v>1360</v>
      </c>
      <c r="C40" s="221">
        <v>1</v>
      </c>
      <c r="D40" s="221" t="s">
        <v>1352</v>
      </c>
      <c r="E40" s="222">
        <f>'Categorias de Costos lácteo '!C89</f>
        <v>2900000</v>
      </c>
      <c r="F40" s="223"/>
      <c r="G40" s="221"/>
      <c r="H40" s="222">
        <f>+C40*E40</f>
        <v>2900000</v>
      </c>
    </row>
    <row r="41" spans="2:24" ht="14.45" customHeight="1">
      <c r="B41" s="221" t="s">
        <v>1344</v>
      </c>
      <c r="C41" s="221">
        <v>8</v>
      </c>
      <c r="D41" s="221" t="s">
        <v>1342</v>
      </c>
      <c r="E41" s="222">
        <f>'Categorias de Costos lácteo '!C123</f>
        <v>5000000</v>
      </c>
      <c r="F41" s="224"/>
      <c r="G41" s="221"/>
      <c r="H41" s="222">
        <f t="shared" ref="H41:H45" si="8">+C41*E41</f>
        <v>40000000</v>
      </c>
    </row>
    <row r="42" spans="2:24">
      <c r="B42" s="221" t="s">
        <v>1345</v>
      </c>
      <c r="C42" s="221">
        <v>30</v>
      </c>
      <c r="D42" s="221" t="s">
        <v>1342</v>
      </c>
      <c r="E42" s="222">
        <f>'Categorias de Costos lácteo '!C124</f>
        <v>5700000</v>
      </c>
      <c r="F42" s="222"/>
      <c r="G42" s="221"/>
      <c r="H42" s="222">
        <f t="shared" si="8"/>
        <v>171000000</v>
      </c>
    </row>
    <row r="43" spans="2:24">
      <c r="B43" s="221" t="s">
        <v>1346</v>
      </c>
      <c r="C43" s="221">
        <v>30</v>
      </c>
      <c r="D43" s="221" t="s">
        <v>1342</v>
      </c>
      <c r="E43" s="222">
        <f>'Categorias de Costos lácteo '!C134</f>
        <v>570000</v>
      </c>
      <c r="F43" s="222"/>
      <c r="G43" s="221"/>
      <c r="H43" s="222">
        <f t="shared" si="8"/>
        <v>17100000</v>
      </c>
    </row>
    <row r="44" spans="2:24">
      <c r="B44" s="165" t="s">
        <v>1361</v>
      </c>
      <c r="C44" s="221">
        <v>30</v>
      </c>
      <c r="D44" s="221" t="s">
        <v>1342</v>
      </c>
      <c r="E44" s="222">
        <f>'Categorias de Costos lácteo '!C220</f>
        <v>21000000</v>
      </c>
      <c r="F44" s="237"/>
      <c r="G44" s="221"/>
      <c r="H44" s="222">
        <f t="shared" si="8"/>
        <v>630000000</v>
      </c>
    </row>
    <row r="45" spans="2:24">
      <c r="B45" s="165" t="s">
        <v>1348</v>
      </c>
      <c r="C45" s="221">
        <v>30</v>
      </c>
      <c r="D45" s="221" t="s">
        <v>1342</v>
      </c>
      <c r="E45" s="222">
        <v>10000000</v>
      </c>
      <c r="F45" s="237"/>
      <c r="G45" s="221"/>
      <c r="H45" s="222">
        <f t="shared" si="8"/>
        <v>300000000</v>
      </c>
    </row>
    <row r="46" spans="2:24">
      <c r="B46" s="165" t="s">
        <v>1362</v>
      </c>
      <c r="C46" s="221">
        <v>10</v>
      </c>
      <c r="D46" s="221" t="s">
        <v>1342</v>
      </c>
      <c r="E46" s="222">
        <f>'Categorias de Costos lácteo '!D52</f>
        <v>5464476</v>
      </c>
      <c r="F46" s="237"/>
      <c r="G46" s="221"/>
      <c r="H46" s="222">
        <f>C46*E46</f>
        <v>54644760</v>
      </c>
    </row>
    <row r="47" spans="2:24">
      <c r="B47" s="165" t="s">
        <v>1354</v>
      </c>
      <c r="C47" s="221">
        <v>3</v>
      </c>
      <c r="D47" s="221" t="s">
        <v>1342</v>
      </c>
      <c r="E47" s="222">
        <f>('Categorias de Costos lácteo '!C82)+('Categorias de Costos lácteo '!D52)</f>
        <v>6464476</v>
      </c>
      <c r="F47" s="237">
        <v>1</v>
      </c>
      <c r="G47" s="221">
        <v>12</v>
      </c>
      <c r="H47" s="222">
        <f>C47*E47*G47*F47</f>
        <v>232721136</v>
      </c>
    </row>
    <row r="48" spans="2:24">
      <c r="B48" s="165" t="s">
        <v>1363</v>
      </c>
      <c r="C48" s="221">
        <f>3*32</f>
        <v>96</v>
      </c>
      <c r="D48" s="221" t="s">
        <v>1342</v>
      </c>
      <c r="E48" s="222">
        <f>'Categorias de Costos lácteo '!D55+'Categorias de Costos lácteo '!C105+'Categorias de Costos lácteo '!C114</f>
        <v>4582773</v>
      </c>
      <c r="F48" s="237"/>
      <c r="G48" s="221">
        <v>6</v>
      </c>
      <c r="H48" s="222">
        <f>C48*E48*G48</f>
        <v>2639677248</v>
      </c>
    </row>
    <row r="49" spans="2:24" ht="29.25" customHeight="1">
      <c r="B49" s="165" t="s">
        <v>1364</v>
      </c>
      <c r="C49" s="221"/>
      <c r="D49" s="221"/>
      <c r="E49" s="222"/>
      <c r="F49" s="224"/>
      <c r="G49" s="221"/>
      <c r="H49" s="213" t="s">
        <v>1331</v>
      </c>
    </row>
    <row r="50" spans="2:24">
      <c r="B50" s="225" t="s">
        <v>1365</v>
      </c>
      <c r="C50" s="226"/>
      <c r="D50" s="226"/>
      <c r="E50" s="227"/>
      <c r="F50" s="227"/>
      <c r="G50" s="226"/>
      <c r="H50" s="228">
        <f>SUM(H37:H47)</f>
        <v>1482365896</v>
      </c>
    </row>
    <row r="51" spans="2:24">
      <c r="B51" s="242" t="s">
        <v>1366</v>
      </c>
      <c r="C51" s="243"/>
      <c r="D51" s="243"/>
      <c r="E51" s="244"/>
      <c r="F51" s="244"/>
      <c r="G51" s="243"/>
      <c r="H51" s="245">
        <f>SUM(H37:H48)</f>
        <v>4122043144</v>
      </c>
    </row>
    <row r="52" spans="2:24" s="205" customFormat="1" ht="168.95" customHeight="1">
      <c r="B52" s="240" t="s">
        <v>1367</v>
      </c>
      <c r="E52" s="217"/>
      <c r="F52" s="217"/>
      <c r="I52"/>
    </row>
    <row r="53" spans="2:24" s="205" customFormat="1" ht="9.6" customHeight="1">
      <c r="B53" s="240"/>
      <c r="E53" s="217"/>
      <c r="F53" s="217"/>
      <c r="I53"/>
    </row>
    <row r="54" spans="2:24" s="205" customFormat="1">
      <c r="B54" s="240"/>
      <c r="E54" s="217"/>
      <c r="F54" s="217"/>
      <c r="I54"/>
    </row>
    <row r="55" spans="2:24" s="205" customFormat="1">
      <c r="B55" s="686" t="str">
        <f>B10</f>
        <v>1.3. Promoción de la inocuidad y las buenas prácticas, en la producción de leche</v>
      </c>
      <c r="C55" s="687"/>
      <c r="D55" s="687"/>
      <c r="E55" s="687"/>
      <c r="F55" s="687"/>
      <c r="G55" s="687"/>
      <c r="H55" s="687"/>
      <c r="I55"/>
    </row>
    <row r="56" spans="2:24">
      <c r="B56" s="218" t="s">
        <v>1338</v>
      </c>
      <c r="C56" s="218" t="s">
        <v>522</v>
      </c>
      <c r="D56" s="218" t="s">
        <v>263</v>
      </c>
      <c r="E56" s="218" t="s">
        <v>262</v>
      </c>
      <c r="F56" s="219" t="s">
        <v>1339</v>
      </c>
      <c r="G56" s="218" t="s">
        <v>711</v>
      </c>
      <c r="H56" s="218" t="s">
        <v>1340</v>
      </c>
      <c r="X56" s="220"/>
    </row>
    <row r="57" spans="2:24">
      <c r="B57" s="221" t="s">
        <v>1359</v>
      </c>
      <c r="C57" s="221">
        <v>10</v>
      </c>
      <c r="D57" s="221" t="s">
        <v>1342</v>
      </c>
      <c r="E57" s="222">
        <f>'Categorias de Costos lácteo '!C125</f>
        <v>1000000</v>
      </c>
      <c r="F57" s="224"/>
      <c r="G57" s="221"/>
      <c r="H57" s="222">
        <f t="shared" ref="H57:H58" si="9">+C57*E57</f>
        <v>10000000</v>
      </c>
      <c r="J57" s="422"/>
      <c r="K57" s="422"/>
      <c r="L57" s="422"/>
      <c r="M57" s="422"/>
      <c r="N57" s="422"/>
    </row>
    <row r="58" spans="2:24">
      <c r="B58" s="221" t="s">
        <v>1343</v>
      </c>
      <c r="C58" s="221">
        <v>10</v>
      </c>
      <c r="D58" s="221" t="s">
        <v>1342</v>
      </c>
      <c r="E58" s="222">
        <f>'Categorias de Costos lácteo '!C133</f>
        <v>100000</v>
      </c>
      <c r="F58" s="224"/>
      <c r="G58" s="221"/>
      <c r="H58" s="222">
        <f t="shared" si="9"/>
        <v>1000000</v>
      </c>
      <c r="J58" s="422"/>
      <c r="K58" s="422"/>
      <c r="L58" s="422"/>
      <c r="M58" s="422"/>
      <c r="N58" s="422"/>
    </row>
    <row r="59" spans="2:24">
      <c r="B59" s="221" t="s">
        <v>1344</v>
      </c>
      <c r="C59" s="221">
        <v>6</v>
      </c>
      <c r="D59" s="221" t="s">
        <v>1342</v>
      </c>
      <c r="E59" s="222">
        <f>'Categorias de Costos lácteo '!C123</f>
        <v>5000000</v>
      </c>
      <c r="F59" s="224"/>
      <c r="G59" s="221"/>
      <c r="H59" s="222">
        <f t="shared" ref="H59:H65" si="10">+C59*E59</f>
        <v>30000000</v>
      </c>
    </row>
    <row r="60" spans="2:24">
      <c r="B60" s="221" t="s">
        <v>1345</v>
      </c>
      <c r="C60" s="221">
        <f>30*2</f>
        <v>60</v>
      </c>
      <c r="D60" s="221" t="s">
        <v>1342</v>
      </c>
      <c r="E60" s="222">
        <f>'Categorias de Costos lácteo '!C124</f>
        <v>5700000</v>
      </c>
      <c r="F60" s="222"/>
      <c r="G60" s="221"/>
      <c r="H60" s="222">
        <f t="shared" si="10"/>
        <v>342000000</v>
      </c>
    </row>
    <row r="61" spans="2:24" ht="14.45" customHeight="1">
      <c r="B61" s="221" t="s">
        <v>1346</v>
      </c>
      <c r="C61" s="221">
        <v>30</v>
      </c>
      <c r="D61" s="221" t="s">
        <v>1342</v>
      </c>
      <c r="E61" s="222">
        <f>'Categorias de Costos lácteo '!C161</f>
        <v>5163769</v>
      </c>
      <c r="F61" s="222"/>
      <c r="G61" s="221"/>
      <c r="H61" s="222">
        <f t="shared" si="10"/>
        <v>154913070</v>
      </c>
    </row>
    <row r="62" spans="2:24" ht="14.45" customHeight="1">
      <c r="B62" s="221" t="s">
        <v>1368</v>
      </c>
      <c r="C62" s="221">
        <f>5*30</f>
        <v>150</v>
      </c>
      <c r="D62" s="221" t="s">
        <v>1342</v>
      </c>
      <c r="E62" s="222">
        <f>'Categorias de Costos lácteo '!C131</f>
        <v>13000000</v>
      </c>
      <c r="F62" s="222"/>
      <c r="G62" s="221"/>
      <c r="H62" s="222">
        <f t="shared" si="10"/>
        <v>1950000000</v>
      </c>
    </row>
    <row r="63" spans="2:24" ht="14.45" customHeight="1">
      <c r="B63" s="221" t="s">
        <v>1369</v>
      </c>
      <c r="C63" s="221">
        <v>30</v>
      </c>
      <c r="D63" s="221" t="s">
        <v>1342</v>
      </c>
      <c r="E63" s="222">
        <f>'Categorias de Costos lácteo '!C215</f>
        <v>49500000</v>
      </c>
      <c r="F63" s="222"/>
      <c r="G63" s="221"/>
      <c r="H63" s="222">
        <f t="shared" si="10"/>
        <v>1485000000</v>
      </c>
    </row>
    <row r="64" spans="2:24">
      <c r="B64" s="165" t="s">
        <v>1370</v>
      </c>
      <c r="C64" s="221">
        <v>30</v>
      </c>
      <c r="D64" s="221" t="s">
        <v>1342</v>
      </c>
      <c r="E64" s="222">
        <f>'Categorias de Costos lácteo '!C221</f>
        <v>13500000</v>
      </c>
      <c r="F64" s="221"/>
      <c r="G64" s="221"/>
      <c r="H64" s="222">
        <f t="shared" si="10"/>
        <v>405000000</v>
      </c>
      <c r="J64" s="422"/>
      <c r="K64" s="422"/>
      <c r="L64" s="422"/>
      <c r="M64" s="422"/>
      <c r="N64" s="422"/>
    </row>
    <row r="65" spans="2:14">
      <c r="B65" s="165" t="s">
        <v>533</v>
      </c>
      <c r="C65" s="221">
        <v>30</v>
      </c>
      <c r="D65" s="221" t="s">
        <v>1342</v>
      </c>
      <c r="E65" s="222">
        <v>5000000</v>
      </c>
      <c r="F65" s="221"/>
      <c r="G65" s="221"/>
      <c r="H65" s="222">
        <f t="shared" si="10"/>
        <v>150000000</v>
      </c>
      <c r="J65" s="422"/>
      <c r="K65" s="422"/>
      <c r="L65" s="422"/>
      <c r="M65" s="422"/>
      <c r="N65" s="422"/>
    </row>
    <row r="66" spans="2:14">
      <c r="B66" s="221" t="s">
        <v>1349</v>
      </c>
      <c r="C66" s="221">
        <v>1</v>
      </c>
      <c r="D66" s="221" t="s">
        <v>1350</v>
      </c>
      <c r="E66" s="222">
        <f>'Categorias de Costos lácteo '!C90</f>
        <v>2200000</v>
      </c>
      <c r="F66" s="223"/>
      <c r="G66" s="221"/>
      <c r="H66" s="222">
        <f>+C66*E66</f>
        <v>2200000</v>
      </c>
      <c r="I66" s="235"/>
      <c r="J66" s="422"/>
      <c r="K66" s="422"/>
      <c r="L66" s="422"/>
      <c r="M66" s="422"/>
      <c r="N66" s="422"/>
    </row>
    <row r="67" spans="2:14">
      <c r="B67" s="221" t="s">
        <v>1360</v>
      </c>
      <c r="C67" s="221">
        <v>1</v>
      </c>
      <c r="D67" s="221" t="s">
        <v>1352</v>
      </c>
      <c r="E67" s="222">
        <f>'Categorias de Costos lácteo '!G40</f>
        <v>2743387.5</v>
      </c>
      <c r="F67" s="223"/>
      <c r="G67" s="221"/>
      <c r="H67" s="222">
        <f>+C67*E67</f>
        <v>2743387.5</v>
      </c>
    </row>
    <row r="68" spans="2:14">
      <c r="B68" s="423" t="s">
        <v>1371</v>
      </c>
      <c r="C68" s="241">
        <f>320000/10</f>
        <v>32000</v>
      </c>
      <c r="D68" s="221" t="s">
        <v>1372</v>
      </c>
      <c r="E68" s="222">
        <f>'Categorias de Costos lácteo '!C128</f>
        <v>655000</v>
      </c>
      <c r="F68" s="224">
        <v>0.5</v>
      </c>
      <c r="G68" s="221"/>
      <c r="H68" s="222">
        <f>+C68*E68*F68</f>
        <v>10480000000</v>
      </c>
    </row>
    <row r="69" spans="2:14">
      <c r="B69" s="246" t="s">
        <v>1373</v>
      </c>
      <c r="C69" s="232">
        <v>670</v>
      </c>
      <c r="D69" s="232" t="s">
        <v>1342</v>
      </c>
      <c r="E69" s="233">
        <f>'Categorias de Costos lácteo '!F394</f>
        <v>6000000</v>
      </c>
      <c r="F69" s="248"/>
      <c r="G69" s="232"/>
      <c r="H69" s="233">
        <v>4020000000</v>
      </c>
    </row>
    <row r="70" spans="2:14">
      <c r="B70" s="246" t="s">
        <v>1374</v>
      </c>
      <c r="C70" s="232">
        <v>335</v>
      </c>
      <c r="D70" s="232" t="s">
        <v>1342</v>
      </c>
      <c r="E70" s="233">
        <f>'Categorias de Costos lácteo '!F395</f>
        <v>5000000</v>
      </c>
      <c r="F70" s="248"/>
      <c r="G70" s="232"/>
      <c r="H70" s="233">
        <v>1675000000</v>
      </c>
    </row>
    <row r="71" spans="2:14">
      <c r="B71" s="165" t="s">
        <v>1353</v>
      </c>
      <c r="C71" s="232">
        <v>10</v>
      </c>
      <c r="D71" s="232" t="s">
        <v>1342</v>
      </c>
      <c r="E71" s="233">
        <f>'Categorias de Costos lácteo '!D52</f>
        <v>5464476</v>
      </c>
      <c r="F71" s="248">
        <v>1</v>
      </c>
      <c r="G71" s="232">
        <v>12</v>
      </c>
      <c r="H71" s="233">
        <f>C71*E71*G71*F71</f>
        <v>655737120</v>
      </c>
    </row>
    <row r="72" spans="2:14">
      <c r="B72" s="165" t="s">
        <v>1354</v>
      </c>
      <c r="C72" s="232">
        <v>10</v>
      </c>
      <c r="D72" s="232" t="s">
        <v>1375</v>
      </c>
      <c r="E72" s="233">
        <f>'Categorias de Costos lácteo '!G52+'Categorias de Costos lácteo '!C82*5</f>
        <v>6098191.5</v>
      </c>
      <c r="F72" s="248"/>
      <c r="G72" s="232"/>
      <c r="H72" s="233">
        <f>C72*E72</f>
        <v>60981915</v>
      </c>
    </row>
    <row r="73" spans="2:14">
      <c r="B73" s="165"/>
      <c r="C73" s="232"/>
      <c r="D73" s="232"/>
      <c r="E73" s="233"/>
      <c r="F73" s="248"/>
      <c r="G73" s="232"/>
      <c r="H73" s="233"/>
    </row>
    <row r="74" spans="2:14">
      <c r="B74" s="225" t="s">
        <v>1376</v>
      </c>
      <c r="C74" s="226"/>
      <c r="D74" s="226"/>
      <c r="E74" s="227"/>
      <c r="F74" s="227"/>
      <c r="G74" s="226"/>
      <c r="H74" s="228">
        <f>SUM(H57:H72)-H62-H68</f>
        <v>8994575492.5</v>
      </c>
    </row>
    <row r="75" spans="2:14">
      <c r="B75" s="225" t="s">
        <v>1366</v>
      </c>
      <c r="C75" s="226"/>
      <c r="D75" s="226"/>
      <c r="E75" s="227"/>
      <c r="F75" s="227"/>
      <c r="G75" s="226"/>
      <c r="H75" s="228">
        <f>SUM(H57:H72)</f>
        <v>21424575492.5</v>
      </c>
    </row>
    <row r="76" spans="2:14">
      <c r="B76" s="225" t="s">
        <v>1377</v>
      </c>
      <c r="C76" s="226"/>
      <c r="D76" s="226"/>
      <c r="E76" s="227"/>
      <c r="F76" s="227"/>
      <c r="G76" s="226"/>
      <c r="H76" s="228">
        <f>SUM(H57:H72)-H68</f>
        <v>10944575492.5</v>
      </c>
    </row>
    <row r="78" spans="2:14" ht="199.5" customHeight="1">
      <c r="B78" s="240" t="s">
        <v>1378</v>
      </c>
    </row>
  </sheetData>
  <mergeCells count="3">
    <mergeCell ref="B34:H35"/>
    <mergeCell ref="B55:H55"/>
    <mergeCell ref="B14:H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windowProtection="1" showGridLines="0" topLeftCell="B30" zoomScaleNormal="100" workbookViewId="0">
      <selection activeCell="F42" sqref="F42"/>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6.42578125" bestFit="1" customWidth="1"/>
    <col min="6" max="24" width="23.42578125" customWidth="1"/>
    <col min="25" max="25" width="27.140625" customWidth="1"/>
  </cols>
  <sheetData>
    <row r="2" spans="1:25">
      <c r="A2" s="276" t="s">
        <v>1334</v>
      </c>
    </row>
    <row r="3" spans="1:25" s="205" customFormat="1">
      <c r="A3" s="204"/>
    </row>
    <row r="4" spans="1:25">
      <c r="A4" s="424" t="s">
        <v>1335</v>
      </c>
      <c r="B4" s="424" t="str">
        <f>Portafolio_Cadena_Láctea!C25</f>
        <v>2. Inocuidad de los productos lácteos</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X7" si="0">SUM(D8:D9)</f>
        <v>0</v>
      </c>
      <c r="E7" s="249">
        <f t="shared" si="0"/>
        <v>4680819035</v>
      </c>
      <c r="F7" s="249">
        <f>SUM(F8:F9)</f>
        <v>9736682091</v>
      </c>
      <c r="G7" s="249">
        <f t="shared" si="0"/>
        <v>9736682091</v>
      </c>
      <c r="H7" s="249">
        <f t="shared" si="0"/>
        <v>9736682091</v>
      </c>
      <c r="I7" s="249">
        <f t="shared" si="0"/>
        <v>9736682091</v>
      </c>
      <c r="J7" s="249">
        <f t="shared" si="0"/>
        <v>9736682091</v>
      </c>
      <c r="K7" s="249">
        <f t="shared" si="0"/>
        <v>9736682091</v>
      </c>
      <c r="L7" s="249">
        <f t="shared" si="0"/>
        <v>9736682091</v>
      </c>
      <c r="M7" s="249">
        <f t="shared" si="0"/>
        <v>9736682091</v>
      </c>
      <c r="N7" s="249">
        <f t="shared" si="0"/>
        <v>9736682091</v>
      </c>
      <c r="O7" s="249">
        <f t="shared" si="0"/>
        <v>9736682091</v>
      </c>
      <c r="P7" s="249">
        <f t="shared" si="0"/>
        <v>5055863056</v>
      </c>
      <c r="Q7" s="249">
        <f t="shared" si="0"/>
        <v>5055863056</v>
      </c>
      <c r="R7" s="249">
        <f t="shared" si="0"/>
        <v>5055863056</v>
      </c>
      <c r="S7" s="249">
        <f t="shared" si="0"/>
        <v>5055863056</v>
      </c>
      <c r="T7" s="249">
        <f t="shared" si="0"/>
        <v>5055863056</v>
      </c>
      <c r="U7" s="249">
        <f t="shared" si="0"/>
        <v>5055863056</v>
      </c>
      <c r="V7" s="249">
        <f t="shared" si="0"/>
        <v>5055863056</v>
      </c>
      <c r="W7" s="249">
        <f t="shared" si="0"/>
        <v>5055863056</v>
      </c>
      <c r="X7" s="249">
        <f t="shared" si="0"/>
        <v>5055863056</v>
      </c>
      <c r="Y7" s="249">
        <f>SUM(Y8:Y9)</f>
        <v>147550407449</v>
      </c>
    </row>
    <row r="8" spans="1:25" s="214" customFormat="1" ht="30.6" customHeight="1">
      <c r="A8" s="205"/>
      <c r="B8" s="211" t="str">
        <f>Portafolio_Cadena_Láctea!D25</f>
        <v xml:space="preserve">2.1. Fortalecimiento del sistema oficial de trazabilidad para la cadena láctea. </v>
      </c>
      <c r="C8" s="212" t="s">
        <v>1510</v>
      </c>
      <c r="D8" s="213"/>
      <c r="E8" s="250">
        <f>+H27</f>
        <v>4680819035</v>
      </c>
      <c r="F8" s="213">
        <f>H27</f>
        <v>4680819035</v>
      </c>
      <c r="G8" s="213">
        <f t="shared" ref="G8:X8" si="1">F8</f>
        <v>4680819035</v>
      </c>
      <c r="H8" s="213">
        <f t="shared" si="1"/>
        <v>4680819035</v>
      </c>
      <c r="I8" s="213">
        <f t="shared" si="1"/>
        <v>4680819035</v>
      </c>
      <c r="J8" s="213">
        <f t="shared" si="1"/>
        <v>4680819035</v>
      </c>
      <c r="K8" s="213">
        <f t="shared" si="1"/>
        <v>4680819035</v>
      </c>
      <c r="L8" s="250">
        <f t="shared" si="1"/>
        <v>4680819035</v>
      </c>
      <c r="M8" s="213">
        <f t="shared" si="1"/>
        <v>4680819035</v>
      </c>
      <c r="N8" s="213">
        <f t="shared" si="1"/>
        <v>4680819035</v>
      </c>
      <c r="O8" s="213">
        <f t="shared" si="1"/>
        <v>4680819035</v>
      </c>
      <c r="P8" s="213" t="str">
        <f>+H28</f>
        <v>Por definir</v>
      </c>
      <c r="Q8" s="250" t="str">
        <f t="shared" si="1"/>
        <v>Por definir</v>
      </c>
      <c r="R8" s="213" t="str">
        <f t="shared" si="1"/>
        <v>Por definir</v>
      </c>
      <c r="S8" s="213" t="str">
        <f t="shared" si="1"/>
        <v>Por definir</v>
      </c>
      <c r="T8" s="213" t="str">
        <f t="shared" si="1"/>
        <v>Por definir</v>
      </c>
      <c r="U8" s="213" t="str">
        <f t="shared" si="1"/>
        <v>Por definir</v>
      </c>
      <c r="V8" s="250" t="str">
        <f t="shared" si="1"/>
        <v>Por definir</v>
      </c>
      <c r="W8" s="213" t="str">
        <f t="shared" si="1"/>
        <v>Por definir</v>
      </c>
      <c r="X8" s="213" t="str">
        <f t="shared" si="1"/>
        <v>Por definir</v>
      </c>
      <c r="Y8" s="213">
        <f>SUM(D8:X8)</f>
        <v>51489009385</v>
      </c>
    </row>
    <row r="9" spans="1:25" s="214" customFormat="1" ht="60.95" customHeight="1">
      <c r="A9" s="215"/>
      <c r="B9" s="211" t="str">
        <f>Portafolio_Cadena_Láctea!D33</f>
        <v xml:space="preserve">2.2. Implementación de normas de calidad e inocuidad en la fabricación de productos lácteos 
</v>
      </c>
      <c r="C9" s="212" t="s">
        <v>1379</v>
      </c>
      <c r="D9" s="216"/>
      <c r="E9" s="216"/>
      <c r="F9" s="213">
        <f>H53</f>
        <v>5055863056</v>
      </c>
      <c r="G9" s="250">
        <f>H53</f>
        <v>5055863056</v>
      </c>
      <c r="H9" s="213">
        <f t="shared" ref="H9:X9" si="2">G9</f>
        <v>5055863056</v>
      </c>
      <c r="I9" s="213">
        <f t="shared" si="2"/>
        <v>5055863056</v>
      </c>
      <c r="J9" s="213">
        <f t="shared" si="2"/>
        <v>5055863056</v>
      </c>
      <c r="K9" s="213">
        <f t="shared" si="2"/>
        <v>5055863056</v>
      </c>
      <c r="L9" s="213">
        <f t="shared" si="2"/>
        <v>5055863056</v>
      </c>
      <c r="M9" s="213">
        <f t="shared" si="2"/>
        <v>5055863056</v>
      </c>
      <c r="N9" s="213">
        <f t="shared" si="2"/>
        <v>5055863056</v>
      </c>
      <c r="O9" s="250">
        <f t="shared" si="2"/>
        <v>5055863056</v>
      </c>
      <c r="P9" s="213">
        <f t="shared" si="2"/>
        <v>5055863056</v>
      </c>
      <c r="Q9" s="213">
        <f t="shared" si="2"/>
        <v>5055863056</v>
      </c>
      <c r="R9" s="213">
        <f t="shared" si="2"/>
        <v>5055863056</v>
      </c>
      <c r="S9" s="250">
        <f t="shared" si="2"/>
        <v>5055863056</v>
      </c>
      <c r="T9" s="213">
        <f t="shared" si="2"/>
        <v>5055863056</v>
      </c>
      <c r="U9" s="213">
        <f t="shared" si="2"/>
        <v>5055863056</v>
      </c>
      <c r="V9" s="213">
        <f t="shared" si="2"/>
        <v>5055863056</v>
      </c>
      <c r="W9" s="213">
        <f t="shared" si="2"/>
        <v>5055863056</v>
      </c>
      <c r="X9" s="213">
        <f t="shared" si="2"/>
        <v>5055863056</v>
      </c>
      <c r="Y9" s="213">
        <f>SUM(D9:X9)</f>
        <v>96061398064</v>
      </c>
    </row>
    <row r="10" spans="1:25" s="210" customFormat="1">
      <c r="A10"/>
      <c r="B10" s="209" t="s">
        <v>46</v>
      </c>
      <c r="C10" s="209"/>
      <c r="D10" s="249">
        <f t="shared" ref="D10:X10" si="3">SUM(D8:D9)</f>
        <v>0</v>
      </c>
      <c r="E10" s="249">
        <f t="shared" si="3"/>
        <v>4680819035</v>
      </c>
      <c r="F10" s="249">
        <f t="shared" si="3"/>
        <v>9736682091</v>
      </c>
      <c r="G10" s="249">
        <f t="shared" si="3"/>
        <v>9736682091</v>
      </c>
      <c r="H10" s="249">
        <f t="shared" si="3"/>
        <v>9736682091</v>
      </c>
      <c r="I10" s="249">
        <f t="shared" si="3"/>
        <v>9736682091</v>
      </c>
      <c r="J10" s="249">
        <f t="shared" si="3"/>
        <v>9736682091</v>
      </c>
      <c r="K10" s="249">
        <f t="shared" si="3"/>
        <v>9736682091</v>
      </c>
      <c r="L10" s="249">
        <f t="shared" si="3"/>
        <v>9736682091</v>
      </c>
      <c r="M10" s="249">
        <f t="shared" si="3"/>
        <v>9736682091</v>
      </c>
      <c r="N10" s="249">
        <f t="shared" si="3"/>
        <v>9736682091</v>
      </c>
      <c r="O10" s="249">
        <f t="shared" si="3"/>
        <v>9736682091</v>
      </c>
      <c r="P10" s="249">
        <f t="shared" si="3"/>
        <v>5055863056</v>
      </c>
      <c r="Q10" s="249">
        <f t="shared" si="3"/>
        <v>5055863056</v>
      </c>
      <c r="R10" s="249">
        <f t="shared" si="3"/>
        <v>5055863056</v>
      </c>
      <c r="S10" s="249">
        <f t="shared" si="3"/>
        <v>5055863056</v>
      </c>
      <c r="T10" s="249">
        <f t="shared" si="3"/>
        <v>5055863056</v>
      </c>
      <c r="U10" s="249">
        <f t="shared" si="3"/>
        <v>5055863056</v>
      </c>
      <c r="V10" s="249">
        <f t="shared" si="3"/>
        <v>5055863056</v>
      </c>
      <c r="W10" s="249">
        <f t="shared" si="3"/>
        <v>5055863056</v>
      </c>
      <c r="X10" s="249">
        <f t="shared" si="3"/>
        <v>5055863056</v>
      </c>
      <c r="Y10" s="249">
        <f>SUM(Y8:Y9)</f>
        <v>147550407449</v>
      </c>
    </row>
    <row r="13" spans="1:25" s="205" customFormat="1" ht="14.45" customHeight="1">
      <c r="B13" s="686" t="str">
        <f>B8</f>
        <v xml:space="preserve">2.1. Fortalecimiento del sistema oficial de trazabilidad para la cadena láctea. </v>
      </c>
      <c r="C13" s="687"/>
      <c r="D13" s="687"/>
      <c r="E13" s="687"/>
      <c r="F13" s="687"/>
      <c r="G13" s="687"/>
      <c r="H13" s="687"/>
      <c r="W13" s="217"/>
    </row>
    <row r="14" spans="1:25">
      <c r="B14" s="218" t="s">
        <v>1338</v>
      </c>
      <c r="C14" s="218" t="s">
        <v>522</v>
      </c>
      <c r="D14" s="218" t="s">
        <v>263</v>
      </c>
      <c r="E14" s="218" t="s">
        <v>262</v>
      </c>
      <c r="F14" s="219" t="s">
        <v>1339</v>
      </c>
      <c r="G14" s="218" t="s">
        <v>711</v>
      </c>
      <c r="H14" s="218" t="s">
        <v>1340</v>
      </c>
      <c r="I14" s="497"/>
      <c r="X14" s="220"/>
    </row>
    <row r="15" spans="1:25" ht="14.45" customHeight="1">
      <c r="B15" s="221" t="s">
        <v>1341</v>
      </c>
      <c r="C15" s="221">
        <v>12</v>
      </c>
      <c r="D15" s="221" t="s">
        <v>1342</v>
      </c>
      <c r="E15" s="222">
        <f>'Categorias de Costos lácteo '!C125</f>
        <v>1000000</v>
      </c>
      <c r="F15" s="224"/>
      <c r="G15" s="221"/>
      <c r="H15" s="222">
        <f t="shared" ref="H15:H16" si="4">+C15*E15</f>
        <v>12000000</v>
      </c>
      <c r="I15" s="689"/>
    </row>
    <row r="16" spans="1:25" ht="14.45" customHeight="1">
      <c r="B16" s="221" t="s">
        <v>1343</v>
      </c>
      <c r="C16" s="221">
        <v>12</v>
      </c>
      <c r="D16" s="221" t="s">
        <v>1342</v>
      </c>
      <c r="E16" s="222">
        <f>'Categorias de Costos lácteo '!C133</f>
        <v>100000</v>
      </c>
      <c r="F16" s="224"/>
      <c r="G16" s="221"/>
      <c r="H16" s="222">
        <f t="shared" si="4"/>
        <v>1200000</v>
      </c>
      <c r="I16" s="689"/>
    </row>
    <row r="17" spans="2:23" ht="14.45" customHeight="1">
      <c r="B17" s="499" t="s">
        <v>1344</v>
      </c>
      <c r="C17" s="499">
        <v>4</v>
      </c>
      <c r="D17" s="499" t="s">
        <v>1342</v>
      </c>
      <c r="E17" s="500">
        <v>5000000</v>
      </c>
      <c r="F17" s="501"/>
      <c r="G17" s="499"/>
      <c r="H17" s="500">
        <f t="shared" ref="H17:H23" si="5">+C17*E17</f>
        <v>20000000</v>
      </c>
      <c r="I17" s="689"/>
    </row>
    <row r="18" spans="2:23">
      <c r="B18" s="499" t="s">
        <v>1345</v>
      </c>
      <c r="C18" s="499">
        <v>10</v>
      </c>
      <c r="D18" s="499" t="s">
        <v>1342</v>
      </c>
      <c r="E18" s="500">
        <v>5700000</v>
      </c>
      <c r="F18" s="500"/>
      <c r="G18" s="499"/>
      <c r="H18" s="500">
        <f t="shared" si="5"/>
        <v>57000000</v>
      </c>
      <c r="I18" s="689"/>
    </row>
    <row r="19" spans="2:23">
      <c r="B19" s="499" t="s">
        <v>1346</v>
      </c>
      <c r="C19" s="499">
        <v>20</v>
      </c>
      <c r="D19" s="499" t="s">
        <v>1342</v>
      </c>
      <c r="E19" s="500">
        <f>'Categorias de Costos lácteo '!C134</f>
        <v>570000</v>
      </c>
      <c r="F19" s="500"/>
      <c r="G19" s="499"/>
      <c r="H19" s="500">
        <f t="shared" si="5"/>
        <v>11400000</v>
      </c>
      <c r="I19" s="689"/>
    </row>
    <row r="20" spans="2:23">
      <c r="B20" s="502" t="s">
        <v>1347</v>
      </c>
      <c r="C20" s="499">
        <v>1</v>
      </c>
      <c r="D20" s="499" t="s">
        <v>1342</v>
      </c>
      <c r="E20" s="500">
        <f>'Categorias de Costos lácteo '!C216</f>
        <v>87500000</v>
      </c>
      <c r="F20" s="501"/>
      <c r="G20" s="499"/>
      <c r="H20" s="500">
        <f t="shared" si="5"/>
        <v>87500000</v>
      </c>
      <c r="I20" s="689"/>
    </row>
    <row r="21" spans="2:23">
      <c r="B21" s="502" t="s">
        <v>1348</v>
      </c>
      <c r="C21" s="499">
        <v>1</v>
      </c>
      <c r="D21" s="499" t="s">
        <v>1342</v>
      </c>
      <c r="E21" s="500">
        <v>50000000</v>
      </c>
      <c r="F21" s="501"/>
      <c r="G21" s="499"/>
      <c r="H21" s="500">
        <f t="shared" si="5"/>
        <v>50000000</v>
      </c>
      <c r="I21" s="689"/>
    </row>
    <row r="22" spans="2:23">
      <c r="B22" s="502" t="s">
        <v>1684</v>
      </c>
      <c r="C22" s="499">
        <v>1</v>
      </c>
      <c r="D22" s="499" t="s">
        <v>1342</v>
      </c>
      <c r="E22" s="500">
        <v>3750000000</v>
      </c>
      <c r="F22" s="503"/>
      <c r="G22" s="500"/>
      <c r="H22" s="500">
        <f t="shared" si="5"/>
        <v>3750000000</v>
      </c>
      <c r="I22" s="689"/>
    </row>
    <row r="23" spans="2:23">
      <c r="B23" s="165" t="s">
        <v>1380</v>
      </c>
      <c r="C23" s="221">
        <f>10*10</f>
        <v>100</v>
      </c>
      <c r="D23" s="221" t="s">
        <v>1381</v>
      </c>
      <c r="E23" s="222">
        <f>'Categorias de Costos lácteo '!D280</f>
        <v>150000</v>
      </c>
      <c r="F23" s="251"/>
      <c r="G23" s="222"/>
      <c r="H23" s="222">
        <f t="shared" si="5"/>
        <v>15000000</v>
      </c>
      <c r="I23" s="689"/>
    </row>
    <row r="24" spans="2:23">
      <c r="B24" s="165" t="s">
        <v>1353</v>
      </c>
      <c r="C24" s="221">
        <v>10</v>
      </c>
      <c r="D24" s="221" t="s">
        <v>1342</v>
      </c>
      <c r="E24" s="222">
        <f>'Categorias de Costos lácteo '!D52</f>
        <v>5464476</v>
      </c>
      <c r="F24" s="237">
        <v>1</v>
      </c>
      <c r="G24" s="221">
        <v>12</v>
      </c>
      <c r="H24" s="222">
        <f>C24*E24*G24*F24</f>
        <v>655737120</v>
      </c>
      <c r="I24" s="689"/>
    </row>
    <row r="25" spans="2:23">
      <c r="B25" s="165" t="s">
        <v>1354</v>
      </c>
      <c r="C25" s="221">
        <v>10</v>
      </c>
      <c r="D25" s="221" t="s">
        <v>1352</v>
      </c>
      <c r="E25" s="222">
        <f>'Categorias de Costos lácteo '!G52+'Categorias de Costos lácteo '!C82</f>
        <v>2098191.5</v>
      </c>
      <c r="F25" s="237"/>
      <c r="G25" s="221"/>
      <c r="H25" s="222">
        <f>C25*E25</f>
        <v>20981915</v>
      </c>
      <c r="I25" s="689"/>
    </row>
    <row r="26" spans="2:23">
      <c r="B26" s="165" t="s">
        <v>1382</v>
      </c>
      <c r="C26" s="221"/>
      <c r="D26" s="221"/>
      <c r="E26" s="222"/>
      <c r="F26" s="251"/>
      <c r="G26" s="222"/>
      <c r="H26" s="213" t="s">
        <v>1331</v>
      </c>
      <c r="I26" s="689"/>
    </row>
    <row r="27" spans="2:23">
      <c r="B27" s="225" t="s">
        <v>1711</v>
      </c>
      <c r="C27" s="226"/>
      <c r="D27" s="226"/>
      <c r="E27" s="227"/>
      <c r="F27" s="227"/>
      <c r="G27" s="226"/>
      <c r="H27" s="498">
        <f>SUM(H15:H26)</f>
        <v>4680819035</v>
      </c>
      <c r="I27" s="288"/>
    </row>
    <row r="28" spans="2:23">
      <c r="B28" s="493" t="s">
        <v>1686</v>
      </c>
      <c r="C28" s="494"/>
      <c r="D28" s="494"/>
      <c r="E28" s="495"/>
      <c r="F28" s="495"/>
      <c r="G28" s="494"/>
      <c r="H28" s="496" t="s">
        <v>1331</v>
      </c>
      <c r="I28" s="288"/>
    </row>
    <row r="29" spans="2:23" s="205" customFormat="1" ht="150">
      <c r="B29" s="504" t="s">
        <v>1685</v>
      </c>
      <c r="E29" s="217"/>
      <c r="F29" s="217"/>
      <c r="H29" s="217"/>
      <c r="I29"/>
    </row>
    <row r="30" spans="2:23">
      <c r="H30" s="230"/>
    </row>
    <row r="31" spans="2:23">
      <c r="H31" s="231"/>
    </row>
    <row r="32" spans="2:23" s="205" customFormat="1" ht="14.45" customHeight="1">
      <c r="B32" s="686" t="str">
        <f>B9</f>
        <v xml:space="preserve">2.2. Implementación de normas de calidad e inocuidad en la fabricación de productos lácteos 
</v>
      </c>
      <c r="C32" s="687"/>
      <c r="D32" s="687"/>
      <c r="E32" s="687"/>
      <c r="F32" s="687"/>
      <c r="G32" s="687"/>
      <c r="H32" s="687"/>
      <c r="W32" s="217"/>
    </row>
    <row r="33" spans="2:24" s="205" customFormat="1" ht="14.45" customHeight="1">
      <c r="B33" s="688"/>
      <c r="C33" s="688"/>
      <c r="D33" s="688"/>
      <c r="E33" s="688"/>
      <c r="F33" s="688"/>
      <c r="G33" s="688"/>
      <c r="H33" s="688"/>
      <c r="W33" s="217"/>
    </row>
    <row r="34" spans="2:24">
      <c r="B34" s="218" t="s">
        <v>1338</v>
      </c>
      <c r="C34" s="218" t="s">
        <v>522</v>
      </c>
      <c r="D34" s="218" t="s">
        <v>263</v>
      </c>
      <c r="E34" s="218" t="s">
        <v>262</v>
      </c>
      <c r="F34" s="219" t="s">
        <v>1339</v>
      </c>
      <c r="G34" s="218" t="s">
        <v>711</v>
      </c>
      <c r="H34" s="218" t="s">
        <v>1340</v>
      </c>
      <c r="X34" s="220"/>
    </row>
    <row r="35" spans="2:24" ht="14.45" customHeight="1">
      <c r="B35" s="221" t="s">
        <v>1359</v>
      </c>
      <c r="C35" s="221">
        <v>12</v>
      </c>
      <c r="D35" s="221" t="s">
        <v>1342</v>
      </c>
      <c r="E35" s="222">
        <f>'Categorias de Costos lácteo '!C125</f>
        <v>1000000</v>
      </c>
      <c r="F35" s="224"/>
      <c r="G35" s="221"/>
      <c r="H35" s="222">
        <f t="shared" ref="H35:H36" si="6">+C35*E35</f>
        <v>12000000</v>
      </c>
    </row>
    <row r="36" spans="2:24" ht="14.45" customHeight="1">
      <c r="B36" s="221" t="s">
        <v>1343</v>
      </c>
      <c r="C36" s="221">
        <v>12</v>
      </c>
      <c r="D36" s="221" t="s">
        <v>1342</v>
      </c>
      <c r="E36" s="222">
        <f>'Categorias de Costos lácteo '!C133</f>
        <v>100000</v>
      </c>
      <c r="F36" s="224"/>
      <c r="G36" s="221"/>
      <c r="H36" s="222">
        <f t="shared" si="6"/>
        <v>1200000</v>
      </c>
    </row>
    <row r="37" spans="2:24" ht="14.45" customHeight="1">
      <c r="B37" s="221" t="s">
        <v>1344</v>
      </c>
      <c r="C37" s="221">
        <v>4</v>
      </c>
      <c r="D37" s="221" t="s">
        <v>1342</v>
      </c>
      <c r="E37" s="222">
        <f>'Categorias de Costos lácteo '!C123</f>
        <v>5000000</v>
      </c>
      <c r="F37" s="224"/>
      <c r="G37" s="221"/>
      <c r="H37" s="222">
        <f t="shared" ref="H37:H41" si="7">+C37*E37</f>
        <v>20000000</v>
      </c>
    </row>
    <row r="38" spans="2:24">
      <c r="B38" s="221" t="s">
        <v>1345</v>
      </c>
      <c r="C38" s="221">
        <v>30</v>
      </c>
      <c r="D38" s="221" t="s">
        <v>1342</v>
      </c>
      <c r="E38" s="222">
        <f>'Categorias de Costos lácteo '!C124</f>
        <v>5700000</v>
      </c>
      <c r="F38" s="222"/>
      <c r="G38" s="221"/>
      <c r="H38" s="222">
        <f t="shared" si="7"/>
        <v>171000000</v>
      </c>
    </row>
    <row r="39" spans="2:24">
      <c r="B39" s="221" t="s">
        <v>1346</v>
      </c>
      <c r="C39" s="221">
        <v>30</v>
      </c>
      <c r="D39" s="221" t="s">
        <v>1342</v>
      </c>
      <c r="E39" s="222">
        <f>'Categorias de Costos lácteo '!C134</f>
        <v>570000</v>
      </c>
      <c r="F39" s="222"/>
      <c r="G39" s="221"/>
      <c r="H39" s="222">
        <f t="shared" si="7"/>
        <v>17100000</v>
      </c>
    </row>
    <row r="40" spans="2:24">
      <c r="B40" s="165" t="s">
        <v>1361</v>
      </c>
      <c r="C40" s="221">
        <v>30</v>
      </c>
      <c r="D40" s="221" t="s">
        <v>1342</v>
      </c>
      <c r="E40" s="222">
        <f>'Categorias de Costos lácteo '!C220</f>
        <v>21000000</v>
      </c>
      <c r="F40" s="237"/>
      <c r="G40" s="221"/>
      <c r="H40" s="222">
        <f t="shared" si="7"/>
        <v>630000000</v>
      </c>
    </row>
    <row r="41" spans="2:24">
      <c r="B41" s="165" t="s">
        <v>1348</v>
      </c>
      <c r="C41" s="221">
        <v>30</v>
      </c>
      <c r="D41" s="221" t="s">
        <v>1342</v>
      </c>
      <c r="E41" s="222">
        <v>10000000</v>
      </c>
      <c r="F41" s="237"/>
      <c r="G41" s="221"/>
      <c r="H41" s="222">
        <f t="shared" si="7"/>
        <v>300000000</v>
      </c>
    </row>
    <row r="42" spans="2:24" ht="30">
      <c r="B42" s="247" t="s">
        <v>1383</v>
      </c>
      <c r="C42" s="221">
        <v>30</v>
      </c>
      <c r="D42" s="221" t="s">
        <v>1342</v>
      </c>
      <c r="E42" s="222">
        <f>'Categorias de Costos lácteo '!D304</f>
        <v>1800000</v>
      </c>
      <c r="F42" s="237">
        <v>0.5</v>
      </c>
      <c r="G42" s="221"/>
      <c r="H42" s="222">
        <f>C42*E42*F42</f>
        <v>27000000</v>
      </c>
    </row>
    <row r="43" spans="2:24">
      <c r="B43" s="247" t="s">
        <v>1384</v>
      </c>
      <c r="C43" s="221">
        <v>1</v>
      </c>
      <c r="D43" s="221" t="s">
        <v>1342</v>
      </c>
      <c r="E43" s="222">
        <f>'Categorias de Costos lácteo '!D349</f>
        <v>170400000</v>
      </c>
      <c r="F43" s="237">
        <v>0.2</v>
      </c>
      <c r="G43" s="221"/>
      <c r="H43" s="222">
        <f>C43*E43*F43</f>
        <v>34080000</v>
      </c>
    </row>
    <row r="44" spans="2:24">
      <c r="B44" s="247" t="s">
        <v>1385</v>
      </c>
      <c r="C44" s="221">
        <v>25</v>
      </c>
      <c r="D44" s="221" t="s">
        <v>1342</v>
      </c>
      <c r="E44" s="222">
        <f>'Categorias de Costos lácteo '!F401</f>
        <v>171105080.80000001</v>
      </c>
      <c r="F44" s="237">
        <v>0.2</v>
      </c>
      <c r="G44" s="221"/>
      <c r="H44" s="222">
        <f t="shared" ref="H44:H46" si="8">C44*E44*F44</f>
        <v>855525404.00000012</v>
      </c>
    </row>
    <row r="45" spans="2:24">
      <c r="B45" s="247" t="s">
        <v>1386</v>
      </c>
      <c r="C45" s="221">
        <v>15</v>
      </c>
      <c r="D45" s="221" t="s">
        <v>1342</v>
      </c>
      <c r="E45" s="222">
        <f>'Categorias de Costos lácteo '!F402</f>
        <v>744295846</v>
      </c>
      <c r="F45" s="237">
        <v>0.1</v>
      </c>
      <c r="G45" s="221"/>
      <c r="H45" s="222">
        <f>C45*E45*F45</f>
        <v>1116443769</v>
      </c>
    </row>
    <row r="46" spans="2:24">
      <c r="B46" s="423" t="s">
        <v>1387</v>
      </c>
      <c r="C46" s="221">
        <v>50</v>
      </c>
      <c r="D46" s="221" t="s">
        <v>1342</v>
      </c>
      <c r="E46" s="222">
        <f>'Categorias de Costos lácteo '!C270</f>
        <v>7300000</v>
      </c>
      <c r="F46" s="237">
        <v>0.5</v>
      </c>
      <c r="G46" s="221"/>
      <c r="H46" s="222">
        <f t="shared" si="8"/>
        <v>182500000</v>
      </c>
    </row>
    <row r="47" spans="2:24">
      <c r="B47" s="423" t="s">
        <v>1388</v>
      </c>
      <c r="C47" s="221">
        <v>10</v>
      </c>
      <c r="D47" s="221" t="s">
        <v>1342</v>
      </c>
      <c r="E47" s="222">
        <f>'Categorias de Costos lácteo '!C227</f>
        <v>40000000</v>
      </c>
      <c r="F47" s="237"/>
      <c r="G47" s="221"/>
      <c r="H47" s="222">
        <f>C47*E47</f>
        <v>400000000</v>
      </c>
    </row>
    <row r="48" spans="2:24">
      <c r="B48" s="247" t="s">
        <v>1389</v>
      </c>
      <c r="C48" s="221">
        <v>10</v>
      </c>
      <c r="D48" s="221" t="s">
        <v>1342</v>
      </c>
      <c r="E48" s="222">
        <f>'Categorias de Costos lácteo '!C228</f>
        <v>21000000</v>
      </c>
      <c r="F48" s="221"/>
      <c r="G48" s="221"/>
      <c r="H48" s="222">
        <f>C48*E48</f>
        <v>210000000</v>
      </c>
    </row>
    <row r="49" spans="2:9">
      <c r="B49" s="247" t="s">
        <v>1390</v>
      </c>
      <c r="C49" s="221">
        <f>5*10</f>
        <v>50</v>
      </c>
      <c r="D49" s="221" t="s">
        <v>1342</v>
      </c>
      <c r="E49" s="222">
        <f>'Categorias de Costos lácteo '!D277</f>
        <v>3000000</v>
      </c>
      <c r="F49" s="221"/>
      <c r="G49" s="221"/>
      <c r="H49" s="222">
        <f>C49*E49</f>
        <v>150000000</v>
      </c>
    </row>
    <row r="50" spans="2:9">
      <c r="B50" s="247" t="s">
        <v>1353</v>
      </c>
      <c r="C50" s="221">
        <v>14</v>
      </c>
      <c r="D50" s="221" t="s">
        <v>1342</v>
      </c>
      <c r="E50" s="222">
        <f>'Categorias de Costos lácteo '!D52</f>
        <v>5464476</v>
      </c>
      <c r="F50" s="237">
        <v>1</v>
      </c>
      <c r="G50" s="221">
        <v>12</v>
      </c>
      <c r="H50" s="222">
        <f>C50*E50*G50*F50</f>
        <v>918031968</v>
      </c>
    </row>
    <row r="51" spans="2:9">
      <c r="B51" s="165" t="s">
        <v>1354</v>
      </c>
      <c r="C51" s="221">
        <v>10</v>
      </c>
      <c r="D51" s="221" t="s">
        <v>1391</v>
      </c>
      <c r="E51" s="222">
        <f>'Categorias de Costos lácteo '!G52</f>
        <v>1098191.5</v>
      </c>
      <c r="F51" s="237"/>
      <c r="G51" s="221"/>
      <c r="H51" s="222">
        <f>C51*E51</f>
        <v>10981915</v>
      </c>
    </row>
    <row r="52" spans="2:9">
      <c r="B52" s="247" t="s">
        <v>1392</v>
      </c>
      <c r="C52" s="221"/>
      <c r="D52" s="221"/>
      <c r="E52" s="222"/>
      <c r="F52" s="221"/>
      <c r="G52" s="221"/>
      <c r="H52" s="213" t="s">
        <v>1331</v>
      </c>
    </row>
    <row r="53" spans="2:9">
      <c r="B53" s="225" t="s">
        <v>1393</v>
      </c>
      <c r="C53" s="226"/>
      <c r="D53" s="226"/>
      <c r="E53" s="227"/>
      <c r="F53" s="227"/>
      <c r="G53" s="226"/>
      <c r="H53" s="228">
        <f>SUM(H35:H51)</f>
        <v>5055863056</v>
      </c>
    </row>
    <row r="54" spans="2:9" s="205" customFormat="1" ht="255">
      <c r="B54" s="240" t="s">
        <v>1394</v>
      </c>
      <c r="E54" s="217"/>
      <c r="F54" s="217"/>
      <c r="I54"/>
    </row>
    <row r="55" spans="2:9" s="205" customFormat="1">
      <c r="B55" s="240"/>
      <c r="E55" s="217"/>
      <c r="F55" s="217"/>
      <c r="I55"/>
    </row>
  </sheetData>
  <mergeCells count="3">
    <mergeCell ref="B13:H13"/>
    <mergeCell ref="B32:H33"/>
    <mergeCell ref="I15:I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8"/>
  <sheetViews>
    <sheetView windowProtection="1" showGridLines="0" zoomScale="60" zoomScaleNormal="60" zoomScaleSheetLayoutView="100" workbookViewId="0">
      <selection activeCell="J38" sqref="J38"/>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7" width="23.42578125" customWidth="1"/>
    <col min="8" max="8" width="29.85546875" customWidth="1"/>
    <col min="9" max="25" width="23.42578125" customWidth="1"/>
  </cols>
  <sheetData>
    <row r="2" spans="1:25">
      <c r="A2" s="276" t="s">
        <v>1334</v>
      </c>
    </row>
    <row r="3" spans="1:25" s="205" customFormat="1">
      <c r="A3" s="204"/>
    </row>
    <row r="4" spans="1:25">
      <c r="A4" s="424" t="s">
        <v>1335</v>
      </c>
      <c r="B4" s="424" t="str">
        <f>Portafolio_Cadena_Láctea!C39</f>
        <v>3. Investigación, Desarrollo e Innovación para la cadena láctea</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Y7" si="0">SUM(D8:D8)</f>
        <v>0</v>
      </c>
      <c r="E7" s="249">
        <f t="shared" si="0"/>
        <v>0</v>
      </c>
      <c r="F7" s="249">
        <f t="shared" si="0"/>
        <v>0</v>
      </c>
      <c r="G7" s="249">
        <f t="shared" si="0"/>
        <v>1294344232</v>
      </c>
      <c r="H7" s="249">
        <f t="shared" si="0"/>
        <v>1294344232</v>
      </c>
      <c r="I7" s="249">
        <f t="shared" si="0"/>
        <v>1294344232</v>
      </c>
      <c r="J7" s="249">
        <f t="shared" si="0"/>
        <v>1294344232</v>
      </c>
      <c r="K7" s="249">
        <f t="shared" si="0"/>
        <v>0</v>
      </c>
      <c r="L7" s="249">
        <f t="shared" si="0"/>
        <v>0</v>
      </c>
      <c r="M7" s="249">
        <f t="shared" si="0"/>
        <v>0</v>
      </c>
      <c r="N7" s="249">
        <f t="shared" si="0"/>
        <v>0</v>
      </c>
      <c r="O7" s="249">
        <f t="shared" si="0"/>
        <v>0</v>
      </c>
      <c r="P7" s="249">
        <f t="shared" si="0"/>
        <v>0</v>
      </c>
      <c r="Q7" s="249">
        <f t="shared" si="0"/>
        <v>0</v>
      </c>
      <c r="R7" s="249">
        <f t="shared" si="0"/>
        <v>0</v>
      </c>
      <c r="S7" s="249">
        <f t="shared" si="0"/>
        <v>0</v>
      </c>
      <c r="T7" s="249">
        <f t="shared" si="0"/>
        <v>0</v>
      </c>
      <c r="U7" s="249">
        <f t="shared" si="0"/>
        <v>0</v>
      </c>
      <c r="V7" s="249">
        <f t="shared" si="0"/>
        <v>0</v>
      </c>
      <c r="W7" s="249">
        <f t="shared" si="0"/>
        <v>0</v>
      </c>
      <c r="X7" s="249">
        <f t="shared" si="0"/>
        <v>0</v>
      </c>
      <c r="Y7" s="249">
        <f t="shared" si="0"/>
        <v>5177376928</v>
      </c>
    </row>
    <row r="8" spans="1:25" s="214" customFormat="1" ht="105">
      <c r="A8" s="205"/>
      <c r="B8" s="425" t="str">
        <f>Portafolio_Cadena_Láctea!D39</f>
        <v xml:space="preserve">
3.1. Desarrollo del modelo de I+D+i para la cadena láctea, con énfasis en las temáticas priorizadas por el sector. (pastos y forrajes, mejoramiento genético, lácteos diferenciados, aspectos ambientales, sanidad e inocuidad, entre otros)</v>
      </c>
      <c r="C8" s="212" t="s">
        <v>1395</v>
      </c>
      <c r="D8" s="213"/>
      <c r="E8" s="250"/>
      <c r="F8" s="213"/>
      <c r="G8" s="213">
        <f>+H25</f>
        <v>1294344232</v>
      </c>
      <c r="H8" s="213">
        <f>H25</f>
        <v>1294344232</v>
      </c>
      <c r="I8" s="213">
        <f t="shared" ref="I8" si="1">H8</f>
        <v>1294344232</v>
      </c>
      <c r="J8" s="213">
        <f>I8</f>
        <v>1294344232</v>
      </c>
      <c r="K8" s="213" t="s">
        <v>1331</v>
      </c>
      <c r="L8" s="213" t="s">
        <v>1331</v>
      </c>
      <c r="M8" s="213" t="s">
        <v>1331</v>
      </c>
      <c r="N8" s="213" t="s">
        <v>1331</v>
      </c>
      <c r="O8" s="213" t="s">
        <v>1331</v>
      </c>
      <c r="P8" s="213" t="s">
        <v>1331</v>
      </c>
      <c r="Q8" s="213" t="s">
        <v>1331</v>
      </c>
      <c r="R8" s="213" t="s">
        <v>1331</v>
      </c>
      <c r="S8" s="213" t="s">
        <v>1331</v>
      </c>
      <c r="T8" s="213" t="s">
        <v>1331</v>
      </c>
      <c r="U8" s="213" t="s">
        <v>1331</v>
      </c>
      <c r="V8" s="213" t="s">
        <v>1331</v>
      </c>
      <c r="W8" s="213" t="s">
        <v>1331</v>
      </c>
      <c r="X8" s="213" t="s">
        <v>1331</v>
      </c>
      <c r="Y8" s="213">
        <f>SUM(D8:X8)</f>
        <v>5177376928</v>
      </c>
    </row>
    <row r="9" spans="1:25" s="210" customFormat="1">
      <c r="A9"/>
      <c r="B9" s="209" t="s">
        <v>46</v>
      </c>
      <c r="C9" s="209"/>
      <c r="D9" s="249">
        <f t="shared" ref="D9:X9" si="2">SUM(D8:D8)</f>
        <v>0</v>
      </c>
      <c r="E9" s="249">
        <f t="shared" si="2"/>
        <v>0</v>
      </c>
      <c r="F9" s="249">
        <f t="shared" si="2"/>
        <v>0</v>
      </c>
      <c r="G9" s="249">
        <f t="shared" si="2"/>
        <v>1294344232</v>
      </c>
      <c r="H9" s="249">
        <f t="shared" si="2"/>
        <v>1294344232</v>
      </c>
      <c r="I9" s="249">
        <f t="shared" si="2"/>
        <v>1294344232</v>
      </c>
      <c r="J9" s="249">
        <f t="shared" si="2"/>
        <v>1294344232</v>
      </c>
      <c r="K9" s="249">
        <f t="shared" si="2"/>
        <v>0</v>
      </c>
      <c r="L9" s="249">
        <f t="shared" si="2"/>
        <v>0</v>
      </c>
      <c r="M9" s="249">
        <f t="shared" si="2"/>
        <v>0</v>
      </c>
      <c r="N9" s="249">
        <f t="shared" si="2"/>
        <v>0</v>
      </c>
      <c r="O9" s="249">
        <f t="shared" si="2"/>
        <v>0</v>
      </c>
      <c r="P9" s="249">
        <f t="shared" si="2"/>
        <v>0</v>
      </c>
      <c r="Q9" s="249">
        <f t="shared" si="2"/>
        <v>0</v>
      </c>
      <c r="R9" s="249">
        <f t="shared" si="2"/>
        <v>0</v>
      </c>
      <c r="S9" s="249">
        <f t="shared" si="2"/>
        <v>0</v>
      </c>
      <c r="T9" s="249">
        <f t="shared" si="2"/>
        <v>0</v>
      </c>
      <c r="U9" s="249">
        <f t="shared" si="2"/>
        <v>0</v>
      </c>
      <c r="V9" s="249">
        <f t="shared" si="2"/>
        <v>0</v>
      </c>
      <c r="W9" s="249">
        <f t="shared" si="2"/>
        <v>0</v>
      </c>
      <c r="X9" s="249">
        <f t="shared" si="2"/>
        <v>0</v>
      </c>
      <c r="Y9" s="249">
        <f>SUM(Y8:Y8)</f>
        <v>5177376928</v>
      </c>
    </row>
    <row r="12" spans="1:25" ht="63" customHeight="1">
      <c r="B12" s="686" t="str">
        <f>B8</f>
        <v xml:space="preserve">
3.1. Desarrollo del modelo de I+D+i para la cadena láctea, con énfasis en las temáticas priorizadas por el sector. (pastos y forrajes, mejoramiento genético, lácteos diferenciados, aspectos ambientales, sanidad e inocuidad, entre otros)</v>
      </c>
      <c r="C12" s="687"/>
      <c r="D12" s="687"/>
      <c r="E12" s="687"/>
      <c r="F12" s="687"/>
      <c r="G12" s="687"/>
      <c r="H12" s="687"/>
    </row>
    <row r="13" spans="1:25">
      <c r="B13" s="218" t="s">
        <v>1338</v>
      </c>
      <c r="C13" s="218" t="s">
        <v>522</v>
      </c>
      <c r="D13" s="218" t="s">
        <v>263</v>
      </c>
      <c r="E13" s="218" t="s">
        <v>262</v>
      </c>
      <c r="F13" s="219" t="s">
        <v>1339</v>
      </c>
      <c r="G13" s="218" t="s">
        <v>711</v>
      </c>
      <c r="H13" s="218" t="s">
        <v>1340</v>
      </c>
      <c r="X13" s="220"/>
    </row>
    <row r="14" spans="1:25" ht="14.45" customHeight="1">
      <c r="B14" s="221" t="s">
        <v>1341</v>
      </c>
      <c r="C14" s="221">
        <v>30</v>
      </c>
      <c r="D14" s="221" t="s">
        <v>1342</v>
      </c>
      <c r="E14" s="222">
        <f>'Categorias de Costos lácteo '!C125</f>
        <v>1000000</v>
      </c>
      <c r="F14" s="224"/>
      <c r="G14" s="221"/>
      <c r="H14" s="222">
        <f>+C14*E14</f>
        <v>30000000</v>
      </c>
    </row>
    <row r="15" spans="1:25" ht="14.45" customHeight="1">
      <c r="B15" s="221" t="s">
        <v>1343</v>
      </c>
      <c r="C15" s="221">
        <v>30</v>
      </c>
      <c r="D15" s="221" t="s">
        <v>1342</v>
      </c>
      <c r="E15" s="222">
        <f>'Categorias de Costos lácteo '!C133</f>
        <v>100000</v>
      </c>
      <c r="F15" s="224"/>
      <c r="G15" s="221"/>
      <c r="H15" s="222">
        <f>+C15*E15</f>
        <v>3000000</v>
      </c>
    </row>
    <row r="16" spans="1:25" ht="14.45" customHeight="1">
      <c r="B16" s="221" t="s">
        <v>1344</v>
      </c>
      <c r="C16" s="221">
        <v>4</v>
      </c>
      <c r="D16" s="221" t="s">
        <v>1342</v>
      </c>
      <c r="E16" s="222">
        <v>5000000</v>
      </c>
      <c r="F16" s="224"/>
      <c r="G16" s="221"/>
      <c r="H16" s="222">
        <f>+C16*E16</f>
        <v>20000000</v>
      </c>
    </row>
    <row r="17" spans="2:14">
      <c r="B17" s="221" t="s">
        <v>1345</v>
      </c>
      <c r="C17" s="221">
        <v>10</v>
      </c>
      <c r="D17" s="221" t="s">
        <v>1342</v>
      </c>
      <c r="E17" s="222">
        <f>+'Categorias de Costos lácteo '!C124</f>
        <v>5700000</v>
      </c>
      <c r="F17" s="222"/>
      <c r="G17" s="221"/>
      <c r="H17" s="222">
        <f>+C17*E17</f>
        <v>57000000</v>
      </c>
    </row>
    <row r="18" spans="2:14">
      <c r="B18" s="221" t="s">
        <v>1346</v>
      </c>
      <c r="C18" s="221">
        <v>10</v>
      </c>
      <c r="D18" s="221" t="s">
        <v>1342</v>
      </c>
      <c r="E18" s="222">
        <f>'Categorias de Costos lácteo '!C126</f>
        <v>2882335</v>
      </c>
      <c r="F18" s="222"/>
      <c r="G18" s="221"/>
      <c r="H18" s="222">
        <f>+C18*E18</f>
        <v>28823350</v>
      </c>
    </row>
    <row r="19" spans="2:14">
      <c r="B19" s="165" t="s">
        <v>1396</v>
      </c>
      <c r="C19" s="221">
        <v>4</v>
      </c>
      <c r="D19" s="221" t="s">
        <v>1342</v>
      </c>
      <c r="E19" s="222">
        <f>'Categorias de Costos lácteo '!D49</f>
        <v>7589549</v>
      </c>
      <c r="F19" s="237"/>
      <c r="G19" s="221">
        <v>12</v>
      </c>
      <c r="H19" s="222">
        <f>C19*E19*G19</f>
        <v>364298352</v>
      </c>
    </row>
    <row r="20" spans="2:14">
      <c r="B20" s="221" t="s">
        <v>1354</v>
      </c>
      <c r="C20" s="221">
        <v>5</v>
      </c>
      <c r="D20" s="222" t="s">
        <v>1350</v>
      </c>
      <c r="E20" s="222">
        <f>'Categorias de Costos lácteo '!C82+('Categorias de Costos lácteo '!G49*4)</f>
        <v>6925850</v>
      </c>
      <c r="F20" s="222"/>
      <c r="G20" s="221"/>
      <c r="H20" s="222">
        <f>C20*E20</f>
        <v>34629250</v>
      </c>
    </row>
    <row r="21" spans="2:14">
      <c r="B21" s="165" t="s">
        <v>1363</v>
      </c>
      <c r="C21" s="221">
        <v>30</v>
      </c>
      <c r="D21" s="221" t="s">
        <v>1397</v>
      </c>
      <c r="E21" s="222">
        <f>'Categorias de Costos lácteo '!D56+'Categorias de Costos lácteo '!C105+'Categorias de Costos lácteo '!C114</f>
        <v>4203296</v>
      </c>
      <c r="F21" s="237">
        <v>1</v>
      </c>
      <c r="G21" s="221">
        <v>6</v>
      </c>
      <c r="H21" s="222">
        <f>C21*E21*G21*F21</f>
        <v>756593280</v>
      </c>
    </row>
    <row r="22" spans="2:14">
      <c r="B22" s="165" t="s">
        <v>1398</v>
      </c>
      <c r="C22" s="221"/>
      <c r="D22" s="221"/>
      <c r="E22" s="222"/>
      <c r="F22" s="221"/>
      <c r="G22" s="221"/>
      <c r="H22" s="485" t="s">
        <v>1331</v>
      </c>
      <c r="J22" s="422"/>
      <c r="K22" s="422"/>
      <c r="L22" s="422"/>
      <c r="M22" s="422"/>
      <c r="N22" s="422"/>
    </row>
    <row r="23" spans="2:14">
      <c r="B23" s="165" t="s">
        <v>1399</v>
      </c>
      <c r="C23" s="221"/>
      <c r="D23" s="221"/>
      <c r="E23" s="222"/>
      <c r="F23" s="221"/>
      <c r="G23" s="221"/>
      <c r="H23" s="485" t="s">
        <v>1331</v>
      </c>
      <c r="J23" s="422"/>
      <c r="K23" s="422"/>
      <c r="L23" s="422"/>
      <c r="M23" s="422"/>
      <c r="N23" s="422"/>
    </row>
    <row r="24" spans="2:14">
      <c r="B24" s="165" t="s">
        <v>1400</v>
      </c>
      <c r="C24" s="221"/>
      <c r="D24" s="221"/>
      <c r="E24" s="222"/>
      <c r="F24" s="221"/>
      <c r="G24" s="221"/>
      <c r="H24" s="485" t="s">
        <v>1331</v>
      </c>
      <c r="J24" s="422"/>
      <c r="K24" s="422"/>
      <c r="L24" s="422"/>
      <c r="M24" s="422"/>
      <c r="N24" s="422"/>
    </row>
    <row r="25" spans="2:14">
      <c r="B25" s="225" t="s">
        <v>46</v>
      </c>
      <c r="C25" s="226"/>
      <c r="D25" s="226"/>
      <c r="E25" s="227"/>
      <c r="F25" s="227"/>
      <c r="G25" s="226"/>
      <c r="H25" s="228">
        <f>SUM(H14:H23)</f>
        <v>1294344232</v>
      </c>
    </row>
    <row r="26" spans="2:14" s="205" customFormat="1" ht="132.75" customHeight="1">
      <c r="B26" s="229" t="s">
        <v>1401</v>
      </c>
      <c r="E26" s="217"/>
      <c r="F26" s="217"/>
      <c r="H26" s="217"/>
      <c r="I26"/>
    </row>
    <row r="27" spans="2:14">
      <c r="H27" s="230"/>
    </row>
    <row r="28" spans="2:14">
      <c r="H28" s="231"/>
    </row>
  </sheetData>
  <mergeCells count="1">
    <mergeCell ref="B12:H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9"/>
  <sheetViews>
    <sheetView windowProtection="1" showGridLines="0" topLeftCell="A71" zoomScale="57" zoomScaleNormal="57" workbookViewId="0">
      <selection activeCell="F106" sqref="F106"/>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25" width="23.42578125" customWidth="1"/>
  </cols>
  <sheetData>
    <row r="2" spans="1:25" ht="15.75">
      <c r="A2" s="203" t="s">
        <v>1334</v>
      </c>
    </row>
    <row r="3" spans="1:25" s="205" customFormat="1">
      <c r="A3" s="204"/>
    </row>
    <row r="4" spans="1:25" ht="15.75">
      <c r="A4" s="206" t="s">
        <v>1335</v>
      </c>
      <c r="B4" s="206" t="str">
        <f>Portafolio_Cadena_Láctea!C46</f>
        <v xml:space="preserve">4. Transferencia y apropiación de conocimientos y tecnologías, de los actores de la cadena láctea </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F7" si="0">SUM(D8:D9)</f>
        <v>0</v>
      </c>
      <c r="E7" s="249">
        <f t="shared" si="0"/>
        <v>0</v>
      </c>
      <c r="F7" s="249">
        <f t="shared" si="0"/>
        <v>0</v>
      </c>
      <c r="G7" s="249">
        <f>SUM(G8:G11)</f>
        <v>6168207570</v>
      </c>
      <c r="H7" s="249">
        <f t="shared" ref="H7:Y7" si="1">SUM(H8:H11)</f>
        <v>7110815930</v>
      </c>
      <c r="I7" s="249">
        <f t="shared" si="1"/>
        <v>7110815930</v>
      </c>
      <c r="J7" s="249">
        <f t="shared" si="1"/>
        <v>6976232832.8000002</v>
      </c>
      <c r="K7" s="249">
        <f t="shared" si="1"/>
        <v>6976232832.8000002</v>
      </c>
      <c r="L7" s="249">
        <f t="shared" si="1"/>
        <v>7709683712.8000002</v>
      </c>
      <c r="M7" s="249">
        <f t="shared" si="1"/>
        <v>6976232832.8000002</v>
      </c>
      <c r="N7" s="249">
        <f t="shared" si="1"/>
        <v>6976232832.8000002</v>
      </c>
      <c r="O7" s="249">
        <f t="shared" si="1"/>
        <v>7709683712.8000002</v>
      </c>
      <c r="P7" s="249">
        <f t="shared" si="1"/>
        <v>6976232832.8000002</v>
      </c>
      <c r="Q7" s="249">
        <f t="shared" si="1"/>
        <v>6976232832.8000002</v>
      </c>
      <c r="R7" s="249">
        <f t="shared" si="1"/>
        <v>7709683712.8000002</v>
      </c>
      <c r="S7" s="249">
        <f t="shared" si="1"/>
        <v>6976232832.8000002</v>
      </c>
      <c r="T7" s="249">
        <f t="shared" si="1"/>
        <v>6377365050</v>
      </c>
      <c r="U7" s="249">
        <f t="shared" si="1"/>
        <v>7110815930</v>
      </c>
      <c r="V7" s="249">
        <f t="shared" si="1"/>
        <v>6377365050</v>
      </c>
      <c r="W7" s="249">
        <f t="shared" si="1"/>
        <v>6377365050</v>
      </c>
      <c r="X7" s="249">
        <f t="shared" si="1"/>
        <v>6168207570</v>
      </c>
      <c r="Y7" s="249">
        <f t="shared" si="1"/>
        <v>124763639048</v>
      </c>
    </row>
    <row r="8" spans="1:25" s="214" customFormat="1" ht="30.6" customHeight="1">
      <c r="A8" s="205"/>
      <c r="B8" s="211" t="str">
        <f>Portafolio_Cadena_Láctea!D46</f>
        <v>4.1. Mejora de las capacidades básicas y técnicas de los productores, procesadores y comercializadores de leche</v>
      </c>
      <c r="C8" s="212" t="s">
        <v>1402</v>
      </c>
      <c r="D8" s="213"/>
      <c r="E8" s="253"/>
      <c r="F8" s="213"/>
      <c r="G8" s="213">
        <f>H31</f>
        <v>3122519035</v>
      </c>
      <c r="H8" s="213">
        <f t="shared" ref="H8:X8" si="2">G8</f>
        <v>3122519035</v>
      </c>
      <c r="I8" s="213">
        <f t="shared" si="2"/>
        <v>3122519035</v>
      </c>
      <c r="J8" s="213">
        <f t="shared" si="2"/>
        <v>3122519035</v>
      </c>
      <c r="K8" s="213">
        <f t="shared" si="2"/>
        <v>3122519035</v>
      </c>
      <c r="L8" s="253">
        <f t="shared" si="2"/>
        <v>3122519035</v>
      </c>
      <c r="M8" s="213">
        <f t="shared" si="2"/>
        <v>3122519035</v>
      </c>
      <c r="N8" s="213">
        <f t="shared" si="2"/>
        <v>3122519035</v>
      </c>
      <c r="O8" s="213">
        <f t="shared" si="2"/>
        <v>3122519035</v>
      </c>
      <c r="P8" s="213">
        <f t="shared" si="2"/>
        <v>3122519035</v>
      </c>
      <c r="Q8" s="253">
        <f t="shared" si="2"/>
        <v>3122519035</v>
      </c>
      <c r="R8" s="213">
        <f t="shared" si="2"/>
        <v>3122519035</v>
      </c>
      <c r="S8" s="213">
        <f t="shared" si="2"/>
        <v>3122519035</v>
      </c>
      <c r="T8" s="213">
        <f t="shared" si="2"/>
        <v>3122519035</v>
      </c>
      <c r="U8" s="213">
        <f t="shared" si="2"/>
        <v>3122519035</v>
      </c>
      <c r="V8" s="253">
        <f t="shared" si="2"/>
        <v>3122519035</v>
      </c>
      <c r="W8" s="213">
        <f t="shared" si="2"/>
        <v>3122519035</v>
      </c>
      <c r="X8" s="213">
        <f t="shared" si="2"/>
        <v>3122519035</v>
      </c>
      <c r="Y8" s="213">
        <f>SUM(D8:X8)</f>
        <v>56205342630</v>
      </c>
    </row>
    <row r="9" spans="1:25" s="214" customFormat="1" ht="45">
      <c r="A9" s="215"/>
      <c r="B9" s="211" t="str">
        <f>Portafolio_Cadena_Láctea!D52</f>
        <v xml:space="preserve">4.2. Fortalecimiento de la formación de profesionales y técnicos para la prestación del servicio de extensión y asistencia técnica agropecuaria e industrial. </v>
      </c>
      <c r="C9" s="212" t="s">
        <v>1403</v>
      </c>
      <c r="D9" s="216"/>
      <c r="E9" s="216"/>
      <c r="F9" s="213"/>
      <c r="G9" s="253">
        <f>H51</f>
        <v>733450880</v>
      </c>
      <c r="H9" s="213">
        <f>+G9</f>
        <v>733450880</v>
      </c>
      <c r="I9" s="213">
        <f>+H9</f>
        <v>733450880</v>
      </c>
      <c r="J9" s="213"/>
      <c r="K9" s="213"/>
      <c r="L9" s="213">
        <f>+I9</f>
        <v>733450880</v>
      </c>
      <c r="M9" s="213"/>
      <c r="N9" s="213"/>
      <c r="O9" s="253">
        <f>+L9</f>
        <v>733450880</v>
      </c>
      <c r="P9" s="213"/>
      <c r="Q9" s="213"/>
      <c r="R9" s="213">
        <f>+O9</f>
        <v>733450880</v>
      </c>
      <c r="S9" s="253"/>
      <c r="T9" s="213"/>
      <c r="U9" s="213">
        <f>+R9</f>
        <v>733450880</v>
      </c>
      <c r="V9" s="213"/>
      <c r="W9" s="213"/>
      <c r="X9" s="213">
        <f>+U9</f>
        <v>733450880</v>
      </c>
      <c r="Y9" s="213">
        <f t="shared" ref="Y9:Y11" si="3">SUM(D9:X9)</f>
        <v>5867607040</v>
      </c>
    </row>
    <row r="10" spans="1:25" s="214" customFormat="1" ht="30">
      <c r="A10" s="215"/>
      <c r="B10" s="211" t="str">
        <f>Portafolio_Cadena_Láctea!D59</f>
        <v xml:space="preserve">4.3. Desarrollo del modelo de Extensión y Asistencia Técnica, para la cadena láctea, acorde con las diferentes características regionales </v>
      </c>
      <c r="C10" s="212" t="s">
        <v>1402</v>
      </c>
      <c r="D10" s="216"/>
      <c r="E10" s="216"/>
      <c r="F10" s="213"/>
      <c r="G10" s="253">
        <f>H69</f>
        <v>2312237655</v>
      </c>
      <c r="H10" s="213">
        <f>G10</f>
        <v>2312237655</v>
      </c>
      <c r="I10" s="213">
        <f t="shared" ref="I10:T10" si="4">H10</f>
        <v>2312237655</v>
      </c>
      <c r="J10" s="213">
        <f t="shared" si="4"/>
        <v>2312237655</v>
      </c>
      <c r="K10" s="213">
        <f t="shared" si="4"/>
        <v>2312237655</v>
      </c>
      <c r="L10" s="213">
        <f t="shared" si="4"/>
        <v>2312237655</v>
      </c>
      <c r="M10" s="213">
        <f t="shared" si="4"/>
        <v>2312237655</v>
      </c>
      <c r="N10" s="213">
        <f t="shared" si="4"/>
        <v>2312237655</v>
      </c>
      <c r="O10" s="253">
        <f t="shared" si="4"/>
        <v>2312237655</v>
      </c>
      <c r="P10" s="213">
        <f t="shared" si="4"/>
        <v>2312237655</v>
      </c>
      <c r="Q10" s="213">
        <f t="shared" si="4"/>
        <v>2312237655</v>
      </c>
      <c r="R10" s="213">
        <f t="shared" si="4"/>
        <v>2312237655</v>
      </c>
      <c r="S10" s="253">
        <f t="shared" si="4"/>
        <v>2312237655</v>
      </c>
      <c r="T10" s="213">
        <f t="shared" si="4"/>
        <v>2312237655</v>
      </c>
      <c r="U10" s="213">
        <f>T10</f>
        <v>2312237655</v>
      </c>
      <c r="V10" s="213">
        <f t="shared" ref="V10:X11" si="5">U10</f>
        <v>2312237655</v>
      </c>
      <c r="W10" s="213">
        <f t="shared" si="5"/>
        <v>2312237655</v>
      </c>
      <c r="X10" s="213">
        <f t="shared" si="5"/>
        <v>2312237655</v>
      </c>
      <c r="Y10" s="213">
        <f t="shared" si="3"/>
        <v>41620277790</v>
      </c>
    </row>
    <row r="11" spans="1:25" s="214" customFormat="1" ht="30">
      <c r="A11" s="215"/>
      <c r="B11" s="211" t="str">
        <f>Portafolio_Cadena_Láctea!D69</f>
        <v>4.4. Mejora de las capacidades de innovación en el sector lácteo colombiano.</v>
      </c>
      <c r="C11" s="212" t="s">
        <v>1404</v>
      </c>
      <c r="D11" s="216"/>
      <c r="E11" s="216"/>
      <c r="F11" s="213"/>
      <c r="G11" s="253"/>
      <c r="H11" s="213">
        <f>H87</f>
        <v>942608360</v>
      </c>
      <c r="I11" s="213">
        <f>H87</f>
        <v>942608360</v>
      </c>
      <c r="J11" s="213">
        <f>H88</f>
        <v>1541476142.8</v>
      </c>
      <c r="K11" s="213">
        <f t="shared" ref="K11:S11" si="6">J11</f>
        <v>1541476142.8</v>
      </c>
      <c r="L11" s="213">
        <f t="shared" si="6"/>
        <v>1541476142.8</v>
      </c>
      <c r="M11" s="213">
        <f t="shared" si="6"/>
        <v>1541476142.8</v>
      </c>
      <c r="N11" s="213">
        <f t="shared" si="6"/>
        <v>1541476142.8</v>
      </c>
      <c r="O11" s="253">
        <f t="shared" si="6"/>
        <v>1541476142.8</v>
      </c>
      <c r="P11" s="213">
        <f t="shared" si="6"/>
        <v>1541476142.8</v>
      </c>
      <c r="Q11" s="213">
        <f t="shared" si="6"/>
        <v>1541476142.8</v>
      </c>
      <c r="R11" s="213">
        <f t="shared" si="6"/>
        <v>1541476142.8</v>
      </c>
      <c r="S11" s="253">
        <f t="shared" si="6"/>
        <v>1541476142.8</v>
      </c>
      <c r="T11" s="213">
        <f>H87</f>
        <v>942608360</v>
      </c>
      <c r="U11" s="213">
        <f>T11</f>
        <v>942608360</v>
      </c>
      <c r="V11" s="213">
        <f t="shared" si="5"/>
        <v>942608360</v>
      </c>
      <c r="W11" s="213">
        <f t="shared" si="5"/>
        <v>942608360</v>
      </c>
      <c r="X11" s="213"/>
      <c r="Y11" s="213">
        <f t="shared" si="3"/>
        <v>21070411587.999996</v>
      </c>
    </row>
    <row r="12" spans="1:25" s="210" customFormat="1">
      <c r="A12"/>
      <c r="B12" s="209" t="s">
        <v>46</v>
      </c>
      <c r="C12" s="209"/>
      <c r="D12" s="249">
        <f>SUM(D8:D11)</f>
        <v>0</v>
      </c>
      <c r="E12" s="249">
        <f t="shared" ref="E12:X12" si="7">SUM(E8:E11)</f>
        <v>0</v>
      </c>
      <c r="F12" s="249">
        <f t="shared" si="7"/>
        <v>0</v>
      </c>
      <c r="G12" s="249">
        <f t="shared" si="7"/>
        <v>6168207570</v>
      </c>
      <c r="H12" s="249">
        <f t="shared" si="7"/>
        <v>7110815930</v>
      </c>
      <c r="I12" s="249">
        <f t="shared" si="7"/>
        <v>7110815930</v>
      </c>
      <c r="J12" s="249">
        <f t="shared" si="7"/>
        <v>6976232832.8000002</v>
      </c>
      <c r="K12" s="249">
        <f t="shared" si="7"/>
        <v>6976232832.8000002</v>
      </c>
      <c r="L12" s="249">
        <f t="shared" si="7"/>
        <v>7709683712.8000002</v>
      </c>
      <c r="M12" s="249">
        <f t="shared" si="7"/>
        <v>6976232832.8000002</v>
      </c>
      <c r="N12" s="249">
        <f t="shared" si="7"/>
        <v>6976232832.8000002</v>
      </c>
      <c r="O12" s="249">
        <f t="shared" si="7"/>
        <v>7709683712.8000002</v>
      </c>
      <c r="P12" s="249">
        <f t="shared" si="7"/>
        <v>6976232832.8000002</v>
      </c>
      <c r="Q12" s="249">
        <f t="shared" si="7"/>
        <v>6976232832.8000002</v>
      </c>
      <c r="R12" s="249">
        <f t="shared" si="7"/>
        <v>7709683712.8000002</v>
      </c>
      <c r="S12" s="249">
        <f t="shared" si="7"/>
        <v>6976232832.8000002</v>
      </c>
      <c r="T12" s="249">
        <f t="shared" si="7"/>
        <v>6377365050</v>
      </c>
      <c r="U12" s="249">
        <f t="shared" si="7"/>
        <v>7110815930</v>
      </c>
      <c r="V12" s="249">
        <f t="shared" si="7"/>
        <v>6377365050</v>
      </c>
      <c r="W12" s="249">
        <f t="shared" si="7"/>
        <v>6377365050</v>
      </c>
      <c r="X12" s="249">
        <f t="shared" si="7"/>
        <v>6168207570</v>
      </c>
      <c r="Y12" s="249">
        <f>SUM(Y8:Y11)</f>
        <v>124763639048</v>
      </c>
    </row>
    <row r="15" spans="1:25" s="205" customFormat="1" ht="14.45" customHeight="1">
      <c r="B15" s="686" t="str">
        <f>B8</f>
        <v>4.1. Mejora de las capacidades básicas y técnicas de los productores, procesadores y comercializadores de leche</v>
      </c>
      <c r="C15" s="687"/>
      <c r="D15" s="687"/>
      <c r="E15" s="687"/>
      <c r="F15" s="687"/>
      <c r="G15" s="687"/>
      <c r="H15" s="687"/>
      <c r="W15" s="217"/>
    </row>
    <row r="16" spans="1:25">
      <c r="B16" s="218" t="s">
        <v>1338</v>
      </c>
      <c r="C16" s="218" t="s">
        <v>522</v>
      </c>
      <c r="D16" s="218" t="s">
        <v>263</v>
      </c>
      <c r="E16" s="218" t="s">
        <v>262</v>
      </c>
      <c r="F16" s="219" t="s">
        <v>1339</v>
      </c>
      <c r="G16" s="218" t="s">
        <v>711</v>
      </c>
      <c r="H16" s="218" t="s">
        <v>1340</v>
      </c>
      <c r="X16" s="220"/>
    </row>
    <row r="17" spans="2:9" ht="14.45" customHeight="1">
      <c r="B17" s="221" t="s">
        <v>1359</v>
      </c>
      <c r="C17" s="221">
        <v>12</v>
      </c>
      <c r="D17" s="221" t="s">
        <v>1342</v>
      </c>
      <c r="E17" s="222">
        <f>'Categorias de Costos lácteo '!C125</f>
        <v>1000000</v>
      </c>
      <c r="F17" s="224"/>
      <c r="G17" s="221"/>
      <c r="H17" s="222">
        <f>+C17*E17</f>
        <v>12000000</v>
      </c>
    </row>
    <row r="18" spans="2:9" ht="14.45" customHeight="1">
      <c r="B18" s="221" t="s">
        <v>1343</v>
      </c>
      <c r="C18" s="221">
        <v>12</v>
      </c>
      <c r="D18" s="221" t="s">
        <v>1342</v>
      </c>
      <c r="E18" s="222">
        <f>'Categorias de Costos lácteo '!C133</f>
        <v>100000</v>
      </c>
      <c r="F18" s="224"/>
      <c r="G18" s="221"/>
      <c r="H18" s="222">
        <f t="shared" ref="H18" si="8">+C18*E18</f>
        <v>1200000</v>
      </c>
    </row>
    <row r="19" spans="2:9" ht="14.45" customHeight="1">
      <c r="B19" s="221" t="s">
        <v>1344</v>
      </c>
      <c r="C19" s="221">
        <v>4</v>
      </c>
      <c r="D19" s="221" t="s">
        <v>1342</v>
      </c>
      <c r="E19" s="222">
        <f>+'Categorias de Costos lácteo '!C123</f>
        <v>5000000</v>
      </c>
      <c r="F19" s="224"/>
      <c r="G19" s="221"/>
      <c r="H19" s="222">
        <f t="shared" ref="H19:H21" si="9">+C19*E19</f>
        <v>20000000</v>
      </c>
    </row>
    <row r="20" spans="2:9">
      <c r="B20" s="221" t="s">
        <v>1345</v>
      </c>
      <c r="C20" s="221">
        <v>90</v>
      </c>
      <c r="D20" s="221" t="s">
        <v>1342</v>
      </c>
      <c r="E20" s="222">
        <f>+'Categorias de Costos lácteo '!C124</f>
        <v>5700000</v>
      </c>
      <c r="F20" s="222"/>
      <c r="G20" s="221"/>
      <c r="H20" s="222">
        <f t="shared" si="9"/>
        <v>513000000</v>
      </c>
    </row>
    <row r="21" spans="2:9">
      <c r="B21" s="221" t="s">
        <v>1405</v>
      </c>
      <c r="C21" s="221">
        <v>30</v>
      </c>
      <c r="D21" s="221" t="s">
        <v>1342</v>
      </c>
      <c r="E21" s="222">
        <f>'Categorias de Costos lácteo '!C134</f>
        <v>570000</v>
      </c>
      <c r="F21" s="222"/>
      <c r="G21" s="221"/>
      <c r="H21" s="222">
        <f t="shared" si="9"/>
        <v>17100000</v>
      </c>
    </row>
    <row r="22" spans="2:9">
      <c r="B22" s="247" t="s">
        <v>1406</v>
      </c>
      <c r="C22" s="221">
        <f>5*10</f>
        <v>50</v>
      </c>
      <c r="D22" s="221" t="s">
        <v>1407</v>
      </c>
      <c r="E22" s="222">
        <f>'Categorias de Costos lácteo '!D275</f>
        <v>9000000</v>
      </c>
      <c r="F22" s="221"/>
      <c r="G22" s="221"/>
      <c r="H22" s="222">
        <f t="shared" ref="H22:H26" si="10">C22*E22</f>
        <v>450000000</v>
      </c>
    </row>
    <row r="23" spans="2:9">
      <c r="B23" s="247" t="s">
        <v>1408</v>
      </c>
      <c r="C23" s="221">
        <v>100</v>
      </c>
      <c r="D23" s="221" t="s">
        <v>1381</v>
      </c>
      <c r="E23" s="222">
        <f>'Categorias de Costos lácteo '!D276</f>
        <v>1500000</v>
      </c>
      <c r="F23" s="221"/>
      <c r="G23" s="221"/>
      <c r="H23" s="222">
        <f t="shared" si="10"/>
        <v>150000000</v>
      </c>
    </row>
    <row r="24" spans="2:9">
      <c r="B24" s="247" t="s">
        <v>1409</v>
      </c>
      <c r="C24" s="221">
        <f>5*10</f>
        <v>50</v>
      </c>
      <c r="D24" s="221" t="s">
        <v>1381</v>
      </c>
      <c r="E24" s="222">
        <f>'Categorias de Costos lácteo '!D280</f>
        <v>150000</v>
      </c>
      <c r="F24" s="221"/>
      <c r="G24" s="221"/>
      <c r="H24" s="222">
        <f>C24*E24</f>
        <v>7500000</v>
      </c>
    </row>
    <row r="25" spans="2:9">
      <c r="B25" s="247" t="s">
        <v>1390</v>
      </c>
      <c r="C25" s="221">
        <v>300</v>
      </c>
      <c r="D25" s="221" t="s">
        <v>1381</v>
      </c>
      <c r="E25" s="222">
        <f>'Categorias de Costos lácteo '!D277</f>
        <v>3000000</v>
      </c>
      <c r="F25" s="221"/>
      <c r="G25" s="221"/>
      <c r="H25" s="222">
        <f t="shared" si="10"/>
        <v>900000000</v>
      </c>
    </row>
    <row r="26" spans="2:9">
      <c r="B26" s="165" t="s">
        <v>1410</v>
      </c>
      <c r="C26" s="221">
        <v>50</v>
      </c>
      <c r="D26" s="221" t="s">
        <v>1381</v>
      </c>
      <c r="E26" s="222">
        <f>'Categorias de Costos lácteo '!D281</f>
        <v>300000</v>
      </c>
      <c r="F26" s="251"/>
      <c r="G26" s="222"/>
      <c r="H26" s="222">
        <f t="shared" si="10"/>
        <v>15000000</v>
      </c>
    </row>
    <row r="27" spans="2:9">
      <c r="B27" s="165" t="s">
        <v>1411</v>
      </c>
      <c r="C27" s="221">
        <v>20</v>
      </c>
      <c r="D27" s="221" t="s">
        <v>1342</v>
      </c>
      <c r="E27" s="222">
        <f>'Categorias de Costos lácteo '!C218</f>
        <v>18000000</v>
      </c>
      <c r="F27" s="237"/>
      <c r="G27" s="221"/>
      <c r="H27" s="222">
        <f>C27*E27</f>
        <v>360000000</v>
      </c>
    </row>
    <row r="28" spans="2:9">
      <c r="B28" s="165" t="s">
        <v>1353</v>
      </c>
      <c r="C28" s="221">
        <v>10</v>
      </c>
      <c r="D28" s="221" t="s">
        <v>1342</v>
      </c>
      <c r="E28" s="222">
        <f>'Categorias de Costos lácteo '!D52</f>
        <v>5464476</v>
      </c>
      <c r="F28" s="237">
        <v>1</v>
      </c>
      <c r="G28" s="221">
        <v>12</v>
      </c>
      <c r="H28" s="222">
        <f>C28*E28*G28*F28</f>
        <v>655737120</v>
      </c>
    </row>
    <row r="29" spans="2:9">
      <c r="B29" s="165" t="s">
        <v>1354</v>
      </c>
      <c r="C29" s="221">
        <v>10</v>
      </c>
      <c r="D29" s="221" t="s">
        <v>1352</v>
      </c>
      <c r="E29" s="222">
        <f>'Categorias de Costos lácteo '!G52+'Categorias de Costos lácteo '!C82</f>
        <v>2098191.5</v>
      </c>
      <c r="F29" s="237"/>
      <c r="G29" s="221"/>
      <c r="H29" s="222">
        <f>C29*E29</f>
        <v>20981915</v>
      </c>
    </row>
    <row r="30" spans="2:9">
      <c r="B30" s="165" t="s">
        <v>1412</v>
      </c>
      <c r="C30" s="221"/>
      <c r="D30" s="221"/>
      <c r="E30" s="222"/>
      <c r="F30" s="251"/>
      <c r="G30" s="222"/>
      <c r="H30" s="222" t="s">
        <v>1331</v>
      </c>
    </row>
    <row r="31" spans="2:9">
      <c r="B31" s="225" t="s">
        <v>46</v>
      </c>
      <c r="C31" s="226"/>
      <c r="D31" s="226"/>
      <c r="E31" s="227"/>
      <c r="F31" s="227"/>
      <c r="G31" s="226"/>
      <c r="H31" s="228">
        <f>SUM(H17:H30)</f>
        <v>3122519035</v>
      </c>
    </row>
    <row r="32" spans="2:9" s="205" customFormat="1" ht="105">
      <c r="B32" s="229" t="s">
        <v>1413</v>
      </c>
      <c r="C32" s="215"/>
      <c r="E32" s="217"/>
      <c r="F32" s="217"/>
      <c r="H32" s="217"/>
      <c r="I32"/>
    </row>
    <row r="33" spans="2:24">
      <c r="H33" s="230"/>
    </row>
    <row r="34" spans="2:24">
      <c r="H34" s="231"/>
    </row>
    <row r="35" spans="2:24" s="205" customFormat="1" ht="14.45" customHeight="1">
      <c r="B35" s="686" t="str">
        <f>B9</f>
        <v xml:space="preserve">4.2. Fortalecimiento de la formación de profesionales y técnicos para la prestación del servicio de extensión y asistencia técnica agropecuaria e industrial. </v>
      </c>
      <c r="C35" s="687"/>
      <c r="D35" s="687"/>
      <c r="E35" s="687"/>
      <c r="F35" s="687"/>
      <c r="G35" s="687"/>
      <c r="H35" s="687"/>
      <c r="W35" s="217"/>
    </row>
    <row r="36" spans="2:24" s="205" customFormat="1" ht="14.45" customHeight="1">
      <c r="B36" s="688"/>
      <c r="C36" s="688"/>
      <c r="D36" s="688"/>
      <c r="E36" s="688"/>
      <c r="F36" s="688"/>
      <c r="G36" s="688"/>
      <c r="H36" s="688"/>
      <c r="W36" s="217"/>
    </row>
    <row r="37" spans="2:24">
      <c r="B37" s="218" t="s">
        <v>1338</v>
      </c>
      <c r="C37" s="218" t="s">
        <v>522</v>
      </c>
      <c r="D37" s="218" t="s">
        <v>263</v>
      </c>
      <c r="E37" s="218" t="s">
        <v>262</v>
      </c>
      <c r="F37" s="219" t="s">
        <v>1339</v>
      </c>
      <c r="G37" s="218" t="s">
        <v>711</v>
      </c>
      <c r="H37" s="218" t="s">
        <v>1340</v>
      </c>
      <c r="X37" s="220"/>
    </row>
    <row r="38" spans="2:24" ht="14.45" customHeight="1">
      <c r="B38" s="221" t="s">
        <v>1359</v>
      </c>
      <c r="C38" s="221">
        <v>12</v>
      </c>
      <c r="D38" s="221" t="s">
        <v>1342</v>
      </c>
      <c r="E38" s="222">
        <f>'Categorias de Costos lácteo '!C125</f>
        <v>1000000</v>
      </c>
      <c r="F38" s="224"/>
      <c r="G38" s="221"/>
      <c r="H38" s="222">
        <f t="shared" ref="H38:H42" si="11">+C38*E38</f>
        <v>12000000</v>
      </c>
    </row>
    <row r="39" spans="2:24" ht="14.45" customHeight="1">
      <c r="B39" s="221" t="s">
        <v>1343</v>
      </c>
      <c r="C39" s="221">
        <v>12</v>
      </c>
      <c r="D39" s="221" t="s">
        <v>1342</v>
      </c>
      <c r="E39" s="222">
        <f>'Categorias de Costos lácteo '!C133</f>
        <v>100000</v>
      </c>
      <c r="F39" s="224"/>
      <c r="G39" s="221"/>
      <c r="H39" s="222">
        <f t="shared" si="11"/>
        <v>1200000</v>
      </c>
    </row>
    <row r="40" spans="2:24" ht="14.45" customHeight="1">
      <c r="B40" s="221" t="s">
        <v>1344</v>
      </c>
      <c r="C40" s="221">
        <v>4</v>
      </c>
      <c r="D40" s="221" t="s">
        <v>1342</v>
      </c>
      <c r="E40" s="222">
        <f>'Categorias de Costos lácteo '!C123</f>
        <v>5000000</v>
      </c>
      <c r="F40" s="224"/>
      <c r="G40" s="221"/>
      <c r="H40" s="222">
        <f t="shared" si="11"/>
        <v>20000000</v>
      </c>
    </row>
    <row r="41" spans="2:24">
      <c r="B41" s="221" t="s">
        <v>1345</v>
      </c>
      <c r="C41" s="221">
        <v>30</v>
      </c>
      <c r="D41" s="221" t="s">
        <v>1342</v>
      </c>
      <c r="E41" s="222">
        <f>'Categorias de Costos lácteo '!C124</f>
        <v>5700000</v>
      </c>
      <c r="F41" s="222"/>
      <c r="G41" s="221"/>
      <c r="H41" s="222">
        <f t="shared" si="11"/>
        <v>171000000</v>
      </c>
    </row>
    <row r="42" spans="2:24">
      <c r="B42" s="221" t="s">
        <v>1414</v>
      </c>
      <c r="C42" s="221">
        <v>30</v>
      </c>
      <c r="D42" s="221" t="s">
        <v>1342</v>
      </c>
      <c r="E42" s="222">
        <f>'Categorias de Costos lácteo '!C134</f>
        <v>570000</v>
      </c>
      <c r="F42" s="222"/>
      <c r="G42" s="221"/>
      <c r="H42" s="222">
        <f t="shared" si="11"/>
        <v>17100000</v>
      </c>
    </row>
    <row r="43" spans="2:24">
      <c r="B43" s="247" t="s">
        <v>1406</v>
      </c>
      <c r="C43" s="221">
        <f>2*10</f>
        <v>20</v>
      </c>
      <c r="D43" s="221" t="s">
        <v>1415</v>
      </c>
      <c r="E43" s="222">
        <f>'Categorias de Costos lácteo '!D275</f>
        <v>9000000</v>
      </c>
      <c r="F43" s="221"/>
      <c r="G43" s="221"/>
      <c r="H43" s="222">
        <f t="shared" ref="H43:H44" si="12">C43*E43</f>
        <v>180000000</v>
      </c>
    </row>
    <row r="44" spans="2:24">
      <c r="B44" s="247" t="s">
        <v>1408</v>
      </c>
      <c r="C44" s="221">
        <f>2*10</f>
        <v>20</v>
      </c>
      <c r="D44" s="221" t="s">
        <v>1381</v>
      </c>
      <c r="E44" s="222">
        <f>'Categorias de Costos lácteo '!D276</f>
        <v>1500000</v>
      </c>
      <c r="F44" s="221"/>
      <c r="G44" s="221"/>
      <c r="H44" s="222">
        <f t="shared" si="12"/>
        <v>30000000</v>
      </c>
    </row>
    <row r="45" spans="2:24">
      <c r="B45" s="247" t="s">
        <v>1409</v>
      </c>
      <c r="C45" s="221">
        <f>2*10</f>
        <v>20</v>
      </c>
      <c r="D45" s="221" t="s">
        <v>1381</v>
      </c>
      <c r="E45" s="222">
        <f>'Categorias de Costos lácteo '!D280</f>
        <v>150000</v>
      </c>
      <c r="F45" s="221"/>
      <c r="G45" s="221"/>
      <c r="H45" s="222">
        <f>C45*E45</f>
        <v>3000000</v>
      </c>
    </row>
    <row r="46" spans="2:24">
      <c r="B46" s="247" t="s">
        <v>1390</v>
      </c>
      <c r="C46" s="221">
        <v>20</v>
      </c>
      <c r="D46" s="221" t="s">
        <v>1381</v>
      </c>
      <c r="E46" s="222">
        <f>'Categorias de Costos lácteo '!D277</f>
        <v>3000000</v>
      </c>
      <c r="F46" s="221"/>
      <c r="G46" s="221"/>
      <c r="H46" s="222">
        <f t="shared" ref="H46:H47" si="13">C46*E46</f>
        <v>60000000</v>
      </c>
    </row>
    <row r="47" spans="2:24">
      <c r="B47" s="165" t="s">
        <v>1410</v>
      </c>
      <c r="C47" s="221">
        <v>20</v>
      </c>
      <c r="D47" s="221" t="s">
        <v>1381</v>
      </c>
      <c r="E47" s="222">
        <f>'Categorias de Costos lácteo '!D281</f>
        <v>300000</v>
      </c>
      <c r="F47" s="251"/>
      <c r="G47" s="222"/>
      <c r="H47" s="222">
        <f t="shared" si="13"/>
        <v>6000000</v>
      </c>
    </row>
    <row r="48" spans="2:24">
      <c r="B48" s="165" t="s">
        <v>1353</v>
      </c>
      <c r="C48" s="221">
        <v>4</v>
      </c>
      <c r="D48" s="221" t="s">
        <v>1342</v>
      </c>
      <c r="E48" s="222">
        <f>'Categorias de Costos lácteo '!D53</f>
        <v>4857310</v>
      </c>
      <c r="F48" s="237">
        <v>1</v>
      </c>
      <c r="G48" s="221">
        <v>12</v>
      </c>
      <c r="H48" s="222">
        <f>C48*E48*G48*F48</f>
        <v>233150880</v>
      </c>
    </row>
    <row r="49" spans="2:24">
      <c r="B49" s="165" t="s">
        <v>1416</v>
      </c>
      <c r="C49" s="221"/>
      <c r="D49" s="221"/>
      <c r="E49" s="222"/>
      <c r="F49" s="237"/>
      <c r="G49" s="221"/>
      <c r="H49" s="222" t="s">
        <v>1331</v>
      </c>
    </row>
    <row r="50" spans="2:24">
      <c r="B50" s="165" t="s">
        <v>1357</v>
      </c>
      <c r="C50" s="221"/>
      <c r="D50" s="221"/>
      <c r="E50" s="222"/>
      <c r="F50" s="251"/>
      <c r="G50" s="222"/>
      <c r="H50" s="222" t="s">
        <v>1331</v>
      </c>
    </row>
    <row r="51" spans="2:24">
      <c r="B51" s="225" t="s">
        <v>1393</v>
      </c>
      <c r="C51" s="226"/>
      <c r="D51" s="226"/>
      <c r="E51" s="227"/>
      <c r="F51" s="227"/>
      <c r="G51" s="226"/>
      <c r="H51" s="228">
        <f>SUM(H38:H50)</f>
        <v>733450880</v>
      </c>
    </row>
    <row r="52" spans="2:24" s="205" customFormat="1" ht="105" customHeight="1">
      <c r="B52" s="240" t="s">
        <v>1417</v>
      </c>
      <c r="E52" s="217"/>
      <c r="F52" s="217"/>
      <c r="I52"/>
    </row>
    <row r="53" spans="2:24" s="205" customFormat="1">
      <c r="B53" s="240"/>
      <c r="E53" s="217"/>
      <c r="F53" s="217"/>
      <c r="I53"/>
    </row>
    <row r="54" spans="2:24" s="205" customFormat="1" ht="14.45" customHeight="1">
      <c r="B54" s="686" t="str">
        <f>B10</f>
        <v xml:space="preserve">4.3. Desarrollo del modelo de Extensión y Asistencia Técnica, para la cadena láctea, acorde con las diferentes características regionales </v>
      </c>
      <c r="C54" s="687"/>
      <c r="D54" s="687"/>
      <c r="E54" s="687"/>
      <c r="F54" s="687"/>
      <c r="G54" s="687"/>
      <c r="H54" s="687"/>
      <c r="W54" s="217"/>
    </row>
    <row r="55" spans="2:24" s="205" customFormat="1" ht="14.45" customHeight="1">
      <c r="B55" s="688"/>
      <c r="C55" s="688"/>
      <c r="D55" s="688"/>
      <c r="E55" s="688"/>
      <c r="F55" s="688"/>
      <c r="G55" s="688"/>
      <c r="H55" s="688"/>
      <c r="W55" s="217"/>
    </row>
    <row r="56" spans="2:24">
      <c r="B56" s="218" t="s">
        <v>1338</v>
      </c>
      <c r="C56" s="218" t="s">
        <v>522</v>
      </c>
      <c r="D56" s="218" t="s">
        <v>263</v>
      </c>
      <c r="E56" s="218" t="s">
        <v>262</v>
      </c>
      <c r="F56" s="219" t="s">
        <v>1339</v>
      </c>
      <c r="G56" s="218" t="s">
        <v>711</v>
      </c>
      <c r="H56" s="218" t="s">
        <v>1340</v>
      </c>
      <c r="X56" s="220"/>
    </row>
    <row r="57" spans="2:24" ht="14.45" customHeight="1">
      <c r="B57" s="221" t="s">
        <v>1359</v>
      </c>
      <c r="C57" s="221">
        <v>12</v>
      </c>
      <c r="D57" s="221" t="s">
        <v>1342</v>
      </c>
      <c r="E57" s="222">
        <f>'Categorias de Costos lácteo '!C125</f>
        <v>1000000</v>
      </c>
      <c r="F57" s="224"/>
      <c r="G57" s="221"/>
      <c r="H57" s="222">
        <f t="shared" ref="H57:H61" si="14">+C57*E57</f>
        <v>12000000</v>
      </c>
    </row>
    <row r="58" spans="2:24" ht="14.45" customHeight="1">
      <c r="B58" s="221" t="s">
        <v>1343</v>
      </c>
      <c r="C58" s="221">
        <v>12</v>
      </c>
      <c r="D58" s="221" t="s">
        <v>1342</v>
      </c>
      <c r="E58" s="222">
        <f>'Categorias de Costos lácteo '!C133</f>
        <v>100000</v>
      </c>
      <c r="F58" s="224"/>
      <c r="G58" s="221"/>
      <c r="H58" s="222">
        <f t="shared" si="14"/>
        <v>1200000</v>
      </c>
    </row>
    <row r="59" spans="2:24" ht="14.45" customHeight="1">
      <c r="B59" s="221" t="s">
        <v>1344</v>
      </c>
      <c r="C59" s="221">
        <v>8</v>
      </c>
      <c r="D59" s="221" t="s">
        <v>1342</v>
      </c>
      <c r="E59" s="222">
        <f>'Categorias de Costos lácteo '!C123</f>
        <v>5000000</v>
      </c>
      <c r="F59" s="224"/>
      <c r="G59" s="221"/>
      <c r="H59" s="222">
        <f t="shared" si="14"/>
        <v>40000000</v>
      </c>
    </row>
    <row r="60" spans="2:24">
      <c r="B60" s="221" t="s">
        <v>1345</v>
      </c>
      <c r="C60" s="221">
        <v>30</v>
      </c>
      <c r="D60" s="221" t="s">
        <v>1342</v>
      </c>
      <c r="E60" s="222">
        <f>'Categorias de Costos lácteo '!C124</f>
        <v>5700000</v>
      </c>
      <c r="F60" s="222"/>
      <c r="G60" s="221"/>
      <c r="H60" s="222">
        <f t="shared" si="14"/>
        <v>171000000</v>
      </c>
    </row>
    <row r="61" spans="2:24">
      <c r="B61" s="221" t="s">
        <v>1414</v>
      </c>
      <c r="C61" s="221">
        <v>30</v>
      </c>
      <c r="D61" s="221" t="s">
        <v>1342</v>
      </c>
      <c r="E61" s="222">
        <f>'Categorias de Costos lácteo '!C134</f>
        <v>570000</v>
      </c>
      <c r="F61" s="222"/>
      <c r="G61" s="221"/>
      <c r="H61" s="222">
        <f t="shared" si="14"/>
        <v>17100000</v>
      </c>
    </row>
    <row r="62" spans="2:24">
      <c r="B62" s="247" t="s">
        <v>1406</v>
      </c>
      <c r="C62" s="221">
        <f>2*10</f>
        <v>20</v>
      </c>
      <c r="D62" s="221" t="s">
        <v>1381</v>
      </c>
      <c r="E62" s="222">
        <f>'Categorias de Costos lácteo '!D275</f>
        <v>9000000</v>
      </c>
      <c r="F62" s="221"/>
      <c r="G62" s="221"/>
      <c r="H62" s="222">
        <f t="shared" ref="H62:H64" si="15">C62*E62</f>
        <v>180000000</v>
      </c>
    </row>
    <row r="63" spans="2:24">
      <c r="B63" s="247" t="s">
        <v>1388</v>
      </c>
      <c r="C63" s="221">
        <v>20</v>
      </c>
      <c r="D63" s="221" t="s">
        <v>1342</v>
      </c>
      <c r="E63" s="222">
        <f>'Categorias de Costos lácteo '!C227</f>
        <v>40000000</v>
      </c>
      <c r="F63" s="221"/>
      <c r="G63" s="221"/>
      <c r="H63" s="222">
        <f t="shared" si="15"/>
        <v>800000000</v>
      </c>
    </row>
    <row r="64" spans="2:24">
      <c r="B64" s="247" t="s">
        <v>551</v>
      </c>
      <c r="C64" s="221">
        <v>10</v>
      </c>
      <c r="D64" s="221" t="s">
        <v>1342</v>
      </c>
      <c r="E64" s="222">
        <f>'Categorias de Costos lácteo '!C220</f>
        <v>21000000</v>
      </c>
      <c r="F64" s="221"/>
      <c r="G64" s="221"/>
      <c r="H64" s="222">
        <f t="shared" si="15"/>
        <v>210000000</v>
      </c>
    </row>
    <row r="65" spans="2:24">
      <c r="B65" s="165" t="s">
        <v>1353</v>
      </c>
      <c r="C65" s="221">
        <v>14</v>
      </c>
      <c r="D65" s="221" t="s">
        <v>1342</v>
      </c>
      <c r="E65" s="222">
        <f>'Categorias de Costos lácteo '!D53</f>
        <v>4857310</v>
      </c>
      <c r="F65" s="237">
        <v>1</v>
      </c>
      <c r="G65" s="221">
        <v>12</v>
      </c>
      <c r="H65" s="222">
        <f>C65*E65*G65*F65</f>
        <v>816028080</v>
      </c>
    </row>
    <row r="66" spans="2:24">
      <c r="B66" s="165" t="s">
        <v>1418</v>
      </c>
      <c r="C66" s="221">
        <v>10</v>
      </c>
      <c r="D66" s="221" t="s">
        <v>1352</v>
      </c>
      <c r="E66" s="222">
        <f>'Categorias de Costos lácteo '!C82+('Categorias de Costos lácteo '!G52)*5</f>
        <v>6490957.5</v>
      </c>
      <c r="F66" s="237"/>
      <c r="G66" s="221"/>
      <c r="H66" s="222">
        <f>C66*E66</f>
        <v>64909575</v>
      </c>
    </row>
    <row r="67" spans="2:24">
      <c r="B67" s="165" t="s">
        <v>1416</v>
      </c>
      <c r="C67" s="221"/>
      <c r="D67" s="221"/>
      <c r="E67" s="222"/>
      <c r="F67" s="237"/>
      <c r="G67" s="221"/>
      <c r="H67" s="222" t="s">
        <v>1331</v>
      </c>
    </row>
    <row r="68" spans="2:24">
      <c r="B68" s="165" t="s">
        <v>1419</v>
      </c>
      <c r="C68" s="221"/>
      <c r="D68" s="221"/>
      <c r="E68" s="222"/>
      <c r="F68" s="251"/>
      <c r="G68" s="222"/>
      <c r="H68" s="222" t="s">
        <v>1331</v>
      </c>
    </row>
    <row r="69" spans="2:24">
      <c r="B69" s="225" t="s">
        <v>1393</v>
      </c>
      <c r="C69" s="226"/>
      <c r="D69" s="226"/>
      <c r="E69" s="227"/>
      <c r="F69" s="227"/>
      <c r="G69" s="226"/>
      <c r="H69" s="228">
        <f>SUM(H57:H68)</f>
        <v>2312237655</v>
      </c>
    </row>
    <row r="70" spans="2:24" s="205" customFormat="1" ht="90">
      <c r="B70" s="240" t="s">
        <v>1420</v>
      </c>
      <c r="E70" s="217"/>
      <c r="F70" s="217"/>
      <c r="I70"/>
    </row>
    <row r="72" spans="2:24" s="205" customFormat="1" ht="14.45" customHeight="1">
      <c r="B72" s="686" t="str">
        <f>B11</f>
        <v>4.4. Mejora de las capacidades de innovación en el sector lácteo colombiano.</v>
      </c>
      <c r="C72" s="687"/>
      <c r="D72" s="687"/>
      <c r="E72" s="687"/>
      <c r="F72" s="687"/>
      <c r="G72" s="687"/>
      <c r="H72" s="687"/>
      <c r="W72" s="217"/>
    </row>
    <row r="73" spans="2:24" s="205" customFormat="1" ht="14.45" customHeight="1">
      <c r="B73" s="688"/>
      <c r="C73" s="688"/>
      <c r="D73" s="688"/>
      <c r="E73" s="688"/>
      <c r="F73" s="688"/>
      <c r="G73" s="688"/>
      <c r="H73" s="688"/>
      <c r="W73" s="217"/>
    </row>
    <row r="74" spans="2:24">
      <c r="B74" s="218" t="s">
        <v>1338</v>
      </c>
      <c r="C74" s="218" t="s">
        <v>522</v>
      </c>
      <c r="D74" s="218" t="s">
        <v>263</v>
      </c>
      <c r="E74" s="218" t="s">
        <v>262</v>
      </c>
      <c r="F74" s="219" t="s">
        <v>1339</v>
      </c>
      <c r="G74" s="218" t="s">
        <v>711</v>
      </c>
      <c r="H74" s="218" t="s">
        <v>1340</v>
      </c>
      <c r="X74" s="220"/>
    </row>
    <row r="75" spans="2:24" ht="14.45" customHeight="1">
      <c r="B75" s="221" t="s">
        <v>1359</v>
      </c>
      <c r="C75" s="221">
        <v>6</v>
      </c>
      <c r="D75" s="221" t="s">
        <v>1342</v>
      </c>
      <c r="E75" s="222">
        <f>'Categorias de Costos lácteo '!C125</f>
        <v>1000000</v>
      </c>
      <c r="F75" s="224"/>
      <c r="G75" s="221"/>
      <c r="H75" s="222">
        <f t="shared" ref="H75:H79" si="16">+C75*E75</f>
        <v>6000000</v>
      </c>
    </row>
    <row r="76" spans="2:24" ht="14.45" customHeight="1">
      <c r="B76" s="221" t="s">
        <v>1343</v>
      </c>
      <c r="C76" s="221">
        <v>6</v>
      </c>
      <c r="D76" s="221" t="s">
        <v>1342</v>
      </c>
      <c r="E76" s="222">
        <f>'Categorias de Costos lácteo '!C133</f>
        <v>100000</v>
      </c>
      <c r="F76" s="224"/>
      <c r="G76" s="221"/>
      <c r="H76" s="222">
        <f t="shared" si="16"/>
        <v>600000</v>
      </c>
    </row>
    <row r="77" spans="2:24" ht="14.45" customHeight="1">
      <c r="B77" s="221" t="s">
        <v>1344</v>
      </c>
      <c r="C77" s="221">
        <v>8</v>
      </c>
      <c r="D77" s="221" t="s">
        <v>1342</v>
      </c>
      <c r="E77" s="222">
        <f>'Categorias de Costos lácteo '!C123</f>
        <v>5000000</v>
      </c>
      <c r="F77" s="224"/>
      <c r="G77" s="221"/>
      <c r="H77" s="222">
        <f t="shared" si="16"/>
        <v>40000000</v>
      </c>
    </row>
    <row r="78" spans="2:24">
      <c r="B78" s="221" t="s">
        <v>1345</v>
      </c>
      <c r="C78" s="221">
        <v>15</v>
      </c>
      <c r="D78" s="221" t="s">
        <v>1342</v>
      </c>
      <c r="E78" s="222">
        <f>'Categorias de Costos lácteo '!C124</f>
        <v>5700000</v>
      </c>
      <c r="F78" s="222"/>
      <c r="G78" s="221"/>
      <c r="H78" s="222">
        <f t="shared" si="16"/>
        <v>85500000</v>
      </c>
    </row>
    <row r="79" spans="2:24">
      <c r="B79" s="221" t="s">
        <v>1414</v>
      </c>
      <c r="C79" s="221">
        <v>15</v>
      </c>
      <c r="D79" s="221" t="s">
        <v>1342</v>
      </c>
      <c r="E79" s="222">
        <f>'Categorias de Costos lácteo '!C134</f>
        <v>570000</v>
      </c>
      <c r="F79" s="222"/>
      <c r="G79" s="221"/>
      <c r="H79" s="222">
        <f t="shared" si="16"/>
        <v>8550000</v>
      </c>
    </row>
    <row r="80" spans="2:24">
      <c r="B80" s="247" t="s">
        <v>1406</v>
      </c>
      <c r="C80" s="221">
        <f>2*10</f>
        <v>20</v>
      </c>
      <c r="D80" s="221" t="s">
        <v>1381</v>
      </c>
      <c r="E80" s="222">
        <f>'Categorias de Costos lácteo '!D275</f>
        <v>9000000</v>
      </c>
      <c r="F80" s="221"/>
      <c r="G80" s="221"/>
      <c r="H80" s="222">
        <f t="shared" ref="H80:H82" si="17">C80*E80</f>
        <v>180000000</v>
      </c>
    </row>
    <row r="81" spans="2:9">
      <c r="B81" s="247" t="s">
        <v>1388</v>
      </c>
      <c r="C81" s="221">
        <v>10</v>
      </c>
      <c r="D81" s="221" t="s">
        <v>1342</v>
      </c>
      <c r="E81" s="222">
        <f>'Categorias de Costos lácteo '!C227</f>
        <v>40000000</v>
      </c>
      <c r="F81" s="221"/>
      <c r="G81" s="221"/>
      <c r="H81" s="222">
        <f t="shared" si="17"/>
        <v>400000000</v>
      </c>
    </row>
    <row r="82" spans="2:9">
      <c r="B82" s="247" t="s">
        <v>1389</v>
      </c>
      <c r="C82" s="221">
        <v>10</v>
      </c>
      <c r="D82" s="221" t="s">
        <v>1342</v>
      </c>
      <c r="E82" s="222">
        <f>'Categorias de Costos lácteo '!C228</f>
        <v>21000000</v>
      </c>
      <c r="F82" s="221"/>
      <c r="G82" s="221"/>
      <c r="H82" s="222">
        <f t="shared" si="17"/>
        <v>210000000</v>
      </c>
    </row>
    <row r="83" spans="2:9">
      <c r="B83" s="247" t="s">
        <v>1421</v>
      </c>
      <c r="C83" s="221">
        <v>50</v>
      </c>
      <c r="D83" s="221" t="s">
        <v>1342</v>
      </c>
      <c r="E83" s="222">
        <f>'Categorias de Costos lácteo '!J408</f>
        <v>8555254.040000001</v>
      </c>
      <c r="F83" s="221"/>
      <c r="G83" s="221"/>
      <c r="H83" s="222">
        <v>427762702.00000006</v>
      </c>
    </row>
    <row r="84" spans="2:9">
      <c r="B84" s="247" t="s">
        <v>1422</v>
      </c>
      <c r="C84" s="221">
        <v>10</v>
      </c>
      <c r="D84" s="221" t="s">
        <v>1342</v>
      </c>
      <c r="E84" s="222">
        <v>17110508.080000002</v>
      </c>
      <c r="F84" s="221"/>
      <c r="G84" s="221"/>
      <c r="H84" s="222">
        <v>171105080.80000001</v>
      </c>
    </row>
    <row r="85" spans="2:9">
      <c r="B85" s="165" t="s">
        <v>1353</v>
      </c>
      <c r="C85" s="221">
        <v>5</v>
      </c>
      <c r="D85" s="221" t="s">
        <v>1342</v>
      </c>
      <c r="E85" s="222">
        <f>'Categorias de Costos lácteo '!D71</f>
        <v>199306</v>
      </c>
      <c r="F85" s="237">
        <v>1</v>
      </c>
      <c r="G85" s="221">
        <v>12</v>
      </c>
      <c r="H85" s="222">
        <f>C85*E85*G85*F85</f>
        <v>11958360</v>
      </c>
    </row>
    <row r="86" spans="2:9">
      <c r="B86" s="165" t="s">
        <v>1412</v>
      </c>
      <c r="C86" s="221"/>
      <c r="D86" s="221"/>
      <c r="E86" s="222"/>
      <c r="F86" s="251"/>
      <c r="G86" s="222"/>
      <c r="H86" s="222" t="s">
        <v>1331</v>
      </c>
    </row>
    <row r="87" spans="2:9">
      <c r="B87" s="225" t="s">
        <v>1423</v>
      </c>
      <c r="C87" s="226"/>
      <c r="D87" s="226"/>
      <c r="E87" s="227"/>
      <c r="F87" s="227"/>
      <c r="G87" s="226"/>
      <c r="H87" s="228">
        <f>SUM(H75:H86)-H83-H84</f>
        <v>942608360</v>
      </c>
    </row>
    <row r="88" spans="2:9">
      <c r="B88" s="242" t="s">
        <v>1424</v>
      </c>
      <c r="C88" s="243"/>
      <c r="D88" s="243"/>
      <c r="E88" s="244"/>
      <c r="F88" s="244"/>
      <c r="G88" s="243"/>
      <c r="H88" s="245">
        <f>SUM(H75:H86)</f>
        <v>1541476142.8</v>
      </c>
    </row>
    <row r="89" spans="2:9" s="205" customFormat="1" ht="90">
      <c r="B89" s="240" t="s">
        <v>1420</v>
      </c>
      <c r="E89" s="217"/>
      <c r="F89" s="217"/>
      <c r="I89"/>
    </row>
  </sheetData>
  <mergeCells count="4">
    <mergeCell ref="B15:H15"/>
    <mergeCell ref="B35:H36"/>
    <mergeCell ref="B54:H55"/>
    <mergeCell ref="B72:H73"/>
  </mergeCells>
  <pageMargins left="0.7" right="0.7" top="0.75" bottom="0.75" header="0.3" footer="0.3"/>
  <ignoredErrors>
    <ignoredError sqref="H28"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15"/>
  <sheetViews>
    <sheetView windowProtection="1" showGridLines="0" topLeftCell="A76" zoomScaleNormal="100" workbookViewId="0">
      <selection activeCell="C80" sqref="C80"/>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24" width="23.42578125" customWidth="1"/>
    <col min="25" max="25" width="25.7109375" bestFit="1" customWidth="1"/>
  </cols>
  <sheetData>
    <row r="2" spans="1:25" ht="15.75">
      <c r="A2" s="203" t="s">
        <v>1334</v>
      </c>
    </row>
    <row r="3" spans="1:25" s="205" customFormat="1">
      <c r="A3" s="204"/>
    </row>
    <row r="4" spans="1:25" ht="15.75">
      <c r="A4" s="206" t="s">
        <v>1335</v>
      </c>
      <c r="B4" s="206" t="str">
        <f>Portafolio_Cadena_Láctea!C75</f>
        <v>5. Mejora de la eficiencia productiva en la cadena láctea.</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SUM(D8:D11)</f>
        <v>0</v>
      </c>
      <c r="E7" s="249">
        <f t="shared" ref="E7:X7" si="0">SUM(E8:E11)</f>
        <v>0</v>
      </c>
      <c r="F7" s="249">
        <f t="shared" si="0"/>
        <v>0</v>
      </c>
      <c r="G7" s="249">
        <f t="shared" si="0"/>
        <v>4697974743</v>
      </c>
      <c r="H7" s="249">
        <f t="shared" si="0"/>
        <v>6675598090.5</v>
      </c>
      <c r="I7" s="249">
        <f t="shared" si="0"/>
        <v>4866751013.1999998</v>
      </c>
      <c r="J7" s="249">
        <f t="shared" si="0"/>
        <v>10863214703.200001</v>
      </c>
      <c r="K7" s="249">
        <f t="shared" si="0"/>
        <v>8885591355.7000008</v>
      </c>
      <c r="L7" s="249">
        <f t="shared" si="0"/>
        <v>10863214703.200001</v>
      </c>
      <c r="M7" s="249">
        <f t="shared" si="0"/>
        <v>5533362850.5</v>
      </c>
      <c r="N7" s="249">
        <f t="shared" si="0"/>
        <v>10138264228.200001</v>
      </c>
      <c r="O7" s="249">
        <f t="shared" si="0"/>
        <v>6258313325.5</v>
      </c>
      <c r="P7" s="249">
        <f t="shared" si="0"/>
        <v>10138264228.200001</v>
      </c>
      <c r="Q7" s="249">
        <f t="shared" si="0"/>
        <v>5533362850.5</v>
      </c>
      <c r="R7" s="249">
        <f t="shared" si="0"/>
        <v>10863214703.200001</v>
      </c>
      <c r="S7" s="249">
        <f t="shared" si="0"/>
        <v>5533362850.5</v>
      </c>
      <c r="T7" s="249">
        <f t="shared" si="0"/>
        <v>7593983906.6999998</v>
      </c>
      <c r="U7" s="249">
        <f t="shared" si="0"/>
        <v>4424802289</v>
      </c>
      <c r="V7" s="249">
        <f t="shared" si="0"/>
        <v>7593983906.6999998</v>
      </c>
      <c r="W7" s="249">
        <f t="shared" si="0"/>
        <v>3699851814</v>
      </c>
      <c r="X7" s="249">
        <f t="shared" si="0"/>
        <v>8318934381.6999998</v>
      </c>
      <c r="Y7" s="249">
        <f>SUM(Y8:Y11)</f>
        <v>132482045943.5</v>
      </c>
    </row>
    <row r="8" spans="1:25" s="214" customFormat="1" ht="30.6" customHeight="1">
      <c r="A8" s="205"/>
      <c r="B8" s="211" t="str">
        <f>Portafolio_Cadena_Láctea!D75</f>
        <v xml:space="preserve">5.1. Incremento de la producción de sólidos útiles de leche por área.
</v>
      </c>
      <c r="C8" s="212" t="s">
        <v>1425</v>
      </c>
      <c r="D8" s="213"/>
      <c r="E8" s="253"/>
      <c r="F8" s="213"/>
      <c r="G8" s="213">
        <f>H29</f>
        <v>724950475</v>
      </c>
      <c r="H8" s="213">
        <f t="shared" ref="H8:L8" si="1">G8</f>
        <v>724950475</v>
      </c>
      <c r="I8" s="213">
        <f t="shared" si="1"/>
        <v>724950475</v>
      </c>
      <c r="J8" s="213">
        <f t="shared" si="1"/>
        <v>724950475</v>
      </c>
      <c r="K8" s="213">
        <f t="shared" si="1"/>
        <v>724950475</v>
      </c>
      <c r="L8" s="253">
        <f t="shared" si="1"/>
        <v>724950475</v>
      </c>
      <c r="M8" s="213"/>
      <c r="N8" s="213"/>
      <c r="O8" s="213">
        <f>+L8</f>
        <v>724950475</v>
      </c>
      <c r="P8" s="213"/>
      <c r="Q8" s="253"/>
      <c r="R8" s="213">
        <f>+O8</f>
        <v>724950475</v>
      </c>
      <c r="S8" s="213"/>
      <c r="T8" s="213"/>
      <c r="U8" s="213">
        <f>+R8</f>
        <v>724950475</v>
      </c>
      <c r="V8" s="253"/>
      <c r="W8" s="213"/>
      <c r="X8" s="213">
        <f>+U8</f>
        <v>724950475</v>
      </c>
      <c r="Y8" s="213">
        <f>SUM(D8:X8)</f>
        <v>7249504750</v>
      </c>
    </row>
    <row r="9" spans="1:25" s="214" customFormat="1" ht="45">
      <c r="A9" s="215"/>
      <c r="B9" s="211" t="str">
        <f>Portafolio_Cadena_Láctea!D79</f>
        <v>5.2. Aumento de la oferta y de los estándares de calidad en la producción de forrajes frescos y conservados, y de subproductos agrícolas de interés en la nutrición bovina.</v>
      </c>
      <c r="C9" s="212" t="s">
        <v>1426</v>
      </c>
      <c r="D9" s="216"/>
      <c r="E9" s="216"/>
      <c r="F9" s="213"/>
      <c r="G9" s="253">
        <f>H53</f>
        <v>2458501760</v>
      </c>
      <c r="H9" s="213">
        <f>G9</f>
        <v>2458501760</v>
      </c>
      <c r="I9" s="213">
        <f>H54</f>
        <v>2627278030.1999998</v>
      </c>
      <c r="J9" s="213">
        <f t="shared" ref="J9:L9" si="2">I9</f>
        <v>2627278030.1999998</v>
      </c>
      <c r="K9" s="213">
        <f t="shared" si="2"/>
        <v>2627278030.1999998</v>
      </c>
      <c r="L9" s="213">
        <f t="shared" si="2"/>
        <v>2627278030.1999998</v>
      </c>
      <c r="M9" s="213"/>
      <c r="N9" s="213">
        <f>+L9</f>
        <v>2627278030.1999998</v>
      </c>
      <c r="O9" s="253"/>
      <c r="P9" s="213">
        <f>+N9</f>
        <v>2627278030.1999998</v>
      </c>
      <c r="Q9" s="213"/>
      <c r="R9" s="213">
        <f>+P9</f>
        <v>2627278030.1999998</v>
      </c>
      <c r="S9" s="253"/>
      <c r="T9" s="213">
        <f>+R9</f>
        <v>2627278030.1999998</v>
      </c>
      <c r="U9" s="213"/>
      <c r="V9" s="213">
        <f>+T9</f>
        <v>2627278030.1999998</v>
      </c>
      <c r="W9" s="213"/>
      <c r="X9" s="213">
        <f>+V9</f>
        <v>2627278030.1999998</v>
      </c>
      <c r="Y9" s="213">
        <f t="shared" ref="Y9:Y11" si="3">SUM(D9:X9)</f>
        <v>31189783822.000004</v>
      </c>
    </row>
    <row r="10" spans="1:25" s="214" customFormat="1" ht="30">
      <c r="A10" s="215"/>
      <c r="B10" s="211" t="str">
        <f>Portafolio_Cadena_Láctea!D85</f>
        <v>5.3. Incrementar la eficiencia en el acopio de leche y la fabricación de productos lácteos.</v>
      </c>
      <c r="C10" s="212" t="s">
        <v>1402</v>
      </c>
      <c r="D10" s="216"/>
      <c r="E10" s="216"/>
      <c r="F10" s="213"/>
      <c r="G10" s="253">
        <f>H84</f>
        <v>1514522508</v>
      </c>
      <c r="H10" s="213">
        <f>G10</f>
        <v>1514522508</v>
      </c>
      <c r="I10" s="213">
        <f>H10</f>
        <v>1514522508</v>
      </c>
      <c r="J10" s="213">
        <f>H85</f>
        <v>5533362850.5</v>
      </c>
      <c r="K10" s="213">
        <f t="shared" ref="K10:S10" si="4">J10</f>
        <v>5533362850.5</v>
      </c>
      <c r="L10" s="213">
        <f t="shared" si="4"/>
        <v>5533362850.5</v>
      </c>
      <c r="M10" s="213">
        <f t="shared" si="4"/>
        <v>5533362850.5</v>
      </c>
      <c r="N10" s="213">
        <f t="shared" si="4"/>
        <v>5533362850.5</v>
      </c>
      <c r="O10" s="253">
        <f t="shared" si="4"/>
        <v>5533362850.5</v>
      </c>
      <c r="P10" s="213">
        <f t="shared" si="4"/>
        <v>5533362850.5</v>
      </c>
      <c r="Q10" s="213">
        <f t="shared" si="4"/>
        <v>5533362850.5</v>
      </c>
      <c r="R10" s="213">
        <f t="shared" si="4"/>
        <v>5533362850.5</v>
      </c>
      <c r="S10" s="253">
        <f t="shared" si="4"/>
        <v>5533362850.5</v>
      </c>
      <c r="T10" s="213">
        <f>H86</f>
        <v>2989082529</v>
      </c>
      <c r="U10" s="213">
        <f>H87</f>
        <v>3699851814</v>
      </c>
      <c r="V10" s="213">
        <f>T10</f>
        <v>2989082529</v>
      </c>
      <c r="W10" s="213">
        <f>U10</f>
        <v>3699851814</v>
      </c>
      <c r="X10" s="213">
        <f>V10</f>
        <v>2989082529</v>
      </c>
      <c r="Y10" s="213">
        <f t="shared" si="3"/>
        <v>76244147244</v>
      </c>
    </row>
    <row r="11" spans="1:25" s="214" customFormat="1" ht="45">
      <c r="A11" s="215"/>
      <c r="B11" s="211" t="str">
        <f>Portafolio_Cadena_Láctea!D91</f>
        <v xml:space="preserve">5.4. Optimizar los procesos distribución de productos lácteos en Colombia.
</v>
      </c>
      <c r="C11" s="212" t="s">
        <v>1427</v>
      </c>
      <c r="D11" s="216"/>
      <c r="E11" s="216"/>
      <c r="F11" s="213"/>
      <c r="G11" s="253"/>
      <c r="H11" s="213">
        <f>H113</f>
        <v>1977623347.5</v>
      </c>
      <c r="I11" s="213"/>
      <c r="J11" s="213">
        <f>+H11</f>
        <v>1977623347.5</v>
      </c>
      <c r="K11" s="213"/>
      <c r="L11" s="213">
        <f>+J11</f>
        <v>1977623347.5</v>
      </c>
      <c r="M11" s="213"/>
      <c r="N11" s="213">
        <f>+L11</f>
        <v>1977623347.5</v>
      </c>
      <c r="O11" s="253"/>
      <c r="P11" s="213">
        <f>+N11</f>
        <v>1977623347.5</v>
      </c>
      <c r="Q11" s="213"/>
      <c r="R11" s="213">
        <f>+P11</f>
        <v>1977623347.5</v>
      </c>
      <c r="S11" s="253"/>
      <c r="T11" s="213">
        <f>H113</f>
        <v>1977623347.5</v>
      </c>
      <c r="U11" s="213"/>
      <c r="V11" s="213">
        <f>+T11</f>
        <v>1977623347.5</v>
      </c>
      <c r="W11" s="213"/>
      <c r="X11" s="213">
        <f>+V11</f>
        <v>1977623347.5</v>
      </c>
      <c r="Y11" s="213">
        <f t="shared" si="3"/>
        <v>17798610127.5</v>
      </c>
    </row>
    <row r="12" spans="1:25" s="210" customFormat="1">
      <c r="A12"/>
      <c r="B12" s="209" t="s">
        <v>46</v>
      </c>
      <c r="C12" s="209"/>
      <c r="D12" s="249">
        <f t="shared" ref="D12:W12" si="5">SUM(D8:D11)</f>
        <v>0</v>
      </c>
      <c r="E12" s="249">
        <f t="shared" si="5"/>
        <v>0</v>
      </c>
      <c r="F12" s="249">
        <f t="shared" si="5"/>
        <v>0</v>
      </c>
      <c r="G12" s="249">
        <f t="shared" si="5"/>
        <v>4697974743</v>
      </c>
      <c r="H12" s="249">
        <f t="shared" si="5"/>
        <v>6675598090.5</v>
      </c>
      <c r="I12" s="249">
        <f t="shared" si="5"/>
        <v>4866751013.1999998</v>
      </c>
      <c r="J12" s="249">
        <f t="shared" si="5"/>
        <v>10863214703.200001</v>
      </c>
      <c r="K12" s="249">
        <f t="shared" si="5"/>
        <v>8885591355.7000008</v>
      </c>
      <c r="L12" s="249">
        <f t="shared" si="5"/>
        <v>10863214703.200001</v>
      </c>
      <c r="M12" s="249">
        <f t="shared" si="5"/>
        <v>5533362850.5</v>
      </c>
      <c r="N12" s="249">
        <f t="shared" si="5"/>
        <v>10138264228.200001</v>
      </c>
      <c r="O12" s="249">
        <f t="shared" si="5"/>
        <v>6258313325.5</v>
      </c>
      <c r="P12" s="249">
        <f t="shared" si="5"/>
        <v>10138264228.200001</v>
      </c>
      <c r="Q12" s="249">
        <f t="shared" si="5"/>
        <v>5533362850.5</v>
      </c>
      <c r="R12" s="249">
        <f t="shared" si="5"/>
        <v>10863214703.200001</v>
      </c>
      <c r="S12" s="249">
        <f t="shared" si="5"/>
        <v>5533362850.5</v>
      </c>
      <c r="T12" s="249">
        <f t="shared" si="5"/>
        <v>7593983906.6999998</v>
      </c>
      <c r="U12" s="249">
        <f t="shared" si="5"/>
        <v>4424802289</v>
      </c>
      <c r="V12" s="249">
        <f t="shared" si="5"/>
        <v>7593983906.6999998</v>
      </c>
      <c r="W12" s="249">
        <f t="shared" si="5"/>
        <v>3699851814</v>
      </c>
      <c r="X12" s="249">
        <f>SUM(X8:X11)</f>
        <v>8318934381.6999998</v>
      </c>
      <c r="Y12" s="249">
        <f>SUM(Y8:Y11)</f>
        <v>132482045943.5</v>
      </c>
    </row>
    <row r="15" spans="1:25" s="205" customFormat="1" ht="26.1" customHeight="1">
      <c r="B15" s="690" t="str">
        <f>B8</f>
        <v xml:space="preserve">5.1. Incremento de la producción de sólidos útiles de leche por área.
</v>
      </c>
      <c r="C15" s="691"/>
      <c r="D15" s="691"/>
      <c r="E15" s="691"/>
      <c r="F15" s="691"/>
      <c r="G15" s="691"/>
      <c r="H15" s="691"/>
      <c r="W15" s="217"/>
    </row>
    <row r="16" spans="1:25">
      <c r="B16" s="218" t="s">
        <v>1338</v>
      </c>
      <c r="C16" s="218" t="s">
        <v>522</v>
      </c>
      <c r="D16" s="218" t="s">
        <v>263</v>
      </c>
      <c r="E16" s="218" t="s">
        <v>262</v>
      </c>
      <c r="F16" s="219" t="s">
        <v>1339</v>
      </c>
      <c r="G16" s="218" t="s">
        <v>711</v>
      </c>
      <c r="H16" s="218" t="s">
        <v>1340</v>
      </c>
      <c r="X16" s="220"/>
    </row>
    <row r="17" spans="2:9" ht="14.45" customHeight="1">
      <c r="B17" s="221" t="s">
        <v>1359</v>
      </c>
      <c r="C17" s="221">
        <v>6</v>
      </c>
      <c r="D17" s="221" t="s">
        <v>1342</v>
      </c>
      <c r="E17" s="222">
        <f>'Categorias de Costos lácteo '!C125</f>
        <v>1000000</v>
      </c>
      <c r="F17" s="224"/>
      <c r="G17" s="221"/>
      <c r="H17" s="222">
        <f t="shared" ref="H17:H22" si="6">+C17*E17</f>
        <v>6000000</v>
      </c>
    </row>
    <row r="18" spans="2:9" ht="14.45" customHeight="1">
      <c r="B18" s="221" t="s">
        <v>1343</v>
      </c>
      <c r="C18" s="221">
        <v>6</v>
      </c>
      <c r="D18" s="221" t="s">
        <v>1342</v>
      </c>
      <c r="E18" s="222">
        <f>'Categorias de Costos lácteo '!C133</f>
        <v>100000</v>
      </c>
      <c r="F18" s="224"/>
      <c r="G18" s="221"/>
      <c r="H18" s="222">
        <f t="shared" si="6"/>
        <v>600000</v>
      </c>
    </row>
    <row r="19" spans="2:9" ht="14.45" customHeight="1">
      <c r="B19" s="221" t="s">
        <v>1344</v>
      </c>
      <c r="C19" s="221">
        <v>4</v>
      </c>
      <c r="D19" s="221" t="s">
        <v>1342</v>
      </c>
      <c r="E19" s="222">
        <f>+'Categorias de Costos lácteo '!C123</f>
        <v>5000000</v>
      </c>
      <c r="F19" s="224"/>
      <c r="G19" s="221"/>
      <c r="H19" s="222">
        <f t="shared" si="6"/>
        <v>20000000</v>
      </c>
    </row>
    <row r="20" spans="2:9">
      <c r="B20" s="221" t="s">
        <v>1345</v>
      </c>
      <c r="C20" s="221">
        <v>10</v>
      </c>
      <c r="D20" s="221" t="s">
        <v>1342</v>
      </c>
      <c r="E20" s="222">
        <f>+'Categorias de Costos lácteo '!C124</f>
        <v>5700000</v>
      </c>
      <c r="F20" s="222"/>
      <c r="G20" s="221"/>
      <c r="H20" s="222">
        <f t="shared" si="6"/>
        <v>57000000</v>
      </c>
    </row>
    <row r="21" spans="2:9">
      <c r="B21" s="221" t="s">
        <v>1405</v>
      </c>
      <c r="C21" s="221">
        <v>10</v>
      </c>
      <c r="D21" s="221" t="s">
        <v>1342</v>
      </c>
      <c r="E21" s="222">
        <f>'Categorias de Costos lácteo '!C134</f>
        <v>570000</v>
      </c>
      <c r="F21" s="222"/>
      <c r="G21" s="221"/>
      <c r="H21" s="222">
        <f t="shared" si="6"/>
        <v>5700000</v>
      </c>
    </row>
    <row r="22" spans="2:9">
      <c r="B22" s="221" t="s">
        <v>1428</v>
      </c>
      <c r="C22" s="221">
        <v>30</v>
      </c>
      <c r="D22" s="221" t="s">
        <v>1342</v>
      </c>
      <c r="E22" s="222">
        <f>'Categorias de Costos lácteo '!C132</f>
        <v>6010000</v>
      </c>
      <c r="F22" s="222"/>
      <c r="G22" s="221"/>
      <c r="H22" s="222">
        <f t="shared" si="6"/>
        <v>180300000</v>
      </c>
    </row>
    <row r="23" spans="2:9">
      <c r="B23" s="247" t="s">
        <v>1406</v>
      </c>
      <c r="C23" s="221">
        <v>10</v>
      </c>
      <c r="D23" s="221" t="s">
        <v>1415</v>
      </c>
      <c r="E23" s="222">
        <f>'Categorias de Costos lácteo '!D275</f>
        <v>9000000</v>
      </c>
      <c r="F23" s="221"/>
      <c r="G23" s="221"/>
      <c r="H23" s="222">
        <f t="shared" ref="H23:H24" si="7">C23*E23</f>
        <v>90000000</v>
      </c>
    </row>
    <row r="24" spans="2:9">
      <c r="B24" s="247" t="s">
        <v>1408</v>
      </c>
      <c r="C24" s="221">
        <v>10</v>
      </c>
      <c r="D24" s="221" t="s">
        <v>1381</v>
      </c>
      <c r="E24" s="222">
        <f>'Categorias de Costos lácteo '!D276</f>
        <v>1500000</v>
      </c>
      <c r="F24" s="221"/>
      <c r="G24" s="221"/>
      <c r="H24" s="222">
        <f t="shared" si="7"/>
        <v>15000000</v>
      </c>
    </row>
    <row r="25" spans="2:9">
      <c r="B25" s="247" t="s">
        <v>1409</v>
      </c>
      <c r="C25" s="221">
        <v>10</v>
      </c>
      <c r="D25" s="221" t="s">
        <v>1381</v>
      </c>
      <c r="E25" s="222">
        <f>'Categorias de Costos lácteo '!D280</f>
        <v>150000</v>
      </c>
      <c r="F25" s="221"/>
      <c r="G25" s="221"/>
      <c r="H25" s="222">
        <f>C25*E25</f>
        <v>1500000</v>
      </c>
    </row>
    <row r="26" spans="2:9">
      <c r="B26" s="165" t="s">
        <v>1353</v>
      </c>
      <c r="C26" s="221">
        <v>5</v>
      </c>
      <c r="D26" s="221" t="s">
        <v>1342</v>
      </c>
      <c r="E26" s="222">
        <f>'Categorias de Costos lácteo '!D52</f>
        <v>5464476</v>
      </c>
      <c r="F26" s="237">
        <v>1</v>
      </c>
      <c r="G26" s="221">
        <v>12</v>
      </c>
      <c r="H26" s="222">
        <f>C26*E26*G26*F26</f>
        <v>327868560</v>
      </c>
    </row>
    <row r="27" spans="2:9">
      <c r="B27" s="165" t="s">
        <v>1354</v>
      </c>
      <c r="C27" s="221">
        <v>10</v>
      </c>
      <c r="D27" s="221" t="s">
        <v>1352</v>
      </c>
      <c r="E27" s="222">
        <f>'Categorias de Costos lácteo '!G52+'Categorias de Costos lácteo '!C82</f>
        <v>2098191.5</v>
      </c>
      <c r="F27" s="237"/>
      <c r="G27" s="221"/>
      <c r="H27" s="222">
        <f>C27*E27</f>
        <v>20981915</v>
      </c>
    </row>
    <row r="28" spans="2:9">
      <c r="B28" s="165" t="s">
        <v>1429</v>
      </c>
      <c r="C28" s="221"/>
      <c r="D28" s="221"/>
      <c r="E28" s="222"/>
      <c r="F28" s="251"/>
      <c r="G28" s="222"/>
      <c r="H28" s="222" t="s">
        <v>1331</v>
      </c>
    </row>
    <row r="29" spans="2:9">
      <c r="B29" s="225" t="s">
        <v>46</v>
      </c>
      <c r="C29" s="226"/>
      <c r="D29" s="226"/>
      <c r="E29" s="227"/>
      <c r="F29" s="227"/>
      <c r="G29" s="226"/>
      <c r="H29" s="228">
        <f>SUM(H17:H28)</f>
        <v>724950475</v>
      </c>
    </row>
    <row r="30" spans="2:9" s="205" customFormat="1" ht="75">
      <c r="B30" s="229" t="s">
        <v>1709</v>
      </c>
      <c r="C30" s="215"/>
      <c r="E30" s="217"/>
      <c r="F30" s="217"/>
      <c r="H30" s="217"/>
      <c r="I30"/>
    </row>
    <row r="31" spans="2:9">
      <c r="H31" s="230"/>
    </row>
    <row r="32" spans="2:9">
      <c r="H32" s="231"/>
    </row>
    <row r="33" spans="2:24" s="205" customFormat="1" ht="14.45" customHeight="1">
      <c r="B33" s="686" t="str">
        <f>B9</f>
        <v>5.2. Aumento de la oferta y de los estándares de calidad en la producción de forrajes frescos y conservados, y de subproductos agrícolas de interés en la nutrición bovina.</v>
      </c>
      <c r="C33" s="687"/>
      <c r="D33" s="687"/>
      <c r="E33" s="687"/>
      <c r="F33" s="687"/>
      <c r="G33" s="687"/>
      <c r="H33" s="687"/>
      <c r="W33" s="217"/>
    </row>
    <row r="34" spans="2:24" s="205" customFormat="1" ht="14.45" customHeight="1">
      <c r="B34" s="688"/>
      <c r="C34" s="688"/>
      <c r="D34" s="688"/>
      <c r="E34" s="688"/>
      <c r="F34" s="688"/>
      <c r="G34" s="688"/>
      <c r="H34" s="688"/>
      <c r="W34" s="217"/>
    </row>
    <row r="35" spans="2:24">
      <c r="B35" s="218" t="s">
        <v>1338</v>
      </c>
      <c r="C35" s="218" t="s">
        <v>522</v>
      </c>
      <c r="D35" s="218" t="s">
        <v>263</v>
      </c>
      <c r="E35" s="218" t="s">
        <v>262</v>
      </c>
      <c r="F35" s="219" t="s">
        <v>1339</v>
      </c>
      <c r="G35" s="218" t="s">
        <v>711</v>
      </c>
      <c r="H35" s="218" t="s">
        <v>1340</v>
      </c>
      <c r="X35" s="220"/>
    </row>
    <row r="36" spans="2:24" ht="14.45" customHeight="1">
      <c r="B36" s="221" t="s">
        <v>1359</v>
      </c>
      <c r="C36" s="221">
        <v>6</v>
      </c>
      <c r="D36" s="221" t="s">
        <v>1342</v>
      </c>
      <c r="E36" s="222">
        <f>'Categorias de Costos lácteo '!C125</f>
        <v>1000000</v>
      </c>
      <c r="F36" s="224"/>
      <c r="G36" s="221"/>
      <c r="H36" s="222">
        <f t="shared" ref="H36:H40" si="8">+C36*E36</f>
        <v>6000000</v>
      </c>
    </row>
    <row r="37" spans="2:24" ht="14.45" customHeight="1">
      <c r="B37" s="221" t="s">
        <v>1343</v>
      </c>
      <c r="C37" s="221">
        <v>6</v>
      </c>
      <c r="D37" s="221" t="s">
        <v>1342</v>
      </c>
      <c r="E37" s="222">
        <f>'Categorias de Costos lácteo '!C133</f>
        <v>100000</v>
      </c>
      <c r="F37" s="224"/>
      <c r="G37" s="221"/>
      <c r="H37" s="222">
        <f t="shared" si="8"/>
        <v>600000</v>
      </c>
    </row>
    <row r="38" spans="2:24" ht="14.45" customHeight="1">
      <c r="B38" s="221" t="s">
        <v>1344</v>
      </c>
      <c r="C38" s="221">
        <v>4</v>
      </c>
      <c r="D38" s="221" t="s">
        <v>1342</v>
      </c>
      <c r="E38" s="222">
        <f>'Categorias de Costos lácteo '!C123</f>
        <v>5000000</v>
      </c>
      <c r="F38" s="224"/>
      <c r="G38" s="221"/>
      <c r="H38" s="222">
        <f t="shared" si="8"/>
        <v>20000000</v>
      </c>
    </row>
    <row r="39" spans="2:24">
      <c r="B39" s="221" t="s">
        <v>1345</v>
      </c>
      <c r="C39" s="221">
        <v>30</v>
      </c>
      <c r="D39" s="221" t="s">
        <v>1342</v>
      </c>
      <c r="E39" s="222">
        <f>'Categorias de Costos lácteo '!C124</f>
        <v>5700000</v>
      </c>
      <c r="F39" s="222"/>
      <c r="G39" s="221"/>
      <c r="H39" s="222">
        <f t="shared" si="8"/>
        <v>171000000</v>
      </c>
    </row>
    <row r="40" spans="2:24">
      <c r="B40" s="221" t="s">
        <v>1414</v>
      </c>
      <c r="C40" s="221">
        <v>30</v>
      </c>
      <c r="D40" s="221" t="s">
        <v>1342</v>
      </c>
      <c r="E40" s="222">
        <f>'Categorias de Costos lácteo '!C134</f>
        <v>570000</v>
      </c>
      <c r="F40" s="222"/>
      <c r="G40" s="221"/>
      <c r="H40" s="222">
        <f t="shared" si="8"/>
        <v>17100000</v>
      </c>
    </row>
    <row r="41" spans="2:24">
      <c r="B41" s="247" t="s">
        <v>1406</v>
      </c>
      <c r="C41" s="221">
        <f>2*10</f>
        <v>20</v>
      </c>
      <c r="D41" s="221" t="s">
        <v>1381</v>
      </c>
      <c r="E41" s="222">
        <f>'Categorias de Costos lácteo '!D275</f>
        <v>9000000</v>
      </c>
      <c r="F41" s="221"/>
      <c r="G41" s="221"/>
      <c r="H41" s="222">
        <f t="shared" ref="H41:H42" si="9">C41*E41</f>
        <v>180000000</v>
      </c>
    </row>
    <row r="42" spans="2:24">
      <c r="B42" s="247" t="s">
        <v>1408</v>
      </c>
      <c r="C42" s="221">
        <f>5*10</f>
        <v>50</v>
      </c>
      <c r="D42" s="221" t="s">
        <v>1381</v>
      </c>
      <c r="E42" s="222">
        <f>'Categorias de Costos lácteo '!D276</f>
        <v>1500000</v>
      </c>
      <c r="F42" s="221"/>
      <c r="G42" s="221"/>
      <c r="H42" s="222">
        <f t="shared" si="9"/>
        <v>75000000</v>
      </c>
    </row>
    <row r="43" spans="2:24">
      <c r="B43" s="247" t="s">
        <v>1409</v>
      </c>
      <c r="C43" s="221">
        <f>5*10</f>
        <v>50</v>
      </c>
      <c r="D43" s="221" t="s">
        <v>1381</v>
      </c>
      <c r="E43" s="222">
        <f>'Categorias de Costos lácteo '!D280</f>
        <v>150000</v>
      </c>
      <c r="F43" s="221"/>
      <c r="G43" s="221"/>
      <c r="H43" s="222">
        <f>C43*E43</f>
        <v>7500000</v>
      </c>
    </row>
    <row r="44" spans="2:24">
      <c r="B44" s="165" t="s">
        <v>1430</v>
      </c>
      <c r="C44" s="221">
        <f>5*10</f>
        <v>50</v>
      </c>
      <c r="D44" s="221" t="s">
        <v>1342</v>
      </c>
      <c r="E44" s="222">
        <f>'Categorias de Costos lácteo '!C129</f>
        <v>7000000</v>
      </c>
      <c r="F44" s="221"/>
      <c r="G44" s="221"/>
      <c r="H44" s="222">
        <f>C44*E44</f>
        <v>350000000</v>
      </c>
    </row>
    <row r="45" spans="2:24">
      <c r="B45" s="165" t="s">
        <v>1431</v>
      </c>
      <c r="C45" s="221">
        <f>5*30</f>
        <v>150</v>
      </c>
      <c r="D45" s="221" t="s">
        <v>1342</v>
      </c>
      <c r="E45" s="222">
        <f>'Categorias de Costos lácteo '!C130</f>
        <v>5100000</v>
      </c>
      <c r="F45" s="221"/>
      <c r="G45" s="221"/>
      <c r="H45" s="222">
        <f>C45*E45</f>
        <v>765000000</v>
      </c>
    </row>
    <row r="46" spans="2:24">
      <c r="B46" s="165" t="s">
        <v>1432</v>
      </c>
      <c r="C46" s="221">
        <v>10</v>
      </c>
      <c r="D46" s="221" t="s">
        <v>1342</v>
      </c>
      <c r="E46" s="222">
        <f>'Categorias de Costos lácteo '!C227</f>
        <v>40000000</v>
      </c>
      <c r="F46" s="221"/>
      <c r="G46" s="221"/>
      <c r="H46" s="222">
        <f>C46*E46</f>
        <v>400000000</v>
      </c>
    </row>
    <row r="47" spans="2:24">
      <c r="B47" s="255" t="s">
        <v>1433</v>
      </c>
      <c r="C47" s="256">
        <v>10</v>
      </c>
      <c r="D47" s="256" t="s">
        <v>1342</v>
      </c>
      <c r="E47" s="257">
        <f>'Categorias de Costos lácteo '!I416</f>
        <v>4277627.0200000005</v>
      </c>
      <c r="F47" s="256"/>
      <c r="G47" s="256"/>
      <c r="H47" s="257">
        <f t="shared" ref="H47:H48" si="10">C47*E47</f>
        <v>42776270.200000003</v>
      </c>
    </row>
    <row r="48" spans="2:24">
      <c r="B48" s="256" t="s">
        <v>1434</v>
      </c>
      <c r="C48" s="256">
        <v>10</v>
      </c>
      <c r="D48" s="256" t="s">
        <v>1342</v>
      </c>
      <c r="E48" s="257">
        <f>'Categorias de Costos lácteo '!H424</f>
        <v>7000000</v>
      </c>
      <c r="F48" s="254"/>
      <c r="G48" s="256"/>
      <c r="H48" s="257">
        <f t="shared" si="10"/>
        <v>70000000</v>
      </c>
    </row>
    <row r="49" spans="2:24">
      <c r="B49" s="256" t="s">
        <v>1435</v>
      </c>
      <c r="C49" s="256">
        <v>5</v>
      </c>
      <c r="D49" s="256" t="s">
        <v>1342</v>
      </c>
      <c r="E49" s="257">
        <f>'Categorias de Costos lácteo '!H425</f>
        <v>11200000</v>
      </c>
      <c r="F49" s="254"/>
      <c r="G49" s="256"/>
      <c r="H49" s="257">
        <f>C49*E49</f>
        <v>56000000</v>
      </c>
    </row>
    <row r="50" spans="2:24">
      <c r="B50" s="165" t="s">
        <v>1353</v>
      </c>
      <c r="C50" s="221">
        <v>8</v>
      </c>
      <c r="D50" s="221" t="s">
        <v>1342</v>
      </c>
      <c r="E50" s="222">
        <f>'Categorias de Costos lácteo '!D53</f>
        <v>4857310</v>
      </c>
      <c r="F50" s="237">
        <v>1</v>
      </c>
      <c r="G50" s="221">
        <v>12</v>
      </c>
      <c r="H50" s="222">
        <f>C50*E50*G50*F50</f>
        <v>466301760</v>
      </c>
    </row>
    <row r="51" spans="2:24">
      <c r="B51" s="165" t="s">
        <v>1416</v>
      </c>
      <c r="C51" s="221"/>
      <c r="D51" s="221"/>
      <c r="E51" s="222"/>
      <c r="F51" s="237"/>
      <c r="G51" s="221"/>
      <c r="H51" s="222" t="s">
        <v>1331</v>
      </c>
    </row>
    <row r="52" spans="2:24">
      <c r="B52" s="165" t="s">
        <v>1357</v>
      </c>
      <c r="C52" s="221"/>
      <c r="D52" s="221"/>
      <c r="E52" s="222"/>
      <c r="F52" s="251"/>
      <c r="G52" s="222"/>
      <c r="H52" s="222" t="s">
        <v>1331</v>
      </c>
    </row>
    <row r="53" spans="2:24">
      <c r="B53" s="225" t="s">
        <v>1436</v>
      </c>
      <c r="C53" s="226"/>
      <c r="D53" s="226"/>
      <c r="E53" s="227"/>
      <c r="F53" s="227"/>
      <c r="G53" s="226"/>
      <c r="H53" s="228">
        <f>SUM(H36:H52)-H47-H48-H49</f>
        <v>2458501760</v>
      </c>
    </row>
    <row r="54" spans="2:24">
      <c r="B54" s="225" t="s">
        <v>1437</v>
      </c>
      <c r="C54" s="226"/>
      <c r="D54" s="226"/>
      <c r="E54" s="227"/>
      <c r="F54" s="227"/>
      <c r="G54" s="226"/>
      <c r="H54" s="228">
        <f>SUM(H36:H52)</f>
        <v>2627278030.1999998</v>
      </c>
    </row>
    <row r="55" spans="2:24" s="205" customFormat="1" ht="285">
      <c r="B55" s="240" t="s">
        <v>1710</v>
      </c>
      <c r="E55" s="217"/>
      <c r="F55" s="217"/>
      <c r="I55"/>
    </row>
    <row r="56" spans="2:24" s="205" customFormat="1">
      <c r="B56" s="240"/>
      <c r="E56" s="217"/>
      <c r="F56" s="217"/>
      <c r="I56"/>
    </row>
    <row r="57" spans="2:24" s="205" customFormat="1" ht="14.45" customHeight="1">
      <c r="B57" s="686" t="str">
        <f>B10</f>
        <v>5.3. Incrementar la eficiencia en el acopio de leche y la fabricación de productos lácteos.</v>
      </c>
      <c r="C57" s="687"/>
      <c r="D57" s="687"/>
      <c r="E57" s="687"/>
      <c r="F57" s="687"/>
      <c r="G57" s="687"/>
      <c r="H57" s="687"/>
      <c r="W57" s="217"/>
    </row>
    <row r="58" spans="2:24" s="205" customFormat="1" ht="14.45" customHeight="1">
      <c r="B58" s="688"/>
      <c r="C58" s="688"/>
      <c r="D58" s="688"/>
      <c r="E58" s="688"/>
      <c r="F58" s="688"/>
      <c r="G58" s="688"/>
      <c r="H58" s="688"/>
      <c r="W58" s="217"/>
    </row>
    <row r="59" spans="2:24">
      <c r="B59" s="218" t="s">
        <v>1338</v>
      </c>
      <c r="C59" s="218" t="s">
        <v>522</v>
      </c>
      <c r="D59" s="218" t="s">
        <v>263</v>
      </c>
      <c r="E59" s="218" t="s">
        <v>262</v>
      </c>
      <c r="F59" s="219" t="s">
        <v>1339</v>
      </c>
      <c r="G59" s="218" t="s">
        <v>711</v>
      </c>
      <c r="H59" s="218" t="s">
        <v>1340</v>
      </c>
      <c r="X59" s="220"/>
    </row>
    <row r="60" spans="2:24" ht="14.45" customHeight="1">
      <c r="B60" s="221" t="s">
        <v>1359</v>
      </c>
      <c r="C60" s="221">
        <v>6</v>
      </c>
      <c r="D60" s="221" t="s">
        <v>1342</v>
      </c>
      <c r="E60" s="222">
        <f>'Categorias de Costos lácteo '!C125</f>
        <v>1000000</v>
      </c>
      <c r="F60" s="224"/>
      <c r="G60" s="221"/>
      <c r="H60" s="222">
        <f>+C60*E60</f>
        <v>6000000</v>
      </c>
    </row>
    <row r="61" spans="2:24" ht="14.45" customHeight="1">
      <c r="B61" s="221" t="s">
        <v>1343</v>
      </c>
      <c r="C61" s="221">
        <v>6</v>
      </c>
      <c r="D61" s="221" t="s">
        <v>1342</v>
      </c>
      <c r="E61" s="222">
        <f>'Categorias de Costos lácteo '!C133</f>
        <v>100000</v>
      </c>
      <c r="F61" s="224"/>
      <c r="G61" s="221"/>
      <c r="H61" s="222">
        <f t="shared" ref="H61:H68" si="11">+C61*E61</f>
        <v>600000</v>
      </c>
    </row>
    <row r="62" spans="2:24" ht="14.45" customHeight="1">
      <c r="B62" s="221" t="s">
        <v>1344</v>
      </c>
      <c r="C62" s="221">
        <v>4</v>
      </c>
      <c r="D62" s="221" t="s">
        <v>1342</v>
      </c>
      <c r="E62" s="222">
        <f>'Categorias de Costos lácteo '!C123</f>
        <v>5000000</v>
      </c>
      <c r="F62" s="224"/>
      <c r="G62" s="221"/>
      <c r="H62" s="222">
        <f t="shared" si="11"/>
        <v>20000000</v>
      </c>
    </row>
    <row r="63" spans="2:24">
      <c r="B63" s="221" t="s">
        <v>1345</v>
      </c>
      <c r="C63" s="221">
        <v>10</v>
      </c>
      <c r="D63" s="221" t="s">
        <v>1342</v>
      </c>
      <c r="E63" s="222">
        <f>'Categorias de Costos lácteo '!C124</f>
        <v>5700000</v>
      </c>
      <c r="F63" s="222"/>
      <c r="G63" s="221"/>
      <c r="H63" s="222">
        <f t="shared" si="11"/>
        <v>57000000</v>
      </c>
    </row>
    <row r="64" spans="2:24">
      <c r="B64" s="221" t="s">
        <v>1414</v>
      </c>
      <c r="C64" s="221">
        <v>10</v>
      </c>
      <c r="D64" s="221" t="s">
        <v>1342</v>
      </c>
      <c r="E64" s="222">
        <f>'Categorias de Costos lácteo '!C134</f>
        <v>570000</v>
      </c>
      <c r="F64" s="222"/>
      <c r="G64" s="221"/>
      <c r="H64" s="222">
        <f t="shared" si="11"/>
        <v>5700000</v>
      </c>
    </row>
    <row r="65" spans="2:8">
      <c r="B65" s="247" t="s">
        <v>1408</v>
      </c>
      <c r="C65" s="221">
        <f>2*10</f>
        <v>20</v>
      </c>
      <c r="D65" s="221" t="s">
        <v>1381</v>
      </c>
      <c r="E65" s="222">
        <f>'Categorias de Costos lácteo '!D276</f>
        <v>1500000</v>
      </c>
      <c r="F65" s="221"/>
      <c r="G65" s="221"/>
      <c r="H65" s="222">
        <f t="shared" si="11"/>
        <v>30000000</v>
      </c>
    </row>
    <row r="66" spans="2:8">
      <c r="B66" s="247" t="s">
        <v>1409</v>
      </c>
      <c r="C66" s="221">
        <v>20</v>
      </c>
      <c r="D66" s="221" t="s">
        <v>1381</v>
      </c>
      <c r="E66" s="222">
        <f>'Categorias de Costos lácteo '!D280</f>
        <v>150000</v>
      </c>
      <c r="F66" s="221"/>
      <c r="G66" s="221"/>
      <c r="H66" s="222">
        <f t="shared" si="11"/>
        <v>3000000</v>
      </c>
    </row>
    <row r="67" spans="2:8">
      <c r="B67" s="247" t="s">
        <v>1390</v>
      </c>
      <c r="C67" s="221">
        <f>2*10</f>
        <v>20</v>
      </c>
      <c r="D67" s="221" t="s">
        <v>1381</v>
      </c>
      <c r="E67" s="222">
        <f>'Categorias de Costos lácteo '!D277</f>
        <v>3000000</v>
      </c>
      <c r="F67" s="221"/>
      <c r="G67" s="221"/>
      <c r="H67" s="222">
        <f t="shared" si="11"/>
        <v>60000000</v>
      </c>
    </row>
    <row r="68" spans="2:8">
      <c r="B68" s="247" t="s">
        <v>1410</v>
      </c>
      <c r="C68" s="221">
        <v>20</v>
      </c>
      <c r="D68" s="221" t="s">
        <v>1381</v>
      </c>
      <c r="E68" s="222">
        <f>'Categorias de Costos lácteo '!D281</f>
        <v>300000</v>
      </c>
      <c r="F68" s="221"/>
      <c r="G68" s="221"/>
      <c r="H68" s="222">
        <f t="shared" si="11"/>
        <v>6000000</v>
      </c>
    </row>
    <row r="69" spans="2:8">
      <c r="B69" s="247" t="s">
        <v>1388</v>
      </c>
      <c r="C69" s="221">
        <v>20</v>
      </c>
      <c r="D69" s="221" t="s">
        <v>1342</v>
      </c>
      <c r="E69" s="222">
        <f>'Categorias de Costos lácteo '!C227</f>
        <v>40000000</v>
      </c>
      <c r="F69" s="221"/>
      <c r="G69" s="221"/>
      <c r="H69" s="222">
        <f>C69*E69</f>
        <v>800000000</v>
      </c>
    </row>
    <row r="70" spans="2:8">
      <c r="B70" s="247" t="s">
        <v>551</v>
      </c>
      <c r="C70" s="221">
        <v>10</v>
      </c>
      <c r="D70" s="221" t="s">
        <v>1342</v>
      </c>
      <c r="E70" s="222">
        <f>'Categorias de Costos lácteo '!C220</f>
        <v>21000000</v>
      </c>
      <c r="F70" s="221"/>
      <c r="G70" s="221"/>
      <c r="H70" s="222">
        <f>C70*E70</f>
        <v>210000000</v>
      </c>
    </row>
    <row r="71" spans="2:8">
      <c r="B71" s="165" t="s">
        <v>1438</v>
      </c>
      <c r="C71" s="241">
        <v>32000</v>
      </c>
      <c r="D71" s="221" t="s">
        <v>1342</v>
      </c>
      <c r="E71" s="222">
        <f>'Categorias de Costos lácteo '!D303</f>
        <v>10400</v>
      </c>
      <c r="F71" s="237">
        <v>0.5</v>
      </c>
      <c r="G71" s="221"/>
      <c r="H71" s="259">
        <f>C71*E71*F71</f>
        <v>166400000</v>
      </c>
    </row>
    <row r="72" spans="2:8">
      <c r="B72" s="258" t="s">
        <v>1439</v>
      </c>
      <c r="C72" s="258">
        <v>1</v>
      </c>
      <c r="D72" s="258" t="s">
        <v>1342</v>
      </c>
      <c r="E72" s="222">
        <f>'Categorias de Costos lácteo '!E326</f>
        <v>2037500000</v>
      </c>
      <c r="F72" s="224">
        <v>0.2</v>
      </c>
      <c r="G72" s="258"/>
      <c r="H72" s="259">
        <f t="shared" ref="H72:H79" si="12">C72*E72*F72</f>
        <v>407500000</v>
      </c>
    </row>
    <row r="73" spans="2:8">
      <c r="B73" s="258" t="s">
        <v>1440</v>
      </c>
      <c r="C73" s="258">
        <v>25</v>
      </c>
      <c r="D73" s="258" t="s">
        <v>1342</v>
      </c>
      <c r="E73" s="222">
        <f>'Categorias de Costos lácteo '!F431</f>
        <v>171105080.80000001</v>
      </c>
      <c r="F73" s="224">
        <v>0.2</v>
      </c>
      <c r="G73" s="258"/>
      <c r="H73" s="259">
        <f>C73*E73*F73</f>
        <v>855525404.00000012</v>
      </c>
    </row>
    <row r="74" spans="2:8">
      <c r="B74" s="258" t="s">
        <v>1441</v>
      </c>
      <c r="C74" s="258">
        <v>15</v>
      </c>
      <c r="D74" s="258" t="s">
        <v>1342</v>
      </c>
      <c r="E74" s="222">
        <f>+'Categorias de Costos lácteo '!F432</f>
        <v>744295846</v>
      </c>
      <c r="F74" s="224">
        <v>0.15</v>
      </c>
      <c r="G74" s="258"/>
      <c r="H74" s="259">
        <f>C74*E74*F74</f>
        <v>1674665653.5</v>
      </c>
    </row>
    <row r="75" spans="2:8">
      <c r="B75" s="258" t="s">
        <v>1442</v>
      </c>
      <c r="C75" s="258">
        <v>4</v>
      </c>
      <c r="D75" s="258" t="s">
        <v>1342</v>
      </c>
      <c r="E75" s="222">
        <f>'Categorias de Costos lácteo '!C313</f>
        <v>128000000</v>
      </c>
      <c r="F75" s="224">
        <v>0.2</v>
      </c>
      <c r="G75" s="258"/>
      <c r="H75" s="259">
        <f t="shared" si="12"/>
        <v>102400000</v>
      </c>
    </row>
    <row r="76" spans="2:8">
      <c r="B76" s="258" t="s">
        <v>1443</v>
      </c>
      <c r="C76" s="258">
        <v>1</v>
      </c>
      <c r="D76" s="258" t="s">
        <v>1342</v>
      </c>
      <c r="E76" s="222">
        <f>+'Categorias de Costos lácteo '!D313</f>
        <v>450000000</v>
      </c>
      <c r="F76" s="224">
        <v>0.15</v>
      </c>
      <c r="G76" s="258"/>
      <c r="H76" s="259">
        <f t="shared" si="12"/>
        <v>67500000</v>
      </c>
    </row>
    <row r="77" spans="2:8">
      <c r="B77" s="258" t="s">
        <v>1444</v>
      </c>
      <c r="C77" s="258">
        <v>1</v>
      </c>
      <c r="D77" s="258" t="s">
        <v>1342</v>
      </c>
      <c r="E77" s="222">
        <f>'Categorias de Costos lácteo '!D349</f>
        <v>170400000</v>
      </c>
      <c r="F77" s="224">
        <v>0.2</v>
      </c>
      <c r="G77" s="258"/>
      <c r="H77" s="259">
        <f t="shared" si="12"/>
        <v>34080000</v>
      </c>
    </row>
    <row r="78" spans="2:8">
      <c r="B78" s="258" t="s">
        <v>1445</v>
      </c>
      <c r="C78" s="258">
        <v>1</v>
      </c>
      <c r="D78" s="258" t="s">
        <v>1342</v>
      </c>
      <c r="E78" s="222">
        <f>'Categorias de Costos lácteo '!E333</f>
        <v>3818953680</v>
      </c>
      <c r="F78" s="224">
        <v>0.2</v>
      </c>
      <c r="G78" s="258"/>
      <c r="H78" s="259">
        <f t="shared" si="12"/>
        <v>763790736</v>
      </c>
    </row>
    <row r="79" spans="2:8">
      <c r="B79" s="258" t="s">
        <v>1446</v>
      </c>
      <c r="C79" s="258">
        <v>1</v>
      </c>
      <c r="D79" s="258" t="s">
        <v>1342</v>
      </c>
      <c r="E79" s="222">
        <f>'Categorias de Costos lácteo '!E334</f>
        <v>4738461900</v>
      </c>
      <c r="F79" s="224">
        <v>0.15</v>
      </c>
      <c r="G79" s="258"/>
      <c r="H79" s="259">
        <f t="shared" si="12"/>
        <v>710769285</v>
      </c>
    </row>
    <row r="80" spans="2:8">
      <c r="B80" s="258" t="s">
        <v>1447</v>
      </c>
      <c r="C80" s="258"/>
      <c r="D80" s="258"/>
      <c r="E80" s="222"/>
      <c r="F80" s="224"/>
      <c r="G80" s="258"/>
      <c r="H80" s="222" t="s">
        <v>1331</v>
      </c>
    </row>
    <row r="81" spans="2:24">
      <c r="B81" s="165" t="s">
        <v>1353</v>
      </c>
      <c r="C81" s="221">
        <v>4</v>
      </c>
      <c r="D81" s="221" t="s">
        <v>1342</v>
      </c>
      <c r="E81" s="222">
        <f>'Categorias de Costos lácteo '!D52</f>
        <v>5464476</v>
      </c>
      <c r="F81" s="237">
        <v>1</v>
      </c>
      <c r="G81" s="221">
        <v>12</v>
      </c>
      <c r="H81" s="222">
        <f>C81*E81*G81*F81</f>
        <v>262294848</v>
      </c>
    </row>
    <row r="82" spans="2:24">
      <c r="B82" s="165" t="s">
        <v>1418</v>
      </c>
      <c r="C82" s="221">
        <v>10</v>
      </c>
      <c r="D82" s="221" t="s">
        <v>1352</v>
      </c>
      <c r="E82" s="222">
        <f>'Categorias de Costos lácteo '!C82+('Categorias de Costos lácteo '!G52)*4</f>
        <v>5392766</v>
      </c>
      <c r="F82" s="237"/>
      <c r="G82" s="221"/>
      <c r="H82" s="222">
        <f>C82*E82</f>
        <v>53927660</v>
      </c>
    </row>
    <row r="83" spans="2:24">
      <c r="B83" s="165" t="s">
        <v>1429</v>
      </c>
      <c r="C83" s="221"/>
      <c r="D83" s="221"/>
      <c r="E83" s="222"/>
      <c r="F83" s="237"/>
      <c r="G83" s="221"/>
      <c r="H83" s="222" t="s">
        <v>1331</v>
      </c>
    </row>
    <row r="84" spans="2:24">
      <c r="B84" s="225" t="s">
        <v>1448</v>
      </c>
      <c r="C84" s="226"/>
      <c r="D84" s="226"/>
      <c r="E84" s="227"/>
      <c r="F84" s="227"/>
      <c r="G84" s="226"/>
      <c r="H84" s="228">
        <f>H81+H82+H60+H61+H62+H63+H64+H65+H66+H67+H68+H69+H70</f>
        <v>1514522508</v>
      </c>
    </row>
    <row r="85" spans="2:24">
      <c r="B85" s="225" t="s">
        <v>1449</v>
      </c>
      <c r="C85" s="226"/>
      <c r="D85" s="226"/>
      <c r="E85" s="227"/>
      <c r="F85" s="227"/>
      <c r="G85" s="226"/>
      <c r="H85" s="228">
        <f>SUM(H60:H83)-H78</f>
        <v>5533362850.5</v>
      </c>
    </row>
    <row r="86" spans="2:24">
      <c r="B86" s="225" t="s">
        <v>1450</v>
      </c>
      <c r="C86" s="226"/>
      <c r="D86" s="226"/>
      <c r="E86" s="227"/>
      <c r="F86" s="227"/>
      <c r="G86" s="226"/>
      <c r="H86" s="228">
        <f>SUM(H60:H70)+H78+H79+H81+H82</f>
        <v>2989082529</v>
      </c>
    </row>
    <row r="87" spans="2:24">
      <c r="B87" s="225" t="s">
        <v>1451</v>
      </c>
      <c r="C87" s="226"/>
      <c r="D87" s="226"/>
      <c r="E87" s="227"/>
      <c r="F87" s="227"/>
      <c r="G87" s="226"/>
      <c r="H87" s="228">
        <f>H86+H79</f>
        <v>3699851814</v>
      </c>
    </row>
    <row r="88" spans="2:24" s="205" customFormat="1" ht="354.6" customHeight="1">
      <c r="B88" s="260" t="s">
        <v>1452</v>
      </c>
      <c r="E88" s="217"/>
      <c r="F88" s="217"/>
      <c r="W88" s="217"/>
    </row>
    <row r="89" spans="2:24" s="205" customFormat="1" ht="14.45" customHeight="1">
      <c r="B89" s="51"/>
      <c r="C89"/>
      <c r="D89"/>
      <c r="E89"/>
      <c r="F89"/>
      <c r="G89"/>
      <c r="H89"/>
      <c r="W89" s="217"/>
    </row>
    <row r="90" spans="2:24" s="205" customFormat="1" ht="14.45" customHeight="1">
      <c r="B90" s="51"/>
      <c r="C90"/>
      <c r="D90"/>
      <c r="E90"/>
      <c r="F90"/>
      <c r="G90"/>
      <c r="H90"/>
      <c r="W90" s="217"/>
    </row>
    <row r="91" spans="2:24" s="205" customFormat="1" ht="14.45" customHeight="1">
      <c r="B91" s="51"/>
      <c r="C91"/>
      <c r="D91"/>
      <c r="E91"/>
      <c r="F91"/>
      <c r="G91"/>
      <c r="H91"/>
      <c r="W91" s="217"/>
    </row>
    <row r="92" spans="2:24">
      <c r="B92" s="686" t="str">
        <f>B11</f>
        <v xml:space="preserve">5.4. Optimizar los procesos distribución de productos lácteos en Colombia.
</v>
      </c>
      <c r="C92" s="687"/>
      <c r="D92" s="687"/>
      <c r="E92" s="687"/>
      <c r="F92" s="687"/>
      <c r="G92" s="687"/>
      <c r="H92" s="687"/>
      <c r="X92" s="220"/>
    </row>
    <row r="93" spans="2:24" ht="14.45" customHeight="1">
      <c r="B93" s="688"/>
      <c r="C93" s="688"/>
      <c r="D93" s="688"/>
      <c r="E93" s="688"/>
      <c r="F93" s="688"/>
      <c r="G93" s="688"/>
      <c r="H93" s="688"/>
    </row>
    <row r="94" spans="2:24" ht="14.45" customHeight="1">
      <c r="B94" s="218" t="s">
        <v>1338</v>
      </c>
      <c r="C94" s="218" t="s">
        <v>522</v>
      </c>
      <c r="D94" s="218" t="s">
        <v>263</v>
      </c>
      <c r="E94" s="218" t="s">
        <v>262</v>
      </c>
      <c r="F94" s="219" t="s">
        <v>1339</v>
      </c>
      <c r="G94" s="218" t="s">
        <v>711</v>
      </c>
      <c r="H94" s="218" t="s">
        <v>1340</v>
      </c>
    </row>
    <row r="95" spans="2:24" ht="14.45" customHeight="1">
      <c r="B95" s="221" t="s">
        <v>1359</v>
      </c>
      <c r="C95" s="221">
        <v>12</v>
      </c>
      <c r="D95" s="221" t="s">
        <v>1342</v>
      </c>
      <c r="E95" s="222">
        <f>'Categorias de Costos lácteo '!C125</f>
        <v>1000000</v>
      </c>
      <c r="F95" s="224"/>
      <c r="G95" s="221"/>
      <c r="H95" s="222">
        <f t="shared" ref="H95:H99" si="13">+C95*E95</f>
        <v>12000000</v>
      </c>
    </row>
    <row r="96" spans="2:24">
      <c r="B96" s="221" t="s">
        <v>1343</v>
      </c>
      <c r="C96" s="221">
        <v>12</v>
      </c>
      <c r="D96" s="221" t="s">
        <v>1342</v>
      </c>
      <c r="E96" s="222">
        <f>'Categorias de Costos lácteo '!C133</f>
        <v>100000</v>
      </c>
      <c r="F96" s="224"/>
      <c r="G96" s="221"/>
      <c r="H96" s="222">
        <f t="shared" si="13"/>
        <v>1200000</v>
      </c>
    </row>
    <row r="97" spans="1:8">
      <c r="B97" s="221" t="s">
        <v>1344</v>
      </c>
      <c r="C97" s="221">
        <v>8</v>
      </c>
      <c r="D97" s="221" t="s">
        <v>1342</v>
      </c>
      <c r="E97" s="222">
        <f>'Categorias de Costos lácteo '!C123</f>
        <v>5000000</v>
      </c>
      <c r="F97" s="224"/>
      <c r="G97" s="221"/>
      <c r="H97" s="222">
        <f t="shared" si="13"/>
        <v>40000000</v>
      </c>
    </row>
    <row r="98" spans="1:8">
      <c r="B98" s="221" t="s">
        <v>1345</v>
      </c>
      <c r="C98" s="221">
        <v>30</v>
      </c>
      <c r="D98" s="221" t="s">
        <v>1342</v>
      </c>
      <c r="E98" s="222">
        <f>'Categorias de Costos lácteo '!C124</f>
        <v>5700000</v>
      </c>
      <c r="F98" s="222"/>
      <c r="G98" s="221"/>
      <c r="H98" s="222">
        <f t="shared" si="13"/>
        <v>171000000</v>
      </c>
    </row>
    <row r="99" spans="1:8">
      <c r="B99" s="221" t="s">
        <v>1414</v>
      </c>
      <c r="C99" s="221">
        <v>30</v>
      </c>
      <c r="D99" s="221" t="s">
        <v>1342</v>
      </c>
      <c r="E99" s="222">
        <f>'Categorias de Costos lácteo '!C134</f>
        <v>570000</v>
      </c>
      <c r="F99" s="222"/>
      <c r="G99" s="221"/>
      <c r="H99" s="222">
        <f t="shared" si="13"/>
        <v>17100000</v>
      </c>
    </row>
    <row r="100" spans="1:8">
      <c r="B100" s="247" t="s">
        <v>1406</v>
      </c>
      <c r="C100" s="221">
        <v>10</v>
      </c>
      <c r="D100" s="221" t="s">
        <v>1415</v>
      </c>
      <c r="E100" s="222">
        <f>'Categorias de Costos lácteo '!D275</f>
        <v>9000000</v>
      </c>
      <c r="F100" s="221"/>
      <c r="G100" s="221"/>
      <c r="H100" s="222">
        <f t="shared" ref="H100:H107" si="14">C100*E100</f>
        <v>90000000</v>
      </c>
    </row>
    <row r="101" spans="1:8">
      <c r="B101" s="247" t="s">
        <v>1408</v>
      </c>
      <c r="C101" s="221">
        <v>20</v>
      </c>
      <c r="D101" s="221" t="s">
        <v>1381</v>
      </c>
      <c r="E101" s="222">
        <f>'Categorias de Costos lácteo '!D276</f>
        <v>1500000</v>
      </c>
      <c r="F101" s="221"/>
      <c r="G101" s="221"/>
      <c r="H101" s="222">
        <f t="shared" si="14"/>
        <v>30000000</v>
      </c>
    </row>
    <row r="102" spans="1:8">
      <c r="B102" s="247" t="s">
        <v>1409</v>
      </c>
      <c r="C102" s="221">
        <v>20</v>
      </c>
      <c r="D102" s="221" t="s">
        <v>1381</v>
      </c>
      <c r="E102" s="222">
        <f>'Categorias de Costos lácteo '!D280</f>
        <v>150000</v>
      </c>
      <c r="F102" s="221"/>
      <c r="G102" s="221"/>
      <c r="H102" s="222">
        <f t="shared" si="14"/>
        <v>3000000</v>
      </c>
    </row>
    <row r="103" spans="1:8">
      <c r="B103" s="247" t="s">
        <v>1390</v>
      </c>
      <c r="C103" s="221">
        <v>10</v>
      </c>
      <c r="D103" s="221" t="s">
        <v>1381</v>
      </c>
      <c r="E103" s="222">
        <f>'Categorias de Costos lácteo '!D277</f>
        <v>3000000</v>
      </c>
      <c r="F103" s="221"/>
      <c r="G103" s="221"/>
      <c r="H103" s="222">
        <f t="shared" si="14"/>
        <v>30000000</v>
      </c>
    </row>
    <row r="104" spans="1:8">
      <c r="B104" s="247" t="s">
        <v>1410</v>
      </c>
      <c r="C104" s="221">
        <v>10</v>
      </c>
      <c r="D104" s="221" t="s">
        <v>1381</v>
      </c>
      <c r="E104" s="222">
        <f>'Categorias de Costos lácteo '!D281</f>
        <v>300000</v>
      </c>
      <c r="F104" s="221"/>
      <c r="G104" s="221"/>
      <c r="H104" s="222">
        <f t="shared" si="14"/>
        <v>3000000</v>
      </c>
    </row>
    <row r="105" spans="1:8">
      <c r="B105" s="247" t="s">
        <v>1388</v>
      </c>
      <c r="C105" s="221">
        <v>20</v>
      </c>
      <c r="D105" s="221" t="s">
        <v>1342</v>
      </c>
      <c r="E105" s="222">
        <f>'Categorias de Costos lácteo '!C227</f>
        <v>40000000</v>
      </c>
      <c r="F105" s="221"/>
      <c r="G105" s="221"/>
      <c r="H105" s="222">
        <f t="shared" si="14"/>
        <v>800000000</v>
      </c>
    </row>
    <row r="106" spans="1:8">
      <c r="B106" s="247" t="s">
        <v>1389</v>
      </c>
      <c r="C106" s="221">
        <v>10</v>
      </c>
      <c r="D106" s="221" t="s">
        <v>1342</v>
      </c>
      <c r="E106" s="222">
        <f>'Categorias de Costos lácteo '!C228</f>
        <v>21000000</v>
      </c>
      <c r="F106" s="221"/>
      <c r="G106" s="221"/>
      <c r="H106" s="222">
        <f t="shared" si="14"/>
        <v>210000000</v>
      </c>
    </row>
    <row r="107" spans="1:8">
      <c r="B107" s="247" t="s">
        <v>1453</v>
      </c>
      <c r="C107" s="221">
        <v>10</v>
      </c>
      <c r="D107" s="221" t="s">
        <v>1342</v>
      </c>
      <c r="E107" s="222">
        <f>'Categorias de Costos lácteo '!C220</f>
        <v>21000000</v>
      </c>
      <c r="F107" s="221"/>
      <c r="G107" s="221"/>
      <c r="H107" s="222">
        <f t="shared" si="14"/>
        <v>210000000</v>
      </c>
    </row>
    <row r="108" spans="1:8">
      <c r="B108" s="234" t="s">
        <v>1454</v>
      </c>
      <c r="C108" s="258">
        <v>1</v>
      </c>
      <c r="D108" s="258" t="s">
        <v>1342</v>
      </c>
      <c r="E108" s="259">
        <f>'Categorias de Costos lácteo '!C327</f>
        <v>180000000</v>
      </c>
      <c r="F108" s="224">
        <v>0.2</v>
      </c>
      <c r="G108" s="258"/>
      <c r="H108" s="259">
        <f>C108*E108*F108</f>
        <v>36000000</v>
      </c>
    </row>
    <row r="109" spans="1:8">
      <c r="A109" s="261"/>
      <c r="B109" s="258" t="s">
        <v>1455</v>
      </c>
      <c r="C109" s="258">
        <v>1</v>
      </c>
      <c r="D109" s="258" t="s">
        <v>1342</v>
      </c>
      <c r="E109" s="259">
        <f>'Categorias de Costos lácteo '!E326</f>
        <v>2037500000</v>
      </c>
      <c r="F109" s="224">
        <v>0.2</v>
      </c>
      <c r="G109" s="258"/>
      <c r="H109" s="259">
        <v>1630000000</v>
      </c>
    </row>
    <row r="110" spans="1:8">
      <c r="A110" s="261"/>
      <c r="B110" s="165" t="s">
        <v>1353</v>
      </c>
      <c r="C110" s="221">
        <v>5</v>
      </c>
      <c r="D110" s="221" t="s">
        <v>1342</v>
      </c>
      <c r="E110" s="222">
        <f>'Categorias de Costos lácteo '!D52</f>
        <v>5464476</v>
      </c>
      <c r="F110" s="237">
        <v>1</v>
      </c>
      <c r="G110" s="221">
        <v>12</v>
      </c>
      <c r="H110" s="222">
        <f>C110*E110*G110*F110</f>
        <v>327868560</v>
      </c>
    </row>
    <row r="111" spans="1:8">
      <c r="B111" s="165" t="s">
        <v>1418</v>
      </c>
      <c r="C111" s="221">
        <v>5</v>
      </c>
      <c r="D111" s="221" t="s">
        <v>1352</v>
      </c>
      <c r="E111" s="222">
        <f>('Categorias de Costos lácteo '!G52*5)+'Categorias de Costos lácteo '!C82</f>
        <v>6490957.5</v>
      </c>
      <c r="F111" s="237"/>
      <c r="G111" s="221"/>
      <c r="H111" s="222">
        <f>C111*E111</f>
        <v>32454787.5</v>
      </c>
    </row>
    <row r="112" spans="1:8">
      <c r="B112" s="165" t="s">
        <v>1412</v>
      </c>
      <c r="C112" s="221"/>
      <c r="D112" s="221"/>
      <c r="E112" s="222"/>
      <c r="F112" s="251"/>
      <c r="G112" s="222"/>
      <c r="H112" s="222" t="s">
        <v>1456</v>
      </c>
    </row>
    <row r="113" spans="2:8">
      <c r="B113" s="225" t="s">
        <v>1457</v>
      </c>
      <c r="C113" s="226"/>
      <c r="D113" s="226"/>
      <c r="E113" s="227"/>
      <c r="F113" s="227"/>
      <c r="G113" s="226"/>
      <c r="H113" s="228">
        <f>SUM(H95:H112)-H108-H109</f>
        <v>1977623347.5</v>
      </c>
    </row>
    <row r="114" spans="2:8">
      <c r="B114" s="225" t="s">
        <v>1424</v>
      </c>
      <c r="C114" s="226"/>
      <c r="D114" s="226"/>
      <c r="E114" s="227"/>
      <c r="F114" s="227"/>
      <c r="G114" s="226"/>
      <c r="H114" s="228">
        <f>H113+H108+H109</f>
        <v>3643623347.5</v>
      </c>
    </row>
    <row r="115" spans="2:8" ht="150">
      <c r="B115" s="240" t="s">
        <v>1458</v>
      </c>
      <c r="C115" s="205"/>
      <c r="D115" s="205"/>
      <c r="E115" s="217"/>
      <c r="F115" s="217"/>
      <c r="G115" s="205"/>
      <c r="H115" s="205"/>
    </row>
  </sheetData>
  <mergeCells count="4">
    <mergeCell ref="B15:H15"/>
    <mergeCell ref="B33:H34"/>
    <mergeCell ref="B57:H58"/>
    <mergeCell ref="B92:H9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3"/>
  <sheetViews>
    <sheetView windowProtection="1" showGridLines="0" topLeftCell="A79" zoomScaleNormal="100" workbookViewId="0">
      <selection activeCell="F91" sqref="F91"/>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25" width="23.42578125" customWidth="1"/>
  </cols>
  <sheetData>
    <row r="2" spans="1:25" ht="15.75">
      <c r="A2" s="203" t="s">
        <v>1334</v>
      </c>
    </row>
    <row r="3" spans="1:25" s="205" customFormat="1">
      <c r="A3" s="204"/>
    </row>
    <row r="4" spans="1:25" ht="15.75">
      <c r="A4" s="206" t="s">
        <v>1335</v>
      </c>
      <c r="B4" s="206" t="str">
        <f>Portafolio_Cadena_Láctea!C96</f>
        <v>6. Aumento del consumo interno de productos lácteos</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E7" si="0">SUM(D8:D9)</f>
        <v>0</v>
      </c>
      <c r="E7" s="249">
        <f t="shared" si="0"/>
        <v>0</v>
      </c>
      <c r="F7" s="249">
        <f>SUM(F8:F10)</f>
        <v>7309655720</v>
      </c>
      <c r="G7" s="249">
        <f t="shared" ref="G7:Y7" si="1">SUM(G8:G10)</f>
        <v>7309655720</v>
      </c>
      <c r="H7" s="249">
        <f t="shared" si="1"/>
        <v>8063607445.3800001</v>
      </c>
      <c r="I7" s="249">
        <f t="shared" si="1"/>
        <v>8063607445.3800001</v>
      </c>
      <c r="J7" s="249">
        <f t="shared" si="1"/>
        <v>8063607445.3800001</v>
      </c>
      <c r="K7" s="249">
        <f t="shared" si="1"/>
        <v>8063607445.3800001</v>
      </c>
      <c r="L7" s="249">
        <f t="shared" si="1"/>
        <v>8063607445.3800001</v>
      </c>
      <c r="M7" s="249">
        <f t="shared" si="1"/>
        <v>8063607445.3800001</v>
      </c>
      <c r="N7" s="249">
        <f t="shared" si="1"/>
        <v>8063607445.3800001</v>
      </c>
      <c r="O7" s="249">
        <f t="shared" si="1"/>
        <v>8063607445.3800001</v>
      </c>
      <c r="P7" s="249">
        <f t="shared" si="1"/>
        <v>8063607445.3800001</v>
      </c>
      <c r="Q7" s="249">
        <f t="shared" si="1"/>
        <v>8063607445.3800001</v>
      </c>
      <c r="R7" s="249">
        <f t="shared" si="1"/>
        <v>7309655720</v>
      </c>
      <c r="S7" s="249">
        <f t="shared" si="1"/>
        <v>7309655720</v>
      </c>
      <c r="T7" s="249">
        <f t="shared" si="1"/>
        <v>7309655720</v>
      </c>
      <c r="U7" s="249">
        <f t="shared" si="1"/>
        <v>7309655720</v>
      </c>
      <c r="V7" s="249">
        <f t="shared" si="1"/>
        <v>7309655720</v>
      </c>
      <c r="W7" s="249">
        <f t="shared" si="1"/>
        <v>7309655720</v>
      </c>
      <c r="X7" s="249">
        <f t="shared" si="1"/>
        <v>0</v>
      </c>
      <c r="Y7" s="249">
        <f t="shared" si="1"/>
        <v>139113320213.79999</v>
      </c>
    </row>
    <row r="8" spans="1:25" s="214" customFormat="1" ht="30">
      <c r="A8" s="205"/>
      <c r="B8" s="262" t="str">
        <f>Portafolio_Cadena_Láctea!D96</f>
        <v xml:space="preserve">6.1. Posicionamiento de la leche y sus derivados en el mercado colombiano </v>
      </c>
      <c r="C8" s="212" t="s">
        <v>1459</v>
      </c>
      <c r="D8" s="213"/>
      <c r="E8" s="253"/>
      <c r="F8" s="213">
        <f>H40</f>
        <v>2695319035</v>
      </c>
      <c r="G8" s="213">
        <f>H40</f>
        <v>2695319035</v>
      </c>
      <c r="H8" s="213">
        <f>H41</f>
        <v>3319720760.3800001</v>
      </c>
      <c r="I8" s="213">
        <f>H41</f>
        <v>3319720760.3800001</v>
      </c>
      <c r="J8" s="213">
        <f>H41</f>
        <v>3319720760.3800001</v>
      </c>
      <c r="K8" s="213">
        <f t="shared" ref="K8:Q10" si="2">J8</f>
        <v>3319720760.3800001</v>
      </c>
      <c r="L8" s="253">
        <f t="shared" si="2"/>
        <v>3319720760.3800001</v>
      </c>
      <c r="M8" s="213">
        <f t="shared" si="2"/>
        <v>3319720760.3800001</v>
      </c>
      <c r="N8" s="213">
        <f t="shared" si="2"/>
        <v>3319720760.3800001</v>
      </c>
      <c r="O8" s="213">
        <f t="shared" si="2"/>
        <v>3319720760.3800001</v>
      </c>
      <c r="P8" s="213">
        <f t="shared" si="2"/>
        <v>3319720760.3800001</v>
      </c>
      <c r="Q8" s="253">
        <f t="shared" si="2"/>
        <v>3319720760.3800001</v>
      </c>
      <c r="R8" s="213">
        <f>H40</f>
        <v>2695319035</v>
      </c>
      <c r="S8" s="213">
        <f>H40</f>
        <v>2695319035</v>
      </c>
      <c r="T8" s="213">
        <f t="shared" ref="T8:W10" si="3">S8</f>
        <v>2695319035</v>
      </c>
      <c r="U8" s="213">
        <f t="shared" si="3"/>
        <v>2695319035</v>
      </c>
      <c r="V8" s="253">
        <f t="shared" si="3"/>
        <v>2695319035</v>
      </c>
      <c r="W8" s="213">
        <f t="shared" si="3"/>
        <v>2695319035</v>
      </c>
      <c r="X8" s="213"/>
      <c r="Y8" s="213">
        <f t="shared" ref="Y8:Y10" si="4">SUM(D8:X8)</f>
        <v>54759759883.800003</v>
      </c>
    </row>
    <row r="9" spans="1:25" s="214" customFormat="1" ht="30">
      <c r="A9" s="215"/>
      <c r="B9" s="211" t="str">
        <f>Portafolio_Cadena_Láctea!D103</f>
        <v xml:space="preserve">6.2. Desarrollo de estrategias para el posicionamiento de leche y derivados lácteos diferenciados </v>
      </c>
      <c r="C9" s="212" t="s">
        <v>1459</v>
      </c>
      <c r="D9" s="216"/>
      <c r="E9" s="216"/>
      <c r="F9" s="213">
        <f>H69</f>
        <v>3044786115</v>
      </c>
      <c r="G9" s="253">
        <f>F9</f>
        <v>3044786115</v>
      </c>
      <c r="H9" s="213">
        <f>G9</f>
        <v>3044786115</v>
      </c>
      <c r="I9" s="213">
        <f>H9</f>
        <v>3044786115</v>
      </c>
      <c r="J9" s="213">
        <f>I9</f>
        <v>3044786115</v>
      </c>
      <c r="K9" s="213">
        <f t="shared" si="2"/>
        <v>3044786115</v>
      </c>
      <c r="L9" s="213">
        <f t="shared" si="2"/>
        <v>3044786115</v>
      </c>
      <c r="M9" s="213">
        <f t="shared" si="2"/>
        <v>3044786115</v>
      </c>
      <c r="N9" s="213">
        <f t="shared" si="2"/>
        <v>3044786115</v>
      </c>
      <c r="O9" s="253">
        <f t="shared" si="2"/>
        <v>3044786115</v>
      </c>
      <c r="P9" s="213">
        <f t="shared" si="2"/>
        <v>3044786115</v>
      </c>
      <c r="Q9" s="213">
        <f t="shared" si="2"/>
        <v>3044786115</v>
      </c>
      <c r="R9" s="213">
        <f>Q9</f>
        <v>3044786115</v>
      </c>
      <c r="S9" s="253">
        <f>R9</f>
        <v>3044786115</v>
      </c>
      <c r="T9" s="213">
        <f t="shared" si="3"/>
        <v>3044786115</v>
      </c>
      <c r="U9" s="213">
        <f t="shared" si="3"/>
        <v>3044786115</v>
      </c>
      <c r="V9" s="213">
        <f t="shared" si="3"/>
        <v>3044786115</v>
      </c>
      <c r="W9" s="213">
        <f t="shared" si="3"/>
        <v>3044786115</v>
      </c>
      <c r="X9" s="213"/>
      <c r="Y9" s="213">
        <f t="shared" si="4"/>
        <v>54806150070</v>
      </c>
    </row>
    <row r="10" spans="1:25" s="214" customFormat="1" ht="30">
      <c r="A10" s="215"/>
      <c r="B10" s="211" t="str">
        <f>Portafolio_Cadena_Láctea!D107</f>
        <v>6.3. Competitividad de productos lácteos nacionales frente a importaciones.</v>
      </c>
      <c r="C10" s="212" t="s">
        <v>1459</v>
      </c>
      <c r="D10" s="216"/>
      <c r="E10" s="216"/>
      <c r="F10" s="213">
        <f>H91</f>
        <v>1569550570</v>
      </c>
      <c r="G10" s="253">
        <f>F10</f>
        <v>1569550570</v>
      </c>
      <c r="H10" s="213">
        <f>H92</f>
        <v>1699100570</v>
      </c>
      <c r="I10" s="213">
        <f>H10</f>
        <v>1699100570</v>
      </c>
      <c r="J10" s="213">
        <f>I10</f>
        <v>1699100570</v>
      </c>
      <c r="K10" s="213">
        <f t="shared" si="2"/>
        <v>1699100570</v>
      </c>
      <c r="L10" s="213">
        <f t="shared" si="2"/>
        <v>1699100570</v>
      </c>
      <c r="M10" s="213">
        <f t="shared" si="2"/>
        <v>1699100570</v>
      </c>
      <c r="N10" s="213">
        <f t="shared" si="2"/>
        <v>1699100570</v>
      </c>
      <c r="O10" s="253">
        <f t="shared" si="2"/>
        <v>1699100570</v>
      </c>
      <c r="P10" s="213">
        <f t="shared" si="2"/>
        <v>1699100570</v>
      </c>
      <c r="Q10" s="213">
        <f t="shared" si="2"/>
        <v>1699100570</v>
      </c>
      <c r="R10" s="213">
        <f>F10</f>
        <v>1569550570</v>
      </c>
      <c r="S10" s="253">
        <f>R10</f>
        <v>1569550570</v>
      </c>
      <c r="T10" s="213">
        <f t="shared" si="3"/>
        <v>1569550570</v>
      </c>
      <c r="U10" s="213">
        <f t="shared" si="3"/>
        <v>1569550570</v>
      </c>
      <c r="V10" s="213">
        <f t="shared" si="3"/>
        <v>1569550570</v>
      </c>
      <c r="W10" s="213">
        <f t="shared" si="3"/>
        <v>1569550570</v>
      </c>
      <c r="X10" s="213"/>
      <c r="Y10" s="213">
        <f t="shared" si="4"/>
        <v>29547410260</v>
      </c>
    </row>
    <row r="11" spans="1:25" s="210" customFormat="1">
      <c r="A11"/>
      <c r="B11" s="209" t="s">
        <v>46</v>
      </c>
      <c r="C11" s="209"/>
      <c r="D11" s="249">
        <f t="shared" ref="D11:E11" si="5">SUM(D8:D9)</f>
        <v>0</v>
      </c>
      <c r="E11" s="249">
        <f t="shared" si="5"/>
        <v>0</v>
      </c>
      <c r="F11" s="249">
        <f>SUM(F8:F10)</f>
        <v>7309655720</v>
      </c>
      <c r="G11" s="249">
        <f t="shared" ref="G11:X11" si="6">SUM(G8:G10)</f>
        <v>7309655720</v>
      </c>
      <c r="H11" s="249">
        <f t="shared" si="6"/>
        <v>8063607445.3800001</v>
      </c>
      <c r="I11" s="249">
        <f t="shared" si="6"/>
        <v>8063607445.3800001</v>
      </c>
      <c r="J11" s="249">
        <f t="shared" si="6"/>
        <v>8063607445.3800001</v>
      </c>
      <c r="K11" s="249">
        <f t="shared" si="6"/>
        <v>8063607445.3800001</v>
      </c>
      <c r="L11" s="249">
        <f t="shared" si="6"/>
        <v>8063607445.3800001</v>
      </c>
      <c r="M11" s="249">
        <f t="shared" si="6"/>
        <v>8063607445.3800001</v>
      </c>
      <c r="N11" s="249">
        <f t="shared" si="6"/>
        <v>8063607445.3800001</v>
      </c>
      <c r="O11" s="249">
        <f t="shared" si="6"/>
        <v>8063607445.3800001</v>
      </c>
      <c r="P11" s="249">
        <f t="shared" si="6"/>
        <v>8063607445.3800001</v>
      </c>
      <c r="Q11" s="249">
        <f t="shared" si="6"/>
        <v>8063607445.3800001</v>
      </c>
      <c r="R11" s="249">
        <f t="shared" si="6"/>
        <v>7309655720</v>
      </c>
      <c r="S11" s="249">
        <f t="shared" si="6"/>
        <v>7309655720</v>
      </c>
      <c r="T11" s="249">
        <f t="shared" si="6"/>
        <v>7309655720</v>
      </c>
      <c r="U11" s="249">
        <f t="shared" si="6"/>
        <v>7309655720</v>
      </c>
      <c r="V11" s="249">
        <f t="shared" si="6"/>
        <v>7309655720</v>
      </c>
      <c r="W11" s="249">
        <f t="shared" si="6"/>
        <v>7309655720</v>
      </c>
      <c r="X11" s="249">
        <f t="shared" si="6"/>
        <v>0</v>
      </c>
      <c r="Y11" s="249">
        <f>SUM(Y8:Y10)</f>
        <v>139113320213.79999</v>
      </c>
    </row>
    <row r="14" spans="1:25" s="205" customFormat="1" ht="14.45" customHeight="1">
      <c r="B14" s="686" t="str">
        <f>B8</f>
        <v xml:space="preserve">6.1. Posicionamiento de la leche y sus derivados en el mercado colombiano </v>
      </c>
      <c r="C14" s="687"/>
      <c r="D14" s="687"/>
      <c r="E14" s="687"/>
      <c r="F14" s="687"/>
      <c r="G14" s="687"/>
      <c r="H14" s="687"/>
      <c r="W14" s="217"/>
    </row>
    <row r="15" spans="1:25">
      <c r="B15" s="218" t="s">
        <v>1338</v>
      </c>
      <c r="C15" s="218" t="s">
        <v>522</v>
      </c>
      <c r="D15" s="218" t="s">
        <v>263</v>
      </c>
      <c r="E15" s="218" t="s">
        <v>262</v>
      </c>
      <c r="F15" s="219" t="s">
        <v>1339</v>
      </c>
      <c r="G15" s="218" t="s">
        <v>711</v>
      </c>
      <c r="H15" s="218" t="s">
        <v>1340</v>
      </c>
      <c r="X15" s="220"/>
    </row>
    <row r="16" spans="1:25" ht="14.45" customHeight="1">
      <c r="B16" s="221" t="s">
        <v>1359</v>
      </c>
      <c r="C16" s="221">
        <v>12</v>
      </c>
      <c r="D16" s="221" t="s">
        <v>1342</v>
      </c>
      <c r="E16" s="222">
        <f>'Categorias de Costos lácteo '!C125</f>
        <v>1000000</v>
      </c>
      <c r="F16" s="224"/>
      <c r="G16" s="221"/>
      <c r="H16" s="222">
        <f t="shared" ref="H16:H23" si="7">+C16*E16</f>
        <v>12000000</v>
      </c>
    </row>
    <row r="17" spans="2:8" ht="14.45" customHeight="1">
      <c r="B17" s="221" t="s">
        <v>1343</v>
      </c>
      <c r="C17" s="221">
        <v>12</v>
      </c>
      <c r="D17" s="221" t="s">
        <v>1342</v>
      </c>
      <c r="E17" s="222">
        <f>'Categorias de Costos lácteo '!C133</f>
        <v>100000</v>
      </c>
      <c r="F17" s="224"/>
      <c r="G17" s="221"/>
      <c r="H17" s="222">
        <f t="shared" si="7"/>
        <v>1200000</v>
      </c>
    </row>
    <row r="18" spans="2:8" ht="14.45" customHeight="1">
      <c r="B18" s="221" t="s">
        <v>1344</v>
      </c>
      <c r="C18" s="221">
        <v>8</v>
      </c>
      <c r="D18" s="221" t="s">
        <v>1342</v>
      </c>
      <c r="E18" s="222">
        <f>+'Categorias de Costos lácteo '!C123</f>
        <v>5000000</v>
      </c>
      <c r="F18" s="224"/>
      <c r="G18" s="221"/>
      <c r="H18" s="222">
        <f t="shared" si="7"/>
        <v>40000000</v>
      </c>
    </row>
    <row r="19" spans="2:8">
      <c r="B19" s="221" t="s">
        <v>1345</v>
      </c>
      <c r="C19" s="221">
        <v>30</v>
      </c>
      <c r="D19" s="221" t="s">
        <v>1342</v>
      </c>
      <c r="E19" s="222">
        <f>+'Categorias de Costos lácteo '!C124</f>
        <v>5700000</v>
      </c>
      <c r="F19" s="222"/>
      <c r="G19" s="221"/>
      <c r="H19" s="222">
        <f t="shared" si="7"/>
        <v>171000000</v>
      </c>
    </row>
    <row r="20" spans="2:8">
      <c r="B20" s="221" t="s">
        <v>1405</v>
      </c>
      <c r="C20" s="221">
        <v>30</v>
      </c>
      <c r="D20" s="221" t="s">
        <v>1342</v>
      </c>
      <c r="E20" s="222">
        <f>'Categorias de Costos lácteo '!C134</f>
        <v>570000</v>
      </c>
      <c r="F20" s="222"/>
      <c r="G20" s="221"/>
      <c r="H20" s="222">
        <f t="shared" si="7"/>
        <v>17100000</v>
      </c>
    </row>
    <row r="21" spans="2:8">
      <c r="B21" s="221" t="s">
        <v>1460</v>
      </c>
      <c r="C21" s="221">
        <v>1</v>
      </c>
      <c r="D21" s="221" t="s">
        <v>1342</v>
      </c>
      <c r="E21" s="222">
        <f>'Categorias de Costos lácteo '!C214</f>
        <v>113300000</v>
      </c>
      <c r="F21" s="222"/>
      <c r="G21" s="221"/>
      <c r="H21" s="222">
        <f t="shared" si="7"/>
        <v>113300000</v>
      </c>
    </row>
    <row r="22" spans="2:8">
      <c r="B22" s="221" t="s">
        <v>551</v>
      </c>
      <c r="C22" s="221">
        <v>30</v>
      </c>
      <c r="D22" s="221" t="s">
        <v>1342</v>
      </c>
      <c r="E22" s="222">
        <f>'Categorias de Costos lácteo '!C220</f>
        <v>21000000</v>
      </c>
      <c r="F22" s="224"/>
      <c r="G22" s="221"/>
      <c r="H22" s="222">
        <f t="shared" si="7"/>
        <v>630000000</v>
      </c>
    </row>
    <row r="23" spans="2:8">
      <c r="B23" s="221" t="s">
        <v>532</v>
      </c>
      <c r="C23" s="221">
        <v>1</v>
      </c>
      <c r="D23" s="221" t="s">
        <v>1342</v>
      </c>
      <c r="E23" s="222">
        <v>50000000</v>
      </c>
      <c r="F23" s="224"/>
      <c r="G23" s="221"/>
      <c r="H23" s="222">
        <f t="shared" si="7"/>
        <v>50000000</v>
      </c>
    </row>
    <row r="24" spans="2:8">
      <c r="B24" s="232" t="s">
        <v>1461</v>
      </c>
      <c r="C24" s="232">
        <v>5</v>
      </c>
      <c r="D24" s="232" t="s">
        <v>1342</v>
      </c>
      <c r="E24" s="263">
        <f>'Categorias de Costos lácteo '!C209</f>
        <v>25000000</v>
      </c>
      <c r="F24" s="232"/>
      <c r="G24" s="232"/>
      <c r="H24" s="222">
        <f>+C24*E24</f>
        <v>125000000</v>
      </c>
    </row>
    <row r="25" spans="2:8">
      <c r="B25" s="232" t="s">
        <v>1462</v>
      </c>
      <c r="C25" s="232">
        <v>10</v>
      </c>
      <c r="D25" s="232" t="s">
        <v>1342</v>
      </c>
      <c r="E25" s="263">
        <f>'Categorias de Costos lácteo '!C210</f>
        <v>15000000</v>
      </c>
      <c r="F25" s="232"/>
      <c r="G25" s="232"/>
      <c r="H25" s="222">
        <f>+C25*E25</f>
        <v>150000000</v>
      </c>
    </row>
    <row r="26" spans="2:8">
      <c r="B26" s="247" t="s">
        <v>1408</v>
      </c>
      <c r="C26" s="221">
        <v>20</v>
      </c>
      <c r="D26" s="221" t="s">
        <v>1381</v>
      </c>
      <c r="E26" s="222">
        <f>'Categorias de Costos lácteo '!D276</f>
        <v>1500000</v>
      </c>
      <c r="F26" s="221"/>
      <c r="G26" s="221"/>
      <c r="H26" s="222">
        <f t="shared" ref="H26:H29" si="8">C26*E26</f>
        <v>30000000</v>
      </c>
    </row>
    <row r="27" spans="2:8">
      <c r="B27" s="247" t="s">
        <v>1409</v>
      </c>
      <c r="C27" s="221">
        <v>20</v>
      </c>
      <c r="D27" s="221" t="s">
        <v>1381</v>
      </c>
      <c r="E27" s="222">
        <f>'Categorias de Costos lácteo '!D280</f>
        <v>150000</v>
      </c>
      <c r="F27" s="221"/>
      <c r="G27" s="221"/>
      <c r="H27" s="222">
        <f>C27*E27</f>
        <v>3000000</v>
      </c>
    </row>
    <row r="28" spans="2:8">
      <c r="B28" s="247" t="s">
        <v>1390</v>
      </c>
      <c r="C28" s="221">
        <v>20</v>
      </c>
      <c r="D28" s="221" t="s">
        <v>1381</v>
      </c>
      <c r="E28" s="222">
        <f>'Categorias de Costos lácteo '!D277</f>
        <v>3000000</v>
      </c>
      <c r="F28" s="221"/>
      <c r="G28" s="221"/>
      <c r="H28" s="222">
        <f t="shared" si="8"/>
        <v>60000000</v>
      </c>
    </row>
    <row r="29" spans="2:8">
      <c r="B29" s="165" t="s">
        <v>1410</v>
      </c>
      <c r="C29" s="221">
        <v>20</v>
      </c>
      <c r="D29" s="221" t="s">
        <v>1381</v>
      </c>
      <c r="E29" s="222">
        <f>'Categorias de Costos lácteo '!D281</f>
        <v>300000</v>
      </c>
      <c r="F29" s="251"/>
      <c r="G29" s="222"/>
      <c r="H29" s="222">
        <f t="shared" si="8"/>
        <v>6000000</v>
      </c>
    </row>
    <row r="30" spans="2:8">
      <c r="B30" s="232" t="s">
        <v>1463</v>
      </c>
      <c r="C30" s="232">
        <v>10</v>
      </c>
      <c r="D30" s="232" t="s">
        <v>1342</v>
      </c>
      <c r="E30" s="263">
        <f>'Categorias de Costos lácteo '!C228</f>
        <v>21000000</v>
      </c>
      <c r="F30" s="232"/>
      <c r="G30" s="232"/>
      <c r="H30" s="222">
        <f>+C30*E30</f>
        <v>210000000</v>
      </c>
    </row>
    <row r="31" spans="2:8">
      <c r="B31" s="232" t="s">
        <v>1464</v>
      </c>
      <c r="C31" s="232">
        <v>10</v>
      </c>
      <c r="D31" s="232" t="s">
        <v>1342</v>
      </c>
      <c r="E31" s="263">
        <f>'Categorias de Costos lácteo '!C227</f>
        <v>40000000</v>
      </c>
      <c r="F31" s="232"/>
      <c r="G31" s="232"/>
      <c r="H31" s="222">
        <f>+C31*E31</f>
        <v>400000000</v>
      </c>
    </row>
    <row r="32" spans="2:8">
      <c r="B32" s="258" t="s">
        <v>1465</v>
      </c>
      <c r="C32" s="258">
        <v>100</v>
      </c>
      <c r="D32" s="258" t="s">
        <v>1342</v>
      </c>
      <c r="E32" s="259">
        <f>'Categorias de Costos lácteo '!D306</f>
        <v>3500000</v>
      </c>
      <c r="F32" s="224">
        <v>0.5</v>
      </c>
      <c r="G32" s="258"/>
      <c r="H32" s="259">
        <f>C32*E32*F32</f>
        <v>175000000</v>
      </c>
    </row>
    <row r="33" spans="2:24">
      <c r="B33" s="221" t="s">
        <v>1466</v>
      </c>
      <c r="C33" s="221">
        <v>5</v>
      </c>
      <c r="D33" s="221" t="s">
        <v>1342</v>
      </c>
      <c r="E33" s="222">
        <f>'Categorias de Costos lácteo '!H438</f>
        <v>17110508.080000002</v>
      </c>
      <c r="F33" s="237"/>
      <c r="G33" s="221"/>
      <c r="H33" s="222">
        <f>+C33*E33</f>
        <v>85552540.400000006</v>
      </c>
    </row>
    <row r="34" spans="2:24">
      <c r="B34" s="221" t="s">
        <v>1467</v>
      </c>
      <c r="C34" s="221">
        <v>3</v>
      </c>
      <c r="D34" s="221" t="s">
        <v>1342</v>
      </c>
      <c r="E34" s="222">
        <f>'Categorias de Costos lácteo '!H439</f>
        <v>37214792.300000004</v>
      </c>
      <c r="F34" s="237"/>
      <c r="G34" s="221"/>
      <c r="H34" s="222">
        <f t="shared" ref="H34:H35" si="9">+C34*E34</f>
        <v>111644376.90000001</v>
      </c>
    </row>
    <row r="35" spans="2:24">
      <c r="B35" s="221" t="s">
        <v>1468</v>
      </c>
      <c r="C35" s="221">
        <v>2</v>
      </c>
      <c r="D35" s="221" t="s">
        <v>1342</v>
      </c>
      <c r="E35" s="222">
        <f>'Categorias de Costos lácteo '!H440</f>
        <v>126102404.04000001</v>
      </c>
      <c r="F35" s="237"/>
      <c r="G35" s="221"/>
      <c r="H35" s="222">
        <f t="shared" si="9"/>
        <v>252204808.08000001</v>
      </c>
    </row>
    <row r="36" spans="2:24">
      <c r="B36" s="165" t="s">
        <v>1353</v>
      </c>
      <c r="C36" s="221">
        <v>10</v>
      </c>
      <c r="D36" s="221" t="s">
        <v>1342</v>
      </c>
      <c r="E36" s="222">
        <f>'Categorias de Costos lácteo '!D52</f>
        <v>5464476</v>
      </c>
      <c r="F36" s="237">
        <v>1</v>
      </c>
      <c r="G36" s="221">
        <v>12</v>
      </c>
      <c r="H36" s="222">
        <f>C36*E36*G36*F36</f>
        <v>655737120</v>
      </c>
    </row>
    <row r="37" spans="2:24">
      <c r="B37" s="165" t="s">
        <v>1354</v>
      </c>
      <c r="C37" s="221">
        <v>10</v>
      </c>
      <c r="D37" s="221" t="s">
        <v>1352</v>
      </c>
      <c r="E37" s="222">
        <f>'Categorias de Costos lácteo '!G52+'Categorias de Costos lácteo '!C82</f>
        <v>2098191.5</v>
      </c>
      <c r="F37" s="237"/>
      <c r="G37" s="221"/>
      <c r="H37" s="222">
        <f>C37*E37</f>
        <v>20981915</v>
      </c>
    </row>
    <row r="38" spans="2:24">
      <c r="B38" s="165" t="s">
        <v>1469</v>
      </c>
      <c r="C38" s="221"/>
      <c r="D38" s="221"/>
      <c r="E38" s="222"/>
      <c r="F38" s="237"/>
      <c r="G38" s="221"/>
      <c r="H38" s="222" t="s">
        <v>1331</v>
      </c>
    </row>
    <row r="39" spans="2:24">
      <c r="B39" s="165" t="s">
        <v>1470</v>
      </c>
      <c r="C39" s="221"/>
      <c r="D39" s="221"/>
      <c r="E39" s="222"/>
      <c r="F39" s="251"/>
      <c r="G39" s="222"/>
      <c r="H39" s="222" t="s">
        <v>1331</v>
      </c>
    </row>
    <row r="40" spans="2:24">
      <c r="B40" s="225" t="s">
        <v>1471</v>
      </c>
      <c r="C40" s="226"/>
      <c r="D40" s="226"/>
      <c r="E40" s="227"/>
      <c r="F40" s="227"/>
      <c r="G40" s="226"/>
      <c r="H40" s="228">
        <f>SUM(H16:H39)-H32-H33-H34-H35</f>
        <v>2695319035</v>
      </c>
    </row>
    <row r="41" spans="2:24">
      <c r="B41" s="225" t="s">
        <v>1472</v>
      </c>
      <c r="C41" s="226"/>
      <c r="D41" s="226"/>
      <c r="E41" s="227"/>
      <c r="F41" s="227"/>
      <c r="G41" s="226"/>
      <c r="H41" s="228">
        <f>SUM(H16:H39)</f>
        <v>3319720760.3800001</v>
      </c>
    </row>
    <row r="42" spans="2:24" s="205" customFormat="1" ht="249.6" customHeight="1">
      <c r="B42" s="229" t="s">
        <v>1706</v>
      </c>
      <c r="C42" s="215"/>
      <c r="E42" s="217"/>
      <c r="F42" s="217"/>
      <c r="H42" s="217"/>
      <c r="I42"/>
    </row>
    <row r="43" spans="2:24">
      <c r="H43" s="230"/>
    </row>
    <row r="44" spans="2:24">
      <c r="H44" s="231"/>
    </row>
    <row r="45" spans="2:24" s="205" customFormat="1" ht="14.45" customHeight="1">
      <c r="B45" s="686" t="str">
        <f>B9</f>
        <v xml:space="preserve">6.2. Desarrollo de estrategias para el posicionamiento de leche y derivados lácteos diferenciados </v>
      </c>
      <c r="C45" s="687"/>
      <c r="D45" s="687"/>
      <c r="E45" s="687"/>
      <c r="F45" s="687"/>
      <c r="G45" s="687"/>
      <c r="H45" s="687"/>
      <c r="W45" s="217"/>
    </row>
    <row r="46" spans="2:24" s="205" customFormat="1" ht="14.45" customHeight="1">
      <c r="B46" s="688"/>
      <c r="C46" s="688"/>
      <c r="D46" s="688"/>
      <c r="E46" s="688"/>
      <c r="F46" s="688"/>
      <c r="G46" s="688"/>
      <c r="H46" s="688"/>
      <c r="W46" s="217"/>
    </row>
    <row r="47" spans="2:24">
      <c r="B47" s="218" t="s">
        <v>1338</v>
      </c>
      <c r="C47" s="218" t="s">
        <v>522</v>
      </c>
      <c r="D47" s="218" t="s">
        <v>263</v>
      </c>
      <c r="E47" s="218" t="s">
        <v>262</v>
      </c>
      <c r="F47" s="219" t="s">
        <v>1339</v>
      </c>
      <c r="G47" s="218" t="s">
        <v>711</v>
      </c>
      <c r="H47" s="218" t="s">
        <v>1340</v>
      </c>
      <c r="X47" s="220"/>
    </row>
    <row r="48" spans="2:24" s="205" customFormat="1" ht="14.45" customHeight="1">
      <c r="B48" s="221" t="s">
        <v>1359</v>
      </c>
      <c r="C48" s="221">
        <v>12</v>
      </c>
      <c r="D48" s="221" t="s">
        <v>1342</v>
      </c>
      <c r="E48" s="222">
        <f>'Categorias de Costos lácteo '!C125</f>
        <v>1000000</v>
      </c>
      <c r="F48" s="224"/>
      <c r="G48" s="221"/>
      <c r="H48" s="222">
        <f t="shared" ref="H48:H56" si="10">+C48*E48</f>
        <v>12000000</v>
      </c>
      <c r="W48" s="217"/>
    </row>
    <row r="49" spans="1:24" s="205" customFormat="1" ht="14.45" customHeight="1">
      <c r="B49" s="221" t="s">
        <v>1343</v>
      </c>
      <c r="C49" s="221">
        <v>12</v>
      </c>
      <c r="D49" s="221" t="s">
        <v>1342</v>
      </c>
      <c r="E49" s="222">
        <f>'Categorias de Costos lácteo '!C133</f>
        <v>100000</v>
      </c>
      <c r="F49" s="224"/>
      <c r="G49" s="221"/>
      <c r="H49" s="222">
        <f t="shared" si="10"/>
        <v>1200000</v>
      </c>
      <c r="W49" s="217"/>
    </row>
    <row r="50" spans="1:24">
      <c r="A50" s="261"/>
      <c r="B50" s="221" t="s">
        <v>1344</v>
      </c>
      <c r="C50" s="221">
        <v>8</v>
      </c>
      <c r="D50" s="221" t="s">
        <v>1342</v>
      </c>
      <c r="E50" s="222">
        <f>'Categorias de Costos lácteo '!C123</f>
        <v>5000000</v>
      </c>
      <c r="F50" s="224"/>
      <c r="G50" s="221"/>
      <c r="H50" s="222">
        <f t="shared" si="10"/>
        <v>40000000</v>
      </c>
      <c r="X50" s="220"/>
    </row>
    <row r="51" spans="1:24" ht="14.45" customHeight="1">
      <c r="A51" s="261"/>
      <c r="B51" s="221" t="s">
        <v>1345</v>
      </c>
      <c r="C51" s="221">
        <v>30</v>
      </c>
      <c r="D51" s="221" t="s">
        <v>1342</v>
      </c>
      <c r="E51" s="222">
        <f>'Categorias de Costos lácteo '!C124</f>
        <v>5700000</v>
      </c>
      <c r="F51" s="222"/>
      <c r="G51" s="221"/>
      <c r="H51" s="222">
        <f t="shared" si="10"/>
        <v>171000000</v>
      </c>
    </row>
    <row r="52" spans="1:24" ht="14.45" customHeight="1">
      <c r="B52" s="221" t="s">
        <v>1414</v>
      </c>
      <c r="C52" s="221">
        <v>30</v>
      </c>
      <c r="D52" s="221" t="s">
        <v>1342</v>
      </c>
      <c r="E52" s="222">
        <f>'Categorias de Costos lácteo '!C134</f>
        <v>570000</v>
      </c>
      <c r="F52" s="222"/>
      <c r="G52" s="221"/>
      <c r="H52" s="222">
        <f t="shared" si="10"/>
        <v>17100000</v>
      </c>
    </row>
    <row r="53" spans="1:24">
      <c r="B53" s="221" t="s">
        <v>1473</v>
      </c>
      <c r="C53" s="221">
        <v>30</v>
      </c>
      <c r="D53" s="221" t="s">
        <v>1342</v>
      </c>
      <c r="E53" s="222">
        <f>'Categorias de Costos lácteo '!C215</f>
        <v>49500000</v>
      </c>
      <c r="F53" s="224"/>
      <c r="G53" s="221"/>
      <c r="H53" s="222">
        <f t="shared" si="10"/>
        <v>1485000000</v>
      </c>
    </row>
    <row r="54" spans="1:24">
      <c r="B54" s="221" t="s">
        <v>532</v>
      </c>
      <c r="C54" s="221">
        <v>1</v>
      </c>
      <c r="D54" s="221" t="s">
        <v>1342</v>
      </c>
      <c r="E54" s="222">
        <v>50000000</v>
      </c>
      <c r="F54" s="224"/>
      <c r="G54" s="221"/>
      <c r="H54" s="222">
        <f t="shared" si="10"/>
        <v>50000000</v>
      </c>
    </row>
    <row r="55" spans="1:24">
      <c r="B55" s="232" t="s">
        <v>1474</v>
      </c>
      <c r="C55" s="232">
        <v>4</v>
      </c>
      <c r="D55" s="232" t="s">
        <v>1342</v>
      </c>
      <c r="E55" s="263">
        <f>'Categorias de Costos lácteo '!C218</f>
        <v>18000000</v>
      </c>
      <c r="F55" s="232"/>
      <c r="G55" s="232"/>
      <c r="H55" s="222">
        <f t="shared" si="10"/>
        <v>72000000</v>
      </c>
    </row>
    <row r="56" spans="1:24">
      <c r="B56" s="232" t="s">
        <v>1475</v>
      </c>
      <c r="C56" s="232">
        <v>20</v>
      </c>
      <c r="D56" s="232" t="s">
        <v>1342</v>
      </c>
      <c r="E56" s="263">
        <f>'Categorias de Costos lácteo '!C219</f>
        <v>9000000</v>
      </c>
      <c r="F56" s="232"/>
      <c r="G56" s="232"/>
      <c r="H56" s="222">
        <f t="shared" si="10"/>
        <v>180000000</v>
      </c>
    </row>
    <row r="57" spans="1:24">
      <c r="B57" s="247" t="s">
        <v>1408</v>
      </c>
      <c r="C57" s="221">
        <v>20</v>
      </c>
      <c r="D57" s="221" t="s">
        <v>1381</v>
      </c>
      <c r="E57" s="222">
        <f>'Categorias de Costos lácteo '!D276</f>
        <v>1500000</v>
      </c>
      <c r="F57" s="221"/>
      <c r="G57" s="221"/>
      <c r="H57" s="222">
        <f t="shared" ref="H57" si="11">C57*E57</f>
        <v>30000000</v>
      </c>
    </row>
    <row r="58" spans="1:24">
      <c r="B58" s="247" t="s">
        <v>1409</v>
      </c>
      <c r="C58" s="221">
        <v>20</v>
      </c>
      <c r="D58" s="221" t="s">
        <v>1381</v>
      </c>
      <c r="E58" s="222">
        <f>'Categorias de Costos lácteo '!D280</f>
        <v>150000</v>
      </c>
      <c r="F58" s="221"/>
      <c r="G58" s="221"/>
      <c r="H58" s="222">
        <f>C58*E58</f>
        <v>3000000</v>
      </c>
    </row>
    <row r="59" spans="1:24">
      <c r="B59" s="247" t="s">
        <v>1390</v>
      </c>
      <c r="C59" s="221">
        <v>20</v>
      </c>
      <c r="D59" s="221" t="s">
        <v>1381</v>
      </c>
      <c r="E59" s="222">
        <f>'Categorias de Costos lácteo '!D277</f>
        <v>3000000</v>
      </c>
      <c r="F59" s="221"/>
      <c r="G59" s="221"/>
      <c r="H59" s="222">
        <f t="shared" ref="H59:H60" si="12">C59*E59</f>
        <v>60000000</v>
      </c>
    </row>
    <row r="60" spans="1:24">
      <c r="B60" s="165" t="s">
        <v>1410</v>
      </c>
      <c r="C60" s="221">
        <v>20</v>
      </c>
      <c r="D60" s="221" t="s">
        <v>1381</v>
      </c>
      <c r="E60" s="222">
        <f>'Categorias de Costos lácteo '!D281</f>
        <v>300000</v>
      </c>
      <c r="F60" s="251"/>
      <c r="G60" s="222"/>
      <c r="H60" s="222">
        <f t="shared" si="12"/>
        <v>6000000</v>
      </c>
    </row>
    <row r="61" spans="1:24" s="205" customFormat="1">
      <c r="B61" s="232" t="s">
        <v>1463</v>
      </c>
      <c r="C61" s="232">
        <v>10</v>
      </c>
      <c r="D61" s="232" t="s">
        <v>1342</v>
      </c>
      <c r="E61" s="263">
        <f>'Categorias de Costos lácteo '!C228</f>
        <v>21000000</v>
      </c>
      <c r="F61" s="232"/>
      <c r="G61" s="232"/>
      <c r="H61" s="222">
        <f>+C61*E61</f>
        <v>210000000</v>
      </c>
      <c r="I61"/>
    </row>
    <row r="62" spans="1:24">
      <c r="B62" s="232" t="s">
        <v>1464</v>
      </c>
      <c r="C62" s="232">
        <v>10</v>
      </c>
      <c r="D62" s="232" t="s">
        <v>1342</v>
      </c>
      <c r="E62" s="263">
        <f>'Categorias de Costos lácteo '!C227</f>
        <v>40000000</v>
      </c>
      <c r="F62" s="232"/>
      <c r="G62" s="232"/>
      <c r="H62" s="222">
        <f>+C62*E62</f>
        <v>400000000</v>
      </c>
    </row>
    <row r="63" spans="1:24">
      <c r="B63" s="221" t="s">
        <v>1476</v>
      </c>
      <c r="C63" s="221">
        <v>60</v>
      </c>
      <c r="D63" s="221" t="s">
        <v>1342</v>
      </c>
      <c r="E63" s="222">
        <f>'Categorias de Costos lácteo '!D307</f>
        <v>5300000</v>
      </c>
      <c r="F63" s="224">
        <v>0.5</v>
      </c>
      <c r="G63" s="221"/>
      <c r="H63" s="222">
        <f>+E63*C63*F63</f>
        <v>159000000</v>
      </c>
    </row>
    <row r="64" spans="1:24">
      <c r="B64" s="221" t="s">
        <v>1477</v>
      </c>
      <c r="C64" s="221">
        <v>60</v>
      </c>
      <c r="D64" s="221" t="s">
        <v>1342</v>
      </c>
      <c r="E64" s="222">
        <f>'Categorias de Costos lácteo '!D63</f>
        <v>1214324</v>
      </c>
      <c r="F64" s="224">
        <v>1</v>
      </c>
      <c r="G64" s="221">
        <v>1</v>
      </c>
      <c r="H64" s="222">
        <f t="shared" ref="H64:H65" si="13">+E64*C64*F64</f>
        <v>72859440</v>
      </c>
    </row>
    <row r="65" spans="1:24">
      <c r="B65" s="165" t="s">
        <v>1353</v>
      </c>
      <c r="C65" s="221">
        <v>10</v>
      </c>
      <c r="D65" s="221" t="s">
        <v>1342</v>
      </c>
      <c r="E65" s="222">
        <f>'Categorias de Costos lácteo '!D52</f>
        <v>5464476</v>
      </c>
      <c r="F65" s="237">
        <v>1</v>
      </c>
      <c r="G65" s="221">
        <v>12</v>
      </c>
      <c r="H65" s="222">
        <f t="shared" si="13"/>
        <v>54644760</v>
      </c>
    </row>
    <row r="66" spans="1:24">
      <c r="B66" s="165" t="s">
        <v>1354</v>
      </c>
      <c r="C66" s="221">
        <v>10</v>
      </c>
      <c r="D66" s="221" t="s">
        <v>1352</v>
      </c>
      <c r="E66" s="222">
        <f>'Categorias de Costos lácteo '!C82+'Categorias de Costos lácteo '!G52</f>
        <v>2098191.5</v>
      </c>
      <c r="F66" s="237"/>
      <c r="G66" s="221"/>
      <c r="H66" s="222">
        <f>C66*E66</f>
        <v>20981915</v>
      </c>
    </row>
    <row r="67" spans="1:24">
      <c r="B67" s="165" t="s">
        <v>1469</v>
      </c>
      <c r="C67" s="221"/>
      <c r="D67" s="221"/>
      <c r="E67" s="222"/>
      <c r="F67" s="237"/>
      <c r="G67" s="221"/>
      <c r="H67" s="222" t="s">
        <v>1331</v>
      </c>
    </row>
    <row r="68" spans="1:24">
      <c r="B68" s="165" t="s">
        <v>1419</v>
      </c>
      <c r="C68" s="221"/>
      <c r="D68" s="221"/>
      <c r="E68" s="222"/>
      <c r="F68" s="251"/>
      <c r="G68" s="222"/>
      <c r="H68" s="222" t="s">
        <v>1331</v>
      </c>
    </row>
    <row r="69" spans="1:24">
      <c r="B69" s="225" t="s">
        <v>1340</v>
      </c>
      <c r="C69" s="226"/>
      <c r="D69" s="226"/>
      <c r="E69" s="227"/>
      <c r="F69" s="227"/>
      <c r="G69" s="226"/>
      <c r="H69" s="228">
        <f>SUM(H48:H68)</f>
        <v>3044786115</v>
      </c>
    </row>
    <row r="70" spans="1:24" s="205" customFormat="1" ht="171.95" customHeight="1">
      <c r="B70" s="229" t="s">
        <v>1707</v>
      </c>
      <c r="C70" s="215"/>
      <c r="E70" s="217"/>
      <c r="F70" s="217"/>
      <c r="H70" s="217"/>
      <c r="I70"/>
    </row>
    <row r="72" spans="1:24" s="205" customFormat="1" ht="14.45" customHeight="1">
      <c r="B72" s="686" t="str">
        <f>B10</f>
        <v>6.3. Competitividad de productos lácteos nacionales frente a importaciones.</v>
      </c>
      <c r="C72" s="687"/>
      <c r="D72" s="687"/>
      <c r="E72" s="687"/>
      <c r="F72" s="687"/>
      <c r="G72" s="687"/>
      <c r="H72" s="687"/>
      <c r="W72" s="217"/>
    </row>
    <row r="73" spans="1:24" s="205" customFormat="1" ht="14.45" customHeight="1">
      <c r="B73" s="688"/>
      <c r="C73" s="688"/>
      <c r="D73" s="688"/>
      <c r="E73" s="688"/>
      <c r="F73" s="688"/>
      <c r="G73" s="688"/>
      <c r="H73" s="688"/>
      <c r="W73" s="217"/>
    </row>
    <row r="74" spans="1:24">
      <c r="B74" s="218" t="s">
        <v>1338</v>
      </c>
      <c r="C74" s="218" t="s">
        <v>522</v>
      </c>
      <c r="D74" s="218" t="s">
        <v>263</v>
      </c>
      <c r="E74" s="218" t="s">
        <v>262</v>
      </c>
      <c r="F74" s="219" t="s">
        <v>1339</v>
      </c>
      <c r="G74" s="218" t="s">
        <v>711</v>
      </c>
      <c r="H74" s="218" t="s">
        <v>1340</v>
      </c>
      <c r="X74" s="220"/>
    </row>
    <row r="75" spans="1:24" s="205" customFormat="1" ht="14.45" customHeight="1">
      <c r="B75" s="221" t="s">
        <v>1359</v>
      </c>
      <c r="C75" s="221">
        <v>6</v>
      </c>
      <c r="D75" s="221" t="s">
        <v>1342</v>
      </c>
      <c r="E75" s="222">
        <f>'Categorias de Costos lácteo '!C125</f>
        <v>1000000</v>
      </c>
      <c r="F75" s="224"/>
      <c r="G75" s="221"/>
      <c r="H75" s="222">
        <f t="shared" ref="H75:H80" si="14">+C75*E75</f>
        <v>6000000</v>
      </c>
      <c r="W75" s="217"/>
    </row>
    <row r="76" spans="1:24" s="205" customFormat="1" ht="14.45" customHeight="1">
      <c r="B76" s="221" t="s">
        <v>1343</v>
      </c>
      <c r="C76" s="221">
        <v>6</v>
      </c>
      <c r="D76" s="221" t="s">
        <v>1342</v>
      </c>
      <c r="E76" s="222">
        <f>'Categorias de Costos lácteo '!C133</f>
        <v>100000</v>
      </c>
      <c r="F76" s="224"/>
      <c r="G76" s="221"/>
      <c r="H76" s="222">
        <f t="shared" si="14"/>
        <v>600000</v>
      </c>
      <c r="W76" s="217"/>
    </row>
    <row r="77" spans="1:24">
      <c r="A77" s="261"/>
      <c r="B77" s="221" t="s">
        <v>1344</v>
      </c>
      <c r="C77" s="221">
        <v>8</v>
      </c>
      <c r="D77" s="221" t="s">
        <v>1342</v>
      </c>
      <c r="E77" s="222">
        <f>'Categorias de Costos lácteo '!C123</f>
        <v>5000000</v>
      </c>
      <c r="F77" s="224"/>
      <c r="G77" s="221"/>
      <c r="H77" s="222">
        <f t="shared" si="14"/>
        <v>40000000</v>
      </c>
      <c r="X77" s="220"/>
    </row>
    <row r="78" spans="1:24" ht="14.45" customHeight="1">
      <c r="A78" s="261"/>
      <c r="B78" s="221" t="s">
        <v>1345</v>
      </c>
      <c r="C78" s="221">
        <v>30</v>
      </c>
      <c r="D78" s="221" t="s">
        <v>1342</v>
      </c>
      <c r="E78" s="222">
        <f>'Categorias de Costos lácteo '!C124</f>
        <v>5700000</v>
      </c>
      <c r="F78" s="222"/>
      <c r="G78" s="221"/>
      <c r="H78" s="222">
        <f t="shared" si="14"/>
        <v>171000000</v>
      </c>
    </row>
    <row r="79" spans="1:24" ht="14.45" customHeight="1">
      <c r="B79" s="221" t="s">
        <v>1414</v>
      </c>
      <c r="C79" s="221">
        <v>30</v>
      </c>
      <c r="D79" s="221" t="s">
        <v>1342</v>
      </c>
      <c r="E79" s="222">
        <f>'Categorias de Costos lácteo '!C134</f>
        <v>570000</v>
      </c>
      <c r="F79" s="222"/>
      <c r="G79" s="221"/>
      <c r="H79" s="222">
        <f t="shared" si="14"/>
        <v>17100000</v>
      </c>
    </row>
    <row r="80" spans="1:24">
      <c r="B80" s="221" t="s">
        <v>532</v>
      </c>
      <c r="C80" s="221">
        <v>1</v>
      </c>
      <c r="D80" s="221" t="s">
        <v>1342</v>
      </c>
      <c r="E80" s="222">
        <v>20000000</v>
      </c>
      <c r="F80" s="224"/>
      <c r="G80" s="221"/>
      <c r="H80" s="222">
        <f t="shared" si="14"/>
        <v>20000000</v>
      </c>
    </row>
    <row r="81" spans="2:9">
      <c r="B81" s="247" t="s">
        <v>1408</v>
      </c>
      <c r="C81" s="221">
        <v>20</v>
      </c>
      <c r="D81" s="221" t="s">
        <v>1381</v>
      </c>
      <c r="E81" s="222">
        <f>'Categorias de Costos lácteo '!D276</f>
        <v>1500000</v>
      </c>
      <c r="F81" s="221"/>
      <c r="G81" s="221"/>
      <c r="H81" s="222">
        <f t="shared" ref="H81" si="15">C81*E81</f>
        <v>30000000</v>
      </c>
    </row>
    <row r="82" spans="2:9">
      <c r="B82" s="247" t="s">
        <v>1409</v>
      </c>
      <c r="C82" s="221">
        <v>20</v>
      </c>
      <c r="D82" s="221" t="s">
        <v>1381</v>
      </c>
      <c r="E82" s="222">
        <f>'Categorias de Costos lácteo '!D307</f>
        <v>5300000</v>
      </c>
      <c r="F82" s="221"/>
      <c r="G82" s="221"/>
      <c r="H82" s="222">
        <f>C82*E82</f>
        <v>106000000</v>
      </c>
    </row>
    <row r="83" spans="2:9">
      <c r="B83" s="258" t="s">
        <v>1478</v>
      </c>
      <c r="C83" s="258">
        <v>1</v>
      </c>
      <c r="D83" s="258" t="s">
        <v>1342</v>
      </c>
      <c r="E83" s="259">
        <f>'Categorias de Costos lácteo '!D367</f>
        <v>647750000</v>
      </c>
      <c r="F83" s="224">
        <v>0.2</v>
      </c>
      <c r="G83" s="258"/>
      <c r="H83" s="259">
        <f>C83*E83*F83</f>
        <v>129550000</v>
      </c>
    </row>
    <row r="84" spans="2:9">
      <c r="B84" s="165" t="s">
        <v>1479</v>
      </c>
      <c r="C84" s="221">
        <v>2</v>
      </c>
      <c r="D84" s="221" t="s">
        <v>1342</v>
      </c>
      <c r="E84" s="259">
        <f>'Categorias de Costos lácteo '!C89</f>
        <v>2900000</v>
      </c>
      <c r="F84" s="221"/>
      <c r="G84" s="221"/>
      <c r="H84" s="222">
        <f>C84*E85</f>
        <v>5486775</v>
      </c>
    </row>
    <row r="85" spans="2:9">
      <c r="B85" s="165" t="s">
        <v>1480</v>
      </c>
      <c r="C85" s="221">
        <v>2</v>
      </c>
      <c r="D85" s="221" t="s">
        <v>1481</v>
      </c>
      <c r="E85" s="222">
        <f>'Categorias de Costos lácteo '!G40</f>
        <v>2743387.5</v>
      </c>
      <c r="F85" s="221"/>
      <c r="G85" s="221"/>
      <c r="H85" s="222">
        <f>C85*E86</f>
        <v>42000000</v>
      </c>
    </row>
    <row r="86" spans="2:9" s="205" customFormat="1">
      <c r="B86" s="232" t="s">
        <v>1463</v>
      </c>
      <c r="C86" s="232">
        <v>10</v>
      </c>
      <c r="D86" s="232" t="s">
        <v>1342</v>
      </c>
      <c r="E86" s="263">
        <f>'Categorias de Costos lácteo '!C228</f>
        <v>21000000</v>
      </c>
      <c r="F86" s="232"/>
      <c r="G86" s="232"/>
      <c r="H86" s="222">
        <f>C86*E87</f>
        <v>400000000</v>
      </c>
      <c r="I86"/>
    </row>
    <row r="87" spans="2:9">
      <c r="B87" s="232" t="s">
        <v>1464</v>
      </c>
      <c r="C87" s="232">
        <v>10</v>
      </c>
      <c r="D87" s="232" t="s">
        <v>1342</v>
      </c>
      <c r="E87" s="263">
        <f>'Categorias de Costos lácteo '!C227</f>
        <v>40000000</v>
      </c>
      <c r="F87" s="232"/>
      <c r="G87" s="232"/>
      <c r="H87" s="222">
        <f>C87*E88</f>
        <v>54644760</v>
      </c>
    </row>
    <row r="88" spans="2:9">
      <c r="B88" s="165" t="s">
        <v>1353</v>
      </c>
      <c r="C88" s="221">
        <v>10</v>
      </c>
      <c r="D88" s="221" t="s">
        <v>1342</v>
      </c>
      <c r="E88" s="222">
        <f>'Categorias de Costos lácteo '!D52</f>
        <v>5464476</v>
      </c>
      <c r="F88" s="237">
        <v>1</v>
      </c>
      <c r="G88" s="221">
        <v>12</v>
      </c>
      <c r="H88" s="222">
        <f>+E88*C88*F88*G88</f>
        <v>655737120</v>
      </c>
    </row>
    <row r="89" spans="2:9">
      <c r="B89" s="165" t="s">
        <v>1354</v>
      </c>
      <c r="C89" s="221">
        <v>10</v>
      </c>
      <c r="D89" s="221" t="s">
        <v>1352</v>
      </c>
      <c r="E89" s="222">
        <f>'Categorias de Costos lácteo '!G52+'Categorias de Costos lácteo '!C82</f>
        <v>2098191.5</v>
      </c>
      <c r="F89" s="237"/>
      <c r="G89" s="221"/>
      <c r="H89" s="222">
        <f>C89*E89</f>
        <v>20981915</v>
      </c>
    </row>
    <row r="90" spans="2:9">
      <c r="B90" s="165" t="s">
        <v>1482</v>
      </c>
      <c r="C90" s="221"/>
      <c r="D90" s="221"/>
      <c r="E90" s="222"/>
      <c r="F90" s="251"/>
      <c r="G90" s="222"/>
      <c r="H90" s="222" t="s">
        <v>1331</v>
      </c>
    </row>
    <row r="91" spans="2:9">
      <c r="B91" s="225" t="s">
        <v>1483</v>
      </c>
      <c r="C91" s="226"/>
      <c r="D91" s="226"/>
      <c r="E91" s="227"/>
      <c r="F91" s="227"/>
      <c r="G91" s="226"/>
      <c r="H91" s="228">
        <f>SUM(H75:H90)-H83</f>
        <v>1569550570</v>
      </c>
    </row>
    <row r="92" spans="2:9">
      <c r="B92" s="225" t="s">
        <v>1366</v>
      </c>
      <c r="C92" s="226"/>
      <c r="D92" s="226"/>
      <c r="E92" s="227"/>
      <c r="F92" s="227"/>
      <c r="G92" s="226"/>
      <c r="H92" s="228">
        <f>SUM(H75:H90)</f>
        <v>1699100570</v>
      </c>
    </row>
    <row r="93" spans="2:9" s="205" customFormat="1" ht="108" customHeight="1">
      <c r="B93" s="229" t="s">
        <v>1708</v>
      </c>
      <c r="C93" s="215"/>
      <c r="E93" s="217"/>
      <c r="F93" s="217"/>
      <c r="H93" s="217"/>
      <c r="I93"/>
    </row>
  </sheetData>
  <mergeCells count="3">
    <mergeCell ref="B14:H14"/>
    <mergeCell ref="B45:H46"/>
    <mergeCell ref="B72:H7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1"/>
  <sheetViews>
    <sheetView windowProtection="1" showGridLines="0" topLeftCell="A34" zoomScale="110" zoomScaleNormal="110" workbookViewId="0">
      <selection activeCell="B39" sqref="B39"/>
    </sheetView>
  </sheetViews>
  <sheetFormatPr baseColWidth="10" defaultColWidth="10.85546875" defaultRowHeight="15"/>
  <cols>
    <col min="1" max="1" width="13.42578125" customWidth="1"/>
    <col min="2" max="2" width="63.42578125" customWidth="1"/>
    <col min="3" max="3" width="19.85546875" customWidth="1"/>
    <col min="4" max="4" width="17.85546875" bestFit="1" customWidth="1"/>
    <col min="5" max="5" width="15.140625" bestFit="1" customWidth="1"/>
    <col min="6" max="25" width="23.42578125" customWidth="1"/>
  </cols>
  <sheetData>
    <row r="2" spans="1:25" ht="15.75">
      <c r="A2" s="203" t="s">
        <v>1334</v>
      </c>
    </row>
    <row r="3" spans="1:25" s="205" customFormat="1">
      <c r="A3" s="204"/>
    </row>
    <row r="4" spans="1:25" ht="15.75">
      <c r="A4" s="206" t="s">
        <v>1335</v>
      </c>
      <c r="B4" s="206" t="str">
        <f>Portafolio_Cadena_Láctea!C112</f>
        <v>7. Promoción a las exportaciones de productos lácteos</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X7" si="0">SUM(D8:D8)</f>
        <v>0</v>
      </c>
      <c r="E7" s="249">
        <f t="shared" si="0"/>
        <v>0</v>
      </c>
      <c r="F7" s="249">
        <f t="shared" si="0"/>
        <v>0</v>
      </c>
      <c r="G7" s="249">
        <f t="shared" si="0"/>
        <v>2279343862.5</v>
      </c>
      <c r="H7" s="249">
        <f t="shared" si="0"/>
        <v>2279343862.5</v>
      </c>
      <c r="I7" s="249">
        <f t="shared" si="0"/>
        <v>3219038472.0999999</v>
      </c>
      <c r="J7" s="249">
        <f t="shared" si="0"/>
        <v>3219038472.0999999</v>
      </c>
      <c r="K7" s="249">
        <f t="shared" si="0"/>
        <v>3219038472.0999999</v>
      </c>
      <c r="L7" s="249">
        <f t="shared" si="0"/>
        <v>3219038472.0999999</v>
      </c>
      <c r="M7" s="249">
        <f t="shared" si="0"/>
        <v>3219038472.0999999</v>
      </c>
      <c r="N7" s="249">
        <f t="shared" si="0"/>
        <v>3219038472.0999999</v>
      </c>
      <c r="O7" s="249">
        <f t="shared" si="0"/>
        <v>3219038472.0999999</v>
      </c>
      <c r="P7" s="249">
        <f t="shared" si="0"/>
        <v>3219038472.0999999</v>
      </c>
      <c r="Q7" s="249">
        <f t="shared" si="0"/>
        <v>3219038472.0999999</v>
      </c>
      <c r="R7" s="249">
        <f t="shared" si="0"/>
        <v>3219038472.0999999</v>
      </c>
      <c r="S7" s="249">
        <f t="shared" si="0"/>
        <v>2279343862.5</v>
      </c>
      <c r="T7" s="249">
        <f t="shared" si="0"/>
        <v>2279343862.5</v>
      </c>
      <c r="U7" s="249">
        <f t="shared" si="0"/>
        <v>2279343862.5</v>
      </c>
      <c r="V7" s="249">
        <f t="shared" si="0"/>
        <v>2279343862.5</v>
      </c>
      <c r="W7" s="249">
        <f t="shared" si="0"/>
        <v>2279343862.5</v>
      </c>
      <c r="X7" s="249">
        <f t="shared" si="0"/>
        <v>2279343862.5</v>
      </c>
      <c r="Y7" s="249">
        <f>SUM(D7:X7)</f>
        <v>50425135620.999992</v>
      </c>
    </row>
    <row r="8" spans="1:25" s="214" customFormat="1" ht="30">
      <c r="A8" s="205"/>
      <c r="B8" s="262" t="str">
        <f>Portafolio_Cadena_Láctea!D112</f>
        <v>7.1. Posicionamiento de los productos lácteos colombianos en el mercado internacional.</v>
      </c>
      <c r="C8" s="212" t="s">
        <v>1402</v>
      </c>
      <c r="D8" s="213"/>
      <c r="E8" s="253"/>
      <c r="F8" s="213"/>
      <c r="G8" s="213">
        <f>H37</f>
        <v>2279343862.5</v>
      </c>
      <c r="H8" s="213">
        <f>H37</f>
        <v>2279343862.5</v>
      </c>
      <c r="I8" s="213">
        <f>H38</f>
        <v>3219038472.0999999</v>
      </c>
      <c r="J8" s="213">
        <f>H38</f>
        <v>3219038472.0999999</v>
      </c>
      <c r="K8" s="213">
        <f t="shared" ref="K8:R8" si="1">J8</f>
        <v>3219038472.0999999</v>
      </c>
      <c r="L8" s="253">
        <f t="shared" si="1"/>
        <v>3219038472.0999999</v>
      </c>
      <c r="M8" s="213">
        <f t="shared" si="1"/>
        <v>3219038472.0999999</v>
      </c>
      <c r="N8" s="213">
        <f t="shared" si="1"/>
        <v>3219038472.0999999</v>
      </c>
      <c r="O8" s="213">
        <f t="shared" si="1"/>
        <v>3219038472.0999999</v>
      </c>
      <c r="P8" s="213">
        <f t="shared" si="1"/>
        <v>3219038472.0999999</v>
      </c>
      <c r="Q8" s="253">
        <f t="shared" si="1"/>
        <v>3219038472.0999999</v>
      </c>
      <c r="R8" s="213">
        <f t="shared" si="1"/>
        <v>3219038472.0999999</v>
      </c>
      <c r="S8" s="213">
        <f>H37</f>
        <v>2279343862.5</v>
      </c>
      <c r="T8" s="213">
        <f>S8</f>
        <v>2279343862.5</v>
      </c>
      <c r="U8" s="213">
        <f>T8</f>
        <v>2279343862.5</v>
      </c>
      <c r="V8" s="253">
        <f>U8</f>
        <v>2279343862.5</v>
      </c>
      <c r="W8" s="213">
        <f>V8</f>
        <v>2279343862.5</v>
      </c>
      <c r="X8" s="213">
        <f>W8</f>
        <v>2279343862.5</v>
      </c>
      <c r="Y8" s="213">
        <f t="shared" ref="Y8:Y9" si="2">SUM(D8:X8)</f>
        <v>50425135620.999992</v>
      </c>
    </row>
    <row r="9" spans="1:25" s="210" customFormat="1">
      <c r="A9"/>
      <c r="B9" s="209" t="s">
        <v>46</v>
      </c>
      <c r="C9" s="209"/>
      <c r="D9" s="249">
        <f t="shared" ref="D9:X9" si="3">SUM(D8:D8)</f>
        <v>0</v>
      </c>
      <c r="E9" s="249">
        <f t="shared" si="3"/>
        <v>0</v>
      </c>
      <c r="F9" s="249">
        <f t="shared" si="3"/>
        <v>0</v>
      </c>
      <c r="G9" s="249">
        <f t="shared" si="3"/>
        <v>2279343862.5</v>
      </c>
      <c r="H9" s="249">
        <f t="shared" si="3"/>
        <v>2279343862.5</v>
      </c>
      <c r="I9" s="249">
        <f t="shared" si="3"/>
        <v>3219038472.0999999</v>
      </c>
      <c r="J9" s="249">
        <f t="shared" si="3"/>
        <v>3219038472.0999999</v>
      </c>
      <c r="K9" s="249">
        <f t="shared" si="3"/>
        <v>3219038472.0999999</v>
      </c>
      <c r="L9" s="249">
        <f t="shared" si="3"/>
        <v>3219038472.0999999</v>
      </c>
      <c r="M9" s="249">
        <f t="shared" si="3"/>
        <v>3219038472.0999999</v>
      </c>
      <c r="N9" s="249">
        <f t="shared" si="3"/>
        <v>3219038472.0999999</v>
      </c>
      <c r="O9" s="249">
        <f t="shared" si="3"/>
        <v>3219038472.0999999</v>
      </c>
      <c r="P9" s="249">
        <f t="shared" si="3"/>
        <v>3219038472.0999999</v>
      </c>
      <c r="Q9" s="249">
        <f t="shared" si="3"/>
        <v>3219038472.0999999</v>
      </c>
      <c r="R9" s="249">
        <f t="shared" si="3"/>
        <v>3219038472.0999999</v>
      </c>
      <c r="S9" s="249">
        <f t="shared" si="3"/>
        <v>2279343862.5</v>
      </c>
      <c r="T9" s="249">
        <f t="shared" si="3"/>
        <v>2279343862.5</v>
      </c>
      <c r="U9" s="249">
        <f t="shared" si="3"/>
        <v>2279343862.5</v>
      </c>
      <c r="V9" s="249">
        <f t="shared" si="3"/>
        <v>2279343862.5</v>
      </c>
      <c r="W9" s="249">
        <f t="shared" si="3"/>
        <v>2279343862.5</v>
      </c>
      <c r="X9" s="249">
        <f t="shared" si="3"/>
        <v>2279343862.5</v>
      </c>
      <c r="Y9" s="249">
        <f t="shared" si="2"/>
        <v>50425135620.999992</v>
      </c>
    </row>
    <row r="12" spans="1:25" s="205" customFormat="1" ht="14.45" customHeight="1">
      <c r="B12" s="686" t="str">
        <f>B8</f>
        <v>7.1. Posicionamiento de los productos lácteos colombianos en el mercado internacional.</v>
      </c>
      <c r="C12" s="687"/>
      <c r="D12" s="687"/>
      <c r="E12" s="687"/>
      <c r="F12" s="687"/>
      <c r="G12" s="687"/>
      <c r="H12" s="687"/>
      <c r="W12" s="217"/>
    </row>
    <row r="13" spans="1:25">
      <c r="B13" s="218" t="s">
        <v>1338</v>
      </c>
      <c r="C13" s="218" t="s">
        <v>522</v>
      </c>
      <c r="D13" s="218" t="s">
        <v>263</v>
      </c>
      <c r="E13" s="218" t="s">
        <v>262</v>
      </c>
      <c r="F13" s="219" t="s">
        <v>1339</v>
      </c>
      <c r="G13" s="218" t="s">
        <v>711</v>
      </c>
      <c r="H13" s="218" t="s">
        <v>1340</v>
      </c>
      <c r="X13" s="220"/>
    </row>
    <row r="14" spans="1:25" ht="14.45" customHeight="1">
      <c r="B14" s="221" t="s">
        <v>1359</v>
      </c>
      <c r="C14" s="221">
        <v>12</v>
      </c>
      <c r="D14" s="221" t="s">
        <v>1342</v>
      </c>
      <c r="E14" s="222">
        <f>'Categorias de Costos lácteo '!C125</f>
        <v>1000000</v>
      </c>
      <c r="F14" s="224"/>
      <c r="G14" s="221"/>
      <c r="H14" s="222">
        <f>+C14*E14</f>
        <v>12000000</v>
      </c>
    </row>
    <row r="15" spans="1:25" ht="14.45" customHeight="1">
      <c r="B15" s="221" t="s">
        <v>1343</v>
      </c>
      <c r="C15" s="221">
        <v>12</v>
      </c>
      <c r="D15" s="221" t="s">
        <v>1342</v>
      </c>
      <c r="E15" s="222">
        <f>'Categorias de Costos lácteo '!C133</f>
        <v>100000</v>
      </c>
      <c r="F15" s="224"/>
      <c r="G15" s="221"/>
      <c r="H15" s="222">
        <f t="shared" ref="H15:H18" si="4">+C15*E15</f>
        <v>1200000</v>
      </c>
    </row>
    <row r="16" spans="1:25" ht="14.45" customHeight="1">
      <c r="B16" s="221" t="s">
        <v>1344</v>
      </c>
      <c r="C16" s="221">
        <v>8</v>
      </c>
      <c r="D16" s="221" t="s">
        <v>1342</v>
      </c>
      <c r="E16" s="222">
        <f>+'Categorias de Costos lácteo '!C123</f>
        <v>5000000</v>
      </c>
      <c r="F16" s="224"/>
      <c r="G16" s="221"/>
      <c r="H16" s="222">
        <f t="shared" si="4"/>
        <v>40000000</v>
      </c>
    </row>
    <row r="17" spans="2:8">
      <c r="B17" s="221" t="s">
        <v>1345</v>
      </c>
      <c r="C17" s="221">
        <v>30</v>
      </c>
      <c r="D17" s="221" t="s">
        <v>1342</v>
      </c>
      <c r="E17" s="222">
        <f>+'Categorias de Costos lácteo '!C124</f>
        <v>5700000</v>
      </c>
      <c r="F17" s="222"/>
      <c r="G17" s="221"/>
      <c r="H17" s="222">
        <f t="shared" si="4"/>
        <v>171000000</v>
      </c>
    </row>
    <row r="18" spans="2:8">
      <c r="B18" s="221" t="s">
        <v>1405</v>
      </c>
      <c r="C18" s="221">
        <v>30</v>
      </c>
      <c r="D18" s="221" t="s">
        <v>1342</v>
      </c>
      <c r="E18" s="222">
        <f>'Categorias de Costos lácteo '!C134</f>
        <v>570000</v>
      </c>
      <c r="F18" s="222"/>
      <c r="G18" s="221"/>
      <c r="H18" s="222">
        <f t="shared" si="4"/>
        <v>17100000</v>
      </c>
    </row>
    <row r="19" spans="2:8">
      <c r="B19" s="221" t="s">
        <v>551</v>
      </c>
      <c r="C19" s="221">
        <v>30</v>
      </c>
      <c r="D19" s="221" t="s">
        <v>1342</v>
      </c>
      <c r="E19" s="222">
        <f>'Categorias de Costos lácteo '!C220</f>
        <v>21000000</v>
      </c>
      <c r="F19" s="224"/>
      <c r="G19" s="221"/>
      <c r="H19" s="222">
        <f>+C19*E19</f>
        <v>630000000</v>
      </c>
    </row>
    <row r="20" spans="2:8">
      <c r="B20" s="234" t="s">
        <v>1484</v>
      </c>
      <c r="C20" s="258">
        <v>2</v>
      </c>
      <c r="D20" s="258" t="s">
        <v>1342</v>
      </c>
      <c r="E20" s="259">
        <f>'Categorias de Costos lácteo '!H452</f>
        <v>17110508.080000002</v>
      </c>
      <c r="F20" s="258"/>
      <c r="G20" s="258"/>
      <c r="H20" s="222">
        <f t="shared" ref="H20:H33" si="5">+C20*E20</f>
        <v>34221016.160000004</v>
      </c>
    </row>
    <row r="21" spans="2:8">
      <c r="B21" s="234" t="s">
        <v>1485</v>
      </c>
      <c r="C21" s="258">
        <v>4</v>
      </c>
      <c r="D21" s="258" t="s">
        <v>1342</v>
      </c>
      <c r="E21" s="259">
        <f>'Categorias de Costos lácteo '!H453</f>
        <v>37214792.300000004</v>
      </c>
      <c r="F21" s="258"/>
      <c r="G21" s="258"/>
      <c r="H21" s="222">
        <f t="shared" si="5"/>
        <v>148859169.20000002</v>
      </c>
    </row>
    <row r="22" spans="2:8">
      <c r="B22" s="234" t="s">
        <v>1486</v>
      </c>
      <c r="C22" s="258">
        <v>6</v>
      </c>
      <c r="D22" s="258" t="s">
        <v>1342</v>
      </c>
      <c r="E22" s="259">
        <f>'Categorias de Costos lácteo '!H454</f>
        <v>126102404.04000001</v>
      </c>
      <c r="F22" s="258"/>
      <c r="G22" s="258"/>
      <c r="H22" s="222">
        <f t="shared" si="5"/>
        <v>756614424.24000001</v>
      </c>
    </row>
    <row r="23" spans="2:8">
      <c r="B23" s="221" t="s">
        <v>532</v>
      </c>
      <c r="C23" s="221">
        <v>1</v>
      </c>
      <c r="D23" s="221" t="s">
        <v>1342</v>
      </c>
      <c r="E23" s="222">
        <v>100000000</v>
      </c>
      <c r="F23" s="224"/>
      <c r="G23" s="221"/>
      <c r="H23" s="222">
        <f t="shared" si="5"/>
        <v>100000000</v>
      </c>
    </row>
    <row r="24" spans="2:8">
      <c r="B24" s="247" t="s">
        <v>1408</v>
      </c>
      <c r="C24" s="221">
        <v>20</v>
      </c>
      <c r="D24" s="221" t="s">
        <v>1381</v>
      </c>
      <c r="E24" s="222">
        <f>'Categorias de Costos lácteo '!D276</f>
        <v>1500000</v>
      </c>
      <c r="F24" s="221"/>
      <c r="G24" s="221"/>
      <c r="H24" s="222">
        <f t="shared" si="5"/>
        <v>30000000</v>
      </c>
    </row>
    <row r="25" spans="2:8">
      <c r="B25" s="247" t="s">
        <v>1409</v>
      </c>
      <c r="C25" s="221">
        <v>20</v>
      </c>
      <c r="D25" s="221" t="s">
        <v>1381</v>
      </c>
      <c r="E25" s="222">
        <f>'Categorias de Costos lácteo '!D280</f>
        <v>150000</v>
      </c>
      <c r="F25" s="221"/>
      <c r="G25" s="221"/>
      <c r="H25" s="222">
        <f t="shared" si="5"/>
        <v>3000000</v>
      </c>
    </row>
    <row r="26" spans="2:8">
      <c r="B26" s="247" t="s">
        <v>1390</v>
      </c>
      <c r="C26" s="221">
        <v>20</v>
      </c>
      <c r="D26" s="221" t="s">
        <v>1381</v>
      </c>
      <c r="E26" s="222">
        <f>'Categorias de Costos lácteo '!D277</f>
        <v>3000000</v>
      </c>
      <c r="F26" s="221"/>
      <c r="G26" s="221"/>
      <c r="H26" s="222">
        <f t="shared" si="5"/>
        <v>60000000</v>
      </c>
    </row>
    <row r="27" spans="2:8">
      <c r="B27" s="165" t="s">
        <v>1410</v>
      </c>
      <c r="C27" s="221">
        <v>20</v>
      </c>
      <c r="D27" s="221" t="s">
        <v>1381</v>
      </c>
      <c r="E27" s="222">
        <f>'Categorias de Costos lácteo '!D281</f>
        <v>300000</v>
      </c>
      <c r="F27" s="251"/>
      <c r="G27" s="222"/>
      <c r="H27" s="222">
        <f t="shared" si="5"/>
        <v>6000000</v>
      </c>
    </row>
    <row r="28" spans="2:8">
      <c r="B28" s="232" t="s">
        <v>1487</v>
      </c>
      <c r="C28" s="232">
        <v>5</v>
      </c>
      <c r="D28" s="232" t="s">
        <v>1342</v>
      </c>
      <c r="E28" s="263">
        <f>'Categorias de Costos lácteo '!C228</f>
        <v>21000000</v>
      </c>
      <c r="F28" s="232"/>
      <c r="G28" s="232"/>
      <c r="H28" s="222">
        <f t="shared" si="5"/>
        <v>105000000</v>
      </c>
    </row>
    <row r="29" spans="2:8">
      <c r="B29" s="232" t="s">
        <v>1488</v>
      </c>
      <c r="C29" s="232">
        <v>10</v>
      </c>
      <c r="D29" s="232" t="s">
        <v>1342</v>
      </c>
      <c r="E29" s="263">
        <f>'Categorias de Costos lácteo '!C229</f>
        <v>31520000</v>
      </c>
      <c r="F29" s="232"/>
      <c r="G29" s="232"/>
      <c r="H29" s="222">
        <f t="shared" si="5"/>
        <v>315200000</v>
      </c>
    </row>
    <row r="30" spans="2:8">
      <c r="B30" s="232" t="s">
        <v>1464</v>
      </c>
      <c r="C30" s="232">
        <v>10</v>
      </c>
      <c r="D30" s="232" t="s">
        <v>1342</v>
      </c>
      <c r="E30" s="263">
        <f>'Categorias de Costos lácteo '!C227</f>
        <v>40000000</v>
      </c>
      <c r="F30" s="232"/>
      <c r="G30" s="232"/>
      <c r="H30" s="222">
        <f t="shared" si="5"/>
        <v>400000000</v>
      </c>
    </row>
    <row r="31" spans="2:8">
      <c r="B31" s="221" t="s">
        <v>1489</v>
      </c>
      <c r="C31" s="221">
        <v>10</v>
      </c>
      <c r="D31" s="221" t="s">
        <v>1342</v>
      </c>
      <c r="E31" s="222">
        <f>'Categorias de Costos lácteo '!D308</f>
        <v>5650000</v>
      </c>
      <c r="F31" s="251">
        <v>0.5</v>
      </c>
      <c r="G31" s="221"/>
      <c r="H31" s="222">
        <f>+C31*E31*F31</f>
        <v>28250000</v>
      </c>
    </row>
    <row r="32" spans="2:8">
      <c r="B32" s="232" t="s">
        <v>1490</v>
      </c>
      <c r="C32" s="232">
        <v>1</v>
      </c>
      <c r="D32" s="232" t="s">
        <v>1342</v>
      </c>
      <c r="E32" s="263">
        <f>'Categorias de Costos lácteo '!C91</f>
        <v>9000000</v>
      </c>
      <c r="F32" s="232"/>
      <c r="G32" s="232"/>
      <c r="H32" s="222">
        <f t="shared" si="5"/>
        <v>9000000</v>
      </c>
    </row>
    <row r="33" spans="2:9">
      <c r="B33" s="232" t="s">
        <v>1491</v>
      </c>
      <c r="C33" s="232">
        <v>1</v>
      </c>
      <c r="D33" s="232" t="s">
        <v>1342</v>
      </c>
      <c r="E33" s="263">
        <f>'Categorias de Costos lácteo '!G40</f>
        <v>2743387.5</v>
      </c>
      <c r="F33" s="232"/>
      <c r="G33" s="232"/>
      <c r="H33" s="222">
        <f t="shared" si="5"/>
        <v>2743387.5</v>
      </c>
    </row>
    <row r="34" spans="2:9">
      <c r="B34" s="165" t="s">
        <v>1353</v>
      </c>
      <c r="C34" s="221">
        <v>5</v>
      </c>
      <c r="D34" s="221" t="s">
        <v>1342</v>
      </c>
      <c r="E34" s="222">
        <f>'Categorias de Costos lácteo '!D52</f>
        <v>5464476</v>
      </c>
      <c r="F34" s="237">
        <v>1</v>
      </c>
      <c r="G34" s="221">
        <v>12</v>
      </c>
      <c r="H34" s="222">
        <f>C34*E34*G34*F34</f>
        <v>327868560</v>
      </c>
    </row>
    <row r="35" spans="2:9">
      <c r="B35" s="165" t="s">
        <v>1354</v>
      </c>
      <c r="C35" s="221">
        <v>10</v>
      </c>
      <c r="D35" s="221" t="s">
        <v>1352</v>
      </c>
      <c r="E35" s="222">
        <f>'Categorias de Costos lácteo '!G52+'Categorias de Costos lácteo '!C82</f>
        <v>2098191.5</v>
      </c>
      <c r="F35" s="237"/>
      <c r="G35" s="221"/>
      <c r="H35" s="222">
        <f>C35*E35</f>
        <v>20981915</v>
      </c>
    </row>
    <row r="36" spans="2:9">
      <c r="B36" s="165" t="s">
        <v>1470</v>
      </c>
      <c r="C36" s="221"/>
      <c r="D36" s="221"/>
      <c r="E36" s="222"/>
      <c r="F36" s="251"/>
      <c r="G36" s="222"/>
      <c r="H36" s="222" t="s">
        <v>1331</v>
      </c>
    </row>
    <row r="37" spans="2:9">
      <c r="B37" s="225" t="s">
        <v>1492</v>
      </c>
      <c r="C37" s="226"/>
      <c r="D37" s="226"/>
      <c r="E37" s="227"/>
      <c r="F37" s="227"/>
      <c r="G37" s="226"/>
      <c r="H37" s="228">
        <f>SUM(H14:H36)-H20-H21-H22</f>
        <v>2279343862.5</v>
      </c>
    </row>
    <row r="38" spans="2:9">
      <c r="B38" s="225" t="s">
        <v>1493</v>
      </c>
      <c r="C38" s="226"/>
      <c r="D38" s="226"/>
      <c r="E38" s="227"/>
      <c r="F38" s="227"/>
      <c r="G38" s="226"/>
      <c r="H38" s="228">
        <f>SUM(H14:H36)</f>
        <v>3219038472.0999999</v>
      </c>
    </row>
    <row r="39" spans="2:9" s="205" customFormat="1" ht="239.45" customHeight="1">
      <c r="B39" s="229" t="s">
        <v>1494</v>
      </c>
      <c r="C39" s="215"/>
      <c r="E39" s="217"/>
      <c r="F39" s="217"/>
      <c r="H39" s="217"/>
      <c r="I39"/>
    </row>
    <row r="40" spans="2:9">
      <c r="H40" s="230"/>
    </row>
    <row r="41" spans="2:9">
      <c r="H41" s="231"/>
    </row>
  </sheetData>
  <mergeCells count="1">
    <mergeCell ref="B12:H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windowProtection="1" showGridLines="0" topLeftCell="A25" zoomScaleNormal="100" workbookViewId="0">
      <selection activeCell="Y8" sqref="Y8:Y9"/>
    </sheetView>
  </sheetViews>
  <sheetFormatPr baseColWidth="10" defaultColWidth="10.85546875" defaultRowHeight="15"/>
  <cols>
    <col min="1" max="1" width="18.28515625" customWidth="1"/>
    <col min="2" max="2" width="63.42578125" customWidth="1"/>
    <col min="3" max="3" width="19.85546875" customWidth="1"/>
    <col min="4" max="4" width="17.85546875" bestFit="1" customWidth="1"/>
    <col min="5" max="5" width="15.140625" bestFit="1" customWidth="1"/>
    <col min="6" max="25" width="23.42578125" customWidth="1"/>
  </cols>
  <sheetData>
    <row r="2" spans="1:25" ht="15.75">
      <c r="A2" s="203" t="s">
        <v>1334</v>
      </c>
    </row>
    <row r="3" spans="1:25" s="205" customFormat="1">
      <c r="A3" s="204"/>
    </row>
    <row r="4" spans="1:25" ht="15.75">
      <c r="A4" s="206" t="s">
        <v>1335</v>
      </c>
      <c r="B4" s="206" t="str">
        <f>Portafolio_Cadena_Láctea!C117</f>
        <v>8. Aumento de la formalización a lo largo de la cadena</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X7" si="0">SUM(D8:D9)</f>
        <v>0</v>
      </c>
      <c r="E7" s="249">
        <f t="shared" si="0"/>
        <v>0</v>
      </c>
      <c r="F7" s="249">
        <f t="shared" si="0"/>
        <v>0</v>
      </c>
      <c r="G7" s="249">
        <f>SUM(G8:G9)</f>
        <v>5197145931.8000002</v>
      </c>
      <c r="H7" s="249">
        <f t="shared" si="0"/>
        <v>5197145931.8000002</v>
      </c>
      <c r="I7" s="249">
        <f t="shared" si="0"/>
        <v>5197145931.8000002</v>
      </c>
      <c r="J7" s="249">
        <f t="shared" si="0"/>
        <v>9273645931.7999992</v>
      </c>
      <c r="K7" s="249">
        <f t="shared" si="0"/>
        <v>9273645931.7999992</v>
      </c>
      <c r="L7" s="249">
        <f t="shared" si="0"/>
        <v>6895122380</v>
      </c>
      <c r="M7" s="249">
        <f t="shared" si="0"/>
        <v>6895122380</v>
      </c>
      <c r="N7" s="249">
        <f t="shared" si="0"/>
        <v>9273645931.7999992</v>
      </c>
      <c r="O7" s="249">
        <f t="shared" si="0"/>
        <v>6895122380</v>
      </c>
      <c r="P7" s="249">
        <f t="shared" si="0"/>
        <v>6895122380</v>
      </c>
      <c r="Q7" s="249">
        <f t="shared" si="0"/>
        <v>9273645931.7999992</v>
      </c>
      <c r="R7" s="249">
        <f t="shared" si="0"/>
        <v>6895122380</v>
      </c>
      <c r="S7" s="249">
        <f t="shared" si="0"/>
        <v>6895122380</v>
      </c>
      <c r="T7" s="249">
        <f t="shared" si="0"/>
        <v>5197145931.8000002</v>
      </c>
      <c r="U7" s="249">
        <f t="shared" si="0"/>
        <v>2818622380</v>
      </c>
      <c r="V7" s="249">
        <f t="shared" si="0"/>
        <v>2818622380</v>
      </c>
      <c r="W7" s="249">
        <f t="shared" si="0"/>
        <v>5197145931.8000002</v>
      </c>
      <c r="X7" s="249">
        <f t="shared" si="0"/>
        <v>2818622380</v>
      </c>
      <c r="Y7" s="249">
        <f>SUM(D7:X7)</f>
        <v>112906914806.20001</v>
      </c>
    </row>
    <row r="8" spans="1:25" s="214" customFormat="1" ht="45.95" customHeight="1">
      <c r="A8" s="205"/>
      <c r="B8" s="262" t="str">
        <f>Portafolio_Cadena_Láctea!D117</f>
        <v>8.1. Promoción de la formalización empresarial y laboral en la cadena láctea</v>
      </c>
      <c r="C8" s="212" t="s">
        <v>1495</v>
      </c>
      <c r="D8" s="213"/>
      <c r="E8" s="253"/>
      <c r="F8" s="213"/>
      <c r="G8" s="213">
        <f>H33</f>
        <v>2378523551.8000002</v>
      </c>
      <c r="H8" s="213">
        <f>G8</f>
        <v>2378523551.8000002</v>
      </c>
      <c r="I8" s="213">
        <f>H8</f>
        <v>2378523551.8000002</v>
      </c>
      <c r="J8" s="213">
        <f>I8</f>
        <v>2378523551.8000002</v>
      </c>
      <c r="K8" s="213">
        <f>J8</f>
        <v>2378523551.8000002</v>
      </c>
      <c r="L8" s="253"/>
      <c r="M8" s="213"/>
      <c r="N8" s="213">
        <f>K8</f>
        <v>2378523551.8000002</v>
      </c>
      <c r="O8" s="213"/>
      <c r="P8" s="213"/>
      <c r="Q8" s="253">
        <f>N8</f>
        <v>2378523551.8000002</v>
      </c>
      <c r="R8" s="213"/>
      <c r="S8" s="213"/>
      <c r="T8" s="213">
        <f>Q8</f>
        <v>2378523551.8000002</v>
      </c>
      <c r="U8" s="213"/>
      <c r="V8" s="253"/>
      <c r="W8" s="213">
        <f>T8</f>
        <v>2378523551.8000002</v>
      </c>
      <c r="X8" s="213"/>
      <c r="Y8" s="213">
        <f t="shared" ref="Y8:Y9" si="1">SUM(D8:X8)</f>
        <v>21406711966.199997</v>
      </c>
    </row>
    <row r="9" spans="1:25" s="214" customFormat="1" ht="30">
      <c r="A9" s="215"/>
      <c r="B9" s="211" t="str">
        <f>Portafolio_Cadena_Láctea!D122</f>
        <v>8.2. Promoción de la formalización en el acopio y transporte de leche y la fabricación de productos lácteos.</v>
      </c>
      <c r="C9" s="212" t="s">
        <v>1402</v>
      </c>
      <c r="D9" s="216"/>
      <c r="E9" s="216"/>
      <c r="F9" s="213"/>
      <c r="G9" s="253">
        <f>+H61</f>
        <v>2818622380</v>
      </c>
      <c r="H9" s="213">
        <f>+G9</f>
        <v>2818622380</v>
      </c>
      <c r="I9" s="213">
        <f>+H9</f>
        <v>2818622380</v>
      </c>
      <c r="J9" s="213">
        <f>+H62</f>
        <v>6895122380</v>
      </c>
      <c r="K9" s="213">
        <f t="shared" ref="K9:S9" si="2">+J9</f>
        <v>6895122380</v>
      </c>
      <c r="L9" s="213">
        <f t="shared" si="2"/>
        <v>6895122380</v>
      </c>
      <c r="M9" s="213">
        <f t="shared" si="2"/>
        <v>6895122380</v>
      </c>
      <c r="N9" s="213">
        <f t="shared" si="2"/>
        <v>6895122380</v>
      </c>
      <c r="O9" s="253">
        <f t="shared" si="2"/>
        <v>6895122380</v>
      </c>
      <c r="P9" s="213">
        <f t="shared" si="2"/>
        <v>6895122380</v>
      </c>
      <c r="Q9" s="213">
        <f t="shared" si="2"/>
        <v>6895122380</v>
      </c>
      <c r="R9" s="213">
        <f t="shared" si="2"/>
        <v>6895122380</v>
      </c>
      <c r="S9" s="253">
        <f t="shared" si="2"/>
        <v>6895122380</v>
      </c>
      <c r="T9" s="213">
        <f>+G9</f>
        <v>2818622380</v>
      </c>
      <c r="U9" s="213">
        <f>+T9</f>
        <v>2818622380</v>
      </c>
      <c r="V9" s="213">
        <f>+U9</f>
        <v>2818622380</v>
      </c>
      <c r="W9" s="213">
        <f>+V9</f>
        <v>2818622380</v>
      </c>
      <c r="X9" s="213">
        <f>+W9</f>
        <v>2818622380</v>
      </c>
      <c r="Y9" s="213">
        <f t="shared" si="1"/>
        <v>91500202840</v>
      </c>
    </row>
    <row r="10" spans="1:25" s="210" customFormat="1">
      <c r="A10"/>
      <c r="B10" s="209" t="s">
        <v>46</v>
      </c>
      <c r="C10" s="209"/>
      <c r="D10" s="249">
        <f>SUM(D8:D9)</f>
        <v>0</v>
      </c>
      <c r="E10" s="249">
        <f t="shared" ref="E10:X10" si="3">SUM(E8:E9)</f>
        <v>0</v>
      </c>
      <c r="F10" s="249">
        <f t="shared" si="3"/>
        <v>0</v>
      </c>
      <c r="G10" s="249">
        <f t="shared" si="3"/>
        <v>5197145931.8000002</v>
      </c>
      <c r="H10" s="249">
        <f t="shared" si="3"/>
        <v>5197145931.8000002</v>
      </c>
      <c r="I10" s="249">
        <f t="shared" si="3"/>
        <v>5197145931.8000002</v>
      </c>
      <c r="J10" s="249">
        <f t="shared" si="3"/>
        <v>9273645931.7999992</v>
      </c>
      <c r="K10" s="249">
        <f t="shared" si="3"/>
        <v>9273645931.7999992</v>
      </c>
      <c r="L10" s="249">
        <f t="shared" si="3"/>
        <v>6895122380</v>
      </c>
      <c r="M10" s="249">
        <f t="shared" si="3"/>
        <v>6895122380</v>
      </c>
      <c r="N10" s="249">
        <f t="shared" si="3"/>
        <v>9273645931.7999992</v>
      </c>
      <c r="O10" s="249">
        <f t="shared" si="3"/>
        <v>6895122380</v>
      </c>
      <c r="P10" s="249">
        <f t="shared" si="3"/>
        <v>6895122380</v>
      </c>
      <c r="Q10" s="249">
        <f t="shared" si="3"/>
        <v>9273645931.7999992</v>
      </c>
      <c r="R10" s="249">
        <f t="shared" si="3"/>
        <v>6895122380</v>
      </c>
      <c r="S10" s="249">
        <f t="shared" si="3"/>
        <v>6895122380</v>
      </c>
      <c r="T10" s="249">
        <f t="shared" si="3"/>
        <v>5197145931.8000002</v>
      </c>
      <c r="U10" s="249">
        <f t="shared" si="3"/>
        <v>2818622380</v>
      </c>
      <c r="V10" s="249">
        <f t="shared" si="3"/>
        <v>2818622380</v>
      </c>
      <c r="W10" s="249">
        <f t="shared" si="3"/>
        <v>5197145931.8000002</v>
      </c>
      <c r="X10" s="249">
        <f t="shared" si="3"/>
        <v>2818622380</v>
      </c>
      <c r="Y10" s="249">
        <f>SUM(D10:X10)</f>
        <v>112906914806.20001</v>
      </c>
    </row>
    <row r="13" spans="1:25" s="205" customFormat="1" ht="14.45" customHeight="1">
      <c r="B13" s="686" t="str">
        <f>B8</f>
        <v>8.1. Promoción de la formalización empresarial y laboral en la cadena láctea</v>
      </c>
      <c r="C13" s="687"/>
      <c r="D13" s="687"/>
      <c r="E13" s="687"/>
      <c r="F13" s="687"/>
      <c r="G13" s="687"/>
      <c r="H13" s="687"/>
      <c r="W13" s="217"/>
    </row>
    <row r="14" spans="1:25">
      <c r="B14" s="218" t="s">
        <v>1338</v>
      </c>
      <c r="C14" s="218" t="s">
        <v>522</v>
      </c>
      <c r="D14" s="218" t="s">
        <v>263</v>
      </c>
      <c r="E14" s="218" t="s">
        <v>262</v>
      </c>
      <c r="F14" s="219" t="s">
        <v>1339</v>
      </c>
      <c r="G14" s="218" t="s">
        <v>711</v>
      </c>
      <c r="H14" s="218" t="s">
        <v>1340</v>
      </c>
      <c r="X14" s="220"/>
    </row>
    <row r="15" spans="1:25" ht="14.45" customHeight="1">
      <c r="B15" s="221" t="s">
        <v>1359</v>
      </c>
      <c r="C15" s="221">
        <v>12</v>
      </c>
      <c r="D15" s="221" t="s">
        <v>1342</v>
      </c>
      <c r="E15" s="222">
        <f>'Categorias de Costos lácteo '!C125</f>
        <v>1000000</v>
      </c>
      <c r="F15" s="224"/>
      <c r="G15" s="221"/>
      <c r="H15" s="222">
        <f t="shared" ref="H15:H22" si="4">+C15*E15</f>
        <v>12000000</v>
      </c>
    </row>
    <row r="16" spans="1:25" ht="14.45" customHeight="1">
      <c r="B16" s="221" t="s">
        <v>1343</v>
      </c>
      <c r="C16" s="221">
        <v>12</v>
      </c>
      <c r="D16" s="221" t="s">
        <v>1342</v>
      </c>
      <c r="E16" s="222">
        <f>'Categorias de Costos lácteo '!C133</f>
        <v>100000</v>
      </c>
      <c r="F16" s="224"/>
      <c r="G16" s="221"/>
      <c r="H16" s="222">
        <f t="shared" si="4"/>
        <v>1200000</v>
      </c>
    </row>
    <row r="17" spans="2:8" ht="14.45" customHeight="1">
      <c r="B17" s="221" t="s">
        <v>1344</v>
      </c>
      <c r="C17" s="221">
        <v>8</v>
      </c>
      <c r="D17" s="221" t="s">
        <v>1342</v>
      </c>
      <c r="E17" s="222">
        <f>'Categorias de Costos lácteo '!C123</f>
        <v>5000000</v>
      </c>
      <c r="F17" s="224"/>
      <c r="G17" s="221"/>
      <c r="H17" s="222">
        <f t="shared" si="4"/>
        <v>40000000</v>
      </c>
    </row>
    <row r="18" spans="2:8">
      <c r="B18" s="221" t="s">
        <v>1345</v>
      </c>
      <c r="C18" s="221">
        <v>30</v>
      </c>
      <c r="D18" s="221" t="s">
        <v>1342</v>
      </c>
      <c r="E18" s="222">
        <f>'Categorias de Costos lácteo '!C124</f>
        <v>5700000</v>
      </c>
      <c r="F18" s="222"/>
      <c r="G18" s="221"/>
      <c r="H18" s="222">
        <f t="shared" si="4"/>
        <v>171000000</v>
      </c>
    </row>
    <row r="19" spans="2:8">
      <c r="B19" s="221" t="s">
        <v>1405</v>
      </c>
      <c r="C19" s="221">
        <v>30</v>
      </c>
      <c r="D19" s="221" t="s">
        <v>1342</v>
      </c>
      <c r="E19" s="222">
        <f>'Categorias de Costos lácteo '!C134</f>
        <v>570000</v>
      </c>
      <c r="F19" s="222"/>
      <c r="G19" s="221"/>
      <c r="H19" s="222">
        <f t="shared" si="4"/>
        <v>17100000</v>
      </c>
    </row>
    <row r="20" spans="2:8">
      <c r="B20" s="165" t="s">
        <v>1428</v>
      </c>
      <c r="C20" s="221">
        <v>20</v>
      </c>
      <c r="D20" s="221" t="s">
        <v>1342</v>
      </c>
      <c r="E20" s="222">
        <f>'Categorias de Costos lácteo '!C132</f>
        <v>6010000</v>
      </c>
      <c r="F20" s="221"/>
      <c r="G20" s="221"/>
      <c r="H20" s="222">
        <f>C20*E20</f>
        <v>120200000</v>
      </c>
    </row>
    <row r="21" spans="2:8">
      <c r="B21" s="221" t="s">
        <v>1496</v>
      </c>
      <c r="C21" s="221">
        <v>1</v>
      </c>
      <c r="D21" s="221" t="s">
        <v>1342</v>
      </c>
      <c r="E21" s="222">
        <f>'Categorias de Costos lácteo '!C214</f>
        <v>113300000</v>
      </c>
      <c r="F21" s="222"/>
      <c r="G21" s="221"/>
      <c r="H21" s="222">
        <f t="shared" si="4"/>
        <v>113300000</v>
      </c>
    </row>
    <row r="22" spans="2:8">
      <c r="B22" s="221" t="s">
        <v>551</v>
      </c>
      <c r="C22" s="221">
        <v>10</v>
      </c>
      <c r="D22" s="221" t="s">
        <v>1342</v>
      </c>
      <c r="E22" s="222">
        <f>'Categorias de Costos lácteo '!C220</f>
        <v>21000000</v>
      </c>
      <c r="F22" s="224"/>
      <c r="G22" s="221"/>
      <c r="H22" s="222">
        <f t="shared" si="4"/>
        <v>210000000</v>
      </c>
    </row>
    <row r="23" spans="2:8">
      <c r="B23" s="221" t="s">
        <v>532</v>
      </c>
      <c r="C23" s="221">
        <v>1</v>
      </c>
      <c r="D23" s="221" t="s">
        <v>1342</v>
      </c>
      <c r="E23" s="222">
        <v>50000000</v>
      </c>
      <c r="F23" s="224"/>
      <c r="G23" s="221"/>
      <c r="H23" s="222">
        <f>+C23*E23</f>
        <v>50000000</v>
      </c>
    </row>
    <row r="24" spans="2:8">
      <c r="B24" s="165" t="s">
        <v>1497</v>
      </c>
      <c r="C24" s="221">
        <f>250*20%</f>
        <v>50</v>
      </c>
      <c r="D24" s="221" t="s">
        <v>1342</v>
      </c>
      <c r="E24" s="222">
        <f>'Categorias de Costos lácteo '!I416</f>
        <v>4277627.0200000005</v>
      </c>
      <c r="F24" s="221"/>
      <c r="G24" s="221"/>
      <c r="H24" s="222">
        <f t="shared" ref="H24:H29" si="5">C24*E24</f>
        <v>213881351.00000003</v>
      </c>
    </row>
    <row r="25" spans="2:8">
      <c r="B25" s="165" t="s">
        <v>1498</v>
      </c>
      <c r="C25" s="221">
        <v>10</v>
      </c>
      <c r="D25" s="221" t="s">
        <v>1342</v>
      </c>
      <c r="E25" s="222">
        <f>'Categorias de Costos lácteo '!J416</f>
        <v>17110508.080000002</v>
      </c>
      <c r="F25" s="221"/>
      <c r="G25" s="221"/>
      <c r="H25" s="222">
        <f t="shared" si="5"/>
        <v>171105080.80000001</v>
      </c>
    </row>
    <row r="26" spans="2:8">
      <c r="B26" s="221" t="s">
        <v>1499</v>
      </c>
      <c r="C26" s="221">
        <v>30</v>
      </c>
      <c r="D26" s="221" t="s">
        <v>1415</v>
      </c>
      <c r="E26" s="222">
        <f>'Categorias de Costos lácteo '!D275</f>
        <v>9000000</v>
      </c>
      <c r="F26" s="237"/>
      <c r="G26" s="221"/>
      <c r="H26" s="222">
        <f t="shared" si="5"/>
        <v>270000000</v>
      </c>
    </row>
    <row r="27" spans="2:8">
      <c r="B27" s="221" t="s">
        <v>1408</v>
      </c>
      <c r="C27" s="221">
        <f>30*3</f>
        <v>90</v>
      </c>
      <c r="D27" s="221" t="s">
        <v>1381</v>
      </c>
      <c r="E27" s="222">
        <f>'Categorias de Costos lácteo '!D276</f>
        <v>1500000</v>
      </c>
      <c r="F27" s="237"/>
      <c r="G27" s="221"/>
      <c r="H27" s="222">
        <f t="shared" si="5"/>
        <v>135000000</v>
      </c>
    </row>
    <row r="28" spans="2:8">
      <c r="B28" s="247" t="s">
        <v>1409</v>
      </c>
      <c r="C28" s="221">
        <f>30*2</f>
        <v>60</v>
      </c>
      <c r="D28" s="221" t="s">
        <v>1381</v>
      </c>
      <c r="E28" s="222">
        <f>'Categorias de Costos lácteo '!D280</f>
        <v>150000</v>
      </c>
      <c r="F28" s="221"/>
      <c r="G28" s="221"/>
      <c r="H28" s="222">
        <f>C28*E28</f>
        <v>9000000</v>
      </c>
    </row>
    <row r="29" spans="2:8">
      <c r="B29" s="221" t="s">
        <v>1390</v>
      </c>
      <c r="C29" s="221">
        <v>60</v>
      </c>
      <c r="D29" s="221" t="s">
        <v>1342</v>
      </c>
      <c r="E29" s="222">
        <f>'Categorias de Costos lácteo '!D277</f>
        <v>3000000</v>
      </c>
      <c r="F29" s="237"/>
      <c r="G29" s="221"/>
      <c r="H29" s="222">
        <f t="shared" si="5"/>
        <v>180000000</v>
      </c>
    </row>
    <row r="30" spans="2:8">
      <c r="B30" s="165" t="s">
        <v>1410</v>
      </c>
      <c r="C30" s="221">
        <v>30</v>
      </c>
      <c r="D30" s="221" t="s">
        <v>1381</v>
      </c>
      <c r="E30" s="222">
        <f>'Categorias de Costos lácteo '!D281</f>
        <v>300000</v>
      </c>
      <c r="F30" s="251"/>
      <c r="G30" s="222"/>
      <c r="H30" s="222">
        <f>C30*E30</f>
        <v>9000000</v>
      </c>
    </row>
    <row r="31" spans="2:8">
      <c r="B31" s="165" t="s">
        <v>1353</v>
      </c>
      <c r="C31" s="221">
        <v>10</v>
      </c>
      <c r="D31" s="221" t="s">
        <v>1342</v>
      </c>
      <c r="E31" s="222">
        <f>'Categorias de Costos lácteo '!D52</f>
        <v>5464476</v>
      </c>
      <c r="F31" s="237">
        <v>1</v>
      </c>
      <c r="G31" s="221">
        <v>12</v>
      </c>
      <c r="H31" s="222">
        <f>C31*E31*G31*F31</f>
        <v>655737120</v>
      </c>
    </row>
    <row r="32" spans="2:8">
      <c r="B32" s="165" t="s">
        <v>1500</v>
      </c>
      <c r="C32" s="221"/>
      <c r="D32" s="221"/>
      <c r="E32" s="222"/>
      <c r="F32" s="251"/>
      <c r="G32" s="222"/>
      <c r="H32" s="222" t="s">
        <v>1456</v>
      </c>
    </row>
    <row r="33" spans="1:24">
      <c r="B33" s="225" t="s">
        <v>46</v>
      </c>
      <c r="C33" s="226"/>
      <c r="D33" s="226"/>
      <c r="E33" s="227"/>
      <c r="F33" s="227"/>
      <c r="G33" s="226"/>
      <c r="H33" s="228">
        <f>SUM(H15:H31)</f>
        <v>2378523551.8000002</v>
      </c>
    </row>
    <row r="34" spans="1:24" s="205" customFormat="1" ht="326.25" customHeight="1">
      <c r="B34" s="298" t="s">
        <v>1501</v>
      </c>
      <c r="C34" s="215"/>
      <c r="E34" s="217"/>
      <c r="F34" s="217"/>
      <c r="H34" s="217"/>
      <c r="I34"/>
    </row>
    <row r="35" spans="1:24">
      <c r="H35" s="230"/>
    </row>
    <row r="36" spans="1:24">
      <c r="H36" s="231"/>
    </row>
    <row r="37" spans="1:24" s="205" customFormat="1" ht="14.45" customHeight="1">
      <c r="B37" s="686" t="str">
        <f>B9</f>
        <v>8.2. Promoción de la formalización en el acopio y transporte de leche y la fabricación de productos lácteos.</v>
      </c>
      <c r="C37" s="687"/>
      <c r="D37" s="687"/>
      <c r="E37" s="687"/>
      <c r="F37" s="687"/>
      <c r="G37" s="687"/>
      <c r="H37" s="687"/>
      <c r="W37" s="217"/>
    </row>
    <row r="38" spans="1:24" s="205" customFormat="1" ht="14.45" customHeight="1">
      <c r="B38" s="688"/>
      <c r="C38" s="688"/>
      <c r="D38" s="688"/>
      <c r="E38" s="688"/>
      <c r="F38" s="688"/>
      <c r="G38" s="688"/>
      <c r="H38" s="688"/>
      <c r="W38" s="217"/>
    </row>
    <row r="39" spans="1:24">
      <c r="B39" s="218" t="s">
        <v>1338</v>
      </c>
      <c r="C39" s="218" t="s">
        <v>522</v>
      </c>
      <c r="D39" s="218" t="s">
        <v>263</v>
      </c>
      <c r="E39" s="218" t="s">
        <v>262</v>
      </c>
      <c r="F39" s="219" t="s">
        <v>1339</v>
      </c>
      <c r="G39" s="218" t="s">
        <v>711</v>
      </c>
      <c r="H39" s="218" t="s">
        <v>1340</v>
      </c>
      <c r="X39" s="220"/>
    </row>
    <row r="40" spans="1:24" s="205" customFormat="1" ht="14.45" customHeight="1">
      <c r="B40" s="221" t="s">
        <v>1359</v>
      </c>
      <c r="C40" s="221">
        <v>12</v>
      </c>
      <c r="D40" s="221" t="s">
        <v>1342</v>
      </c>
      <c r="E40" s="222">
        <f>'Categorias de Costos lácteo '!C125</f>
        <v>1000000</v>
      </c>
      <c r="F40" s="224"/>
      <c r="G40" s="221"/>
      <c r="H40" s="222">
        <f t="shared" ref="H40:H46" si="6">+C40*E40</f>
        <v>12000000</v>
      </c>
      <c r="W40" s="217"/>
    </row>
    <row r="41" spans="1:24" s="205" customFormat="1" ht="14.45" customHeight="1">
      <c r="B41" s="221" t="s">
        <v>1343</v>
      </c>
      <c r="C41" s="221">
        <v>12</v>
      </c>
      <c r="D41" s="221" t="s">
        <v>1342</v>
      </c>
      <c r="E41" s="222">
        <f>'Categorias de Costos lácteo '!C133</f>
        <v>100000</v>
      </c>
      <c r="F41" s="224"/>
      <c r="G41" s="221"/>
      <c r="H41" s="222">
        <f t="shared" si="6"/>
        <v>1200000</v>
      </c>
      <c r="W41" s="217"/>
    </row>
    <row r="42" spans="1:24">
      <c r="A42" s="261"/>
      <c r="B42" s="221" t="s">
        <v>1344</v>
      </c>
      <c r="C42" s="221">
        <v>8</v>
      </c>
      <c r="D42" s="221" t="s">
        <v>1342</v>
      </c>
      <c r="E42" s="222">
        <f>'Categorias de Costos lácteo '!C123</f>
        <v>5000000</v>
      </c>
      <c r="F42" s="224"/>
      <c r="G42" s="221"/>
      <c r="H42" s="222">
        <f t="shared" si="6"/>
        <v>40000000</v>
      </c>
      <c r="X42" s="220"/>
    </row>
    <row r="43" spans="1:24" ht="14.45" customHeight="1">
      <c r="A43" s="261"/>
      <c r="B43" s="221" t="s">
        <v>1345</v>
      </c>
      <c r="C43" s="221">
        <v>30</v>
      </c>
      <c r="D43" s="221" t="s">
        <v>1342</v>
      </c>
      <c r="E43" s="222">
        <f>'Categorias de Costos lácteo '!C124</f>
        <v>5700000</v>
      </c>
      <c r="F43" s="222"/>
      <c r="G43" s="221"/>
      <c r="H43" s="222">
        <f t="shared" si="6"/>
        <v>171000000</v>
      </c>
    </row>
    <row r="44" spans="1:24" ht="14.45" customHeight="1">
      <c r="B44" s="221" t="s">
        <v>1414</v>
      </c>
      <c r="C44" s="221">
        <v>30</v>
      </c>
      <c r="D44" s="221" t="s">
        <v>1342</v>
      </c>
      <c r="E44" s="222">
        <f>'Categorias de Costos lácteo '!C134</f>
        <v>570000</v>
      </c>
      <c r="F44" s="222"/>
      <c r="G44" s="221"/>
      <c r="H44" s="222">
        <f t="shared" si="6"/>
        <v>17100000</v>
      </c>
    </row>
    <row r="45" spans="1:24">
      <c r="B45" s="221" t="s">
        <v>1473</v>
      </c>
      <c r="C45" s="221">
        <v>30</v>
      </c>
      <c r="D45" s="221" t="s">
        <v>1342</v>
      </c>
      <c r="E45" s="222">
        <f>'Categorias de Costos lácteo '!C215</f>
        <v>49500000</v>
      </c>
      <c r="F45" s="224"/>
      <c r="G45" s="221"/>
      <c r="H45" s="222">
        <f t="shared" si="6"/>
        <v>1485000000</v>
      </c>
    </row>
    <row r="46" spans="1:24">
      <c r="B46" s="221" t="s">
        <v>532</v>
      </c>
      <c r="C46" s="221">
        <v>1</v>
      </c>
      <c r="D46" s="221" t="s">
        <v>1342</v>
      </c>
      <c r="E46" s="222">
        <v>50000000</v>
      </c>
      <c r="F46" s="224"/>
      <c r="G46" s="221"/>
      <c r="H46" s="222">
        <f t="shared" si="6"/>
        <v>50000000</v>
      </c>
    </row>
    <row r="47" spans="1:24">
      <c r="B47" s="221" t="s">
        <v>1502</v>
      </c>
      <c r="C47" s="221">
        <v>60</v>
      </c>
      <c r="D47" s="221" t="s">
        <v>1342</v>
      </c>
      <c r="E47" s="222">
        <f>'Categorias de Costos lácteo '!C130</f>
        <v>5100000</v>
      </c>
      <c r="F47" s="237"/>
      <c r="G47" s="221"/>
      <c r="H47" s="222">
        <f>C47*E47</f>
        <v>306000000</v>
      </c>
    </row>
    <row r="48" spans="1:24">
      <c r="B48" s="247" t="s">
        <v>1408</v>
      </c>
      <c r="C48" s="221">
        <v>20</v>
      </c>
      <c r="D48" s="221" t="s">
        <v>1381</v>
      </c>
      <c r="E48" s="222">
        <f>'Categorias de Costos lácteo '!D276</f>
        <v>1500000</v>
      </c>
      <c r="F48" s="221"/>
      <c r="G48" s="221"/>
      <c r="H48" s="222">
        <f t="shared" ref="H48" si="7">C48*E48</f>
        <v>30000000</v>
      </c>
    </row>
    <row r="49" spans="1:9">
      <c r="B49" s="247" t="s">
        <v>1409</v>
      </c>
      <c r="C49" s="221">
        <v>20</v>
      </c>
      <c r="D49" s="221" t="s">
        <v>1381</v>
      </c>
      <c r="E49" s="222">
        <f>'Categorias de Costos lácteo '!D280</f>
        <v>150000</v>
      </c>
      <c r="F49" s="221"/>
      <c r="G49" s="221"/>
      <c r="H49" s="222">
        <f>C49*E49</f>
        <v>3000000</v>
      </c>
    </row>
    <row r="50" spans="1:9">
      <c r="B50" s="247" t="s">
        <v>1390</v>
      </c>
      <c r="C50" s="221">
        <v>20</v>
      </c>
      <c r="D50" s="221" t="s">
        <v>1381</v>
      </c>
      <c r="E50" s="222">
        <f>'Categorias de Costos lácteo '!D277</f>
        <v>3000000</v>
      </c>
      <c r="F50" s="221"/>
      <c r="G50" s="221"/>
      <c r="H50" s="222">
        <f t="shared" ref="H50:H51" si="8">C50*E50</f>
        <v>60000000</v>
      </c>
    </row>
    <row r="51" spans="1:9">
      <c r="B51" s="165" t="s">
        <v>1410</v>
      </c>
      <c r="C51" s="221">
        <v>20</v>
      </c>
      <c r="D51" s="221" t="s">
        <v>1381</v>
      </c>
      <c r="E51" s="222">
        <f>'Categorias de Costos lácteo '!D281</f>
        <v>300000</v>
      </c>
      <c r="F51" s="251"/>
      <c r="G51" s="222"/>
      <c r="H51" s="222">
        <f t="shared" si="8"/>
        <v>6000000</v>
      </c>
    </row>
    <row r="52" spans="1:9" s="205" customFormat="1">
      <c r="B52" s="232" t="s">
        <v>1463</v>
      </c>
      <c r="C52" s="232">
        <v>10</v>
      </c>
      <c r="D52" s="232" t="s">
        <v>1342</v>
      </c>
      <c r="E52" s="263">
        <f>'Categorias de Costos lácteo '!C228</f>
        <v>21000000</v>
      </c>
      <c r="F52" s="232"/>
      <c r="G52" s="232"/>
      <c r="H52" s="222">
        <f>+C52*E52</f>
        <v>210000000</v>
      </c>
      <c r="I52"/>
    </row>
    <row r="53" spans="1:9">
      <c r="B53" s="232" t="s">
        <v>1464</v>
      </c>
      <c r="C53" s="232">
        <v>10</v>
      </c>
      <c r="D53" s="232" t="s">
        <v>1342</v>
      </c>
      <c r="E53" s="263">
        <f>'Categorias de Costos lácteo '!C227</f>
        <v>40000000</v>
      </c>
      <c r="F53" s="232"/>
      <c r="G53" s="232"/>
      <c r="H53" s="222">
        <f>+C53*E53</f>
        <v>400000000</v>
      </c>
    </row>
    <row r="54" spans="1:9">
      <c r="A54" s="261"/>
      <c r="B54" s="221" t="s">
        <v>1503</v>
      </c>
      <c r="C54" s="221">
        <v>15</v>
      </c>
      <c r="D54" s="221" t="s">
        <v>1342</v>
      </c>
      <c r="E54" s="222">
        <f>'Categorias de Costos lácteo '!C327</f>
        <v>180000000</v>
      </c>
      <c r="F54" s="237">
        <v>0.2</v>
      </c>
      <c r="G54" s="221"/>
      <c r="H54" s="222">
        <f t="shared" ref="H54:H55" si="9">C54*E54*F54</f>
        <v>540000000</v>
      </c>
    </row>
    <row r="55" spans="1:9">
      <c r="B55" s="221" t="s">
        <v>1504</v>
      </c>
      <c r="C55" s="221">
        <v>30</v>
      </c>
      <c r="D55" s="221" t="s">
        <v>1342</v>
      </c>
      <c r="E55" s="222">
        <f>'Categorias de Costos lácteo '!D360</f>
        <v>347750000</v>
      </c>
      <c r="F55" s="237">
        <v>0.2</v>
      </c>
      <c r="G55" s="221"/>
      <c r="H55" s="222">
        <f t="shared" si="9"/>
        <v>2086500000</v>
      </c>
    </row>
    <row r="56" spans="1:9">
      <c r="B56" s="221" t="s">
        <v>1505</v>
      </c>
      <c r="C56" s="221">
        <v>20</v>
      </c>
      <c r="D56" s="221" t="s">
        <v>1342</v>
      </c>
      <c r="E56" s="222">
        <f>'Categorias de Costos lácteo '!E363</f>
        <v>300000000</v>
      </c>
      <c r="F56" s="237">
        <v>0.2</v>
      </c>
      <c r="G56" s="221"/>
      <c r="H56" s="222">
        <f>C56*E56*F56</f>
        <v>1200000000</v>
      </c>
    </row>
    <row r="57" spans="1:9">
      <c r="B57" s="221" t="s">
        <v>1506</v>
      </c>
      <c r="C57" s="221">
        <v>4</v>
      </c>
      <c r="D57" s="221" t="s">
        <v>1342</v>
      </c>
      <c r="E57" s="241">
        <f>'Categorias de Costos lácteo '!C209</f>
        <v>25000000</v>
      </c>
      <c r="F57" s="221"/>
      <c r="G57" s="221"/>
      <c r="H57" s="222">
        <f t="shared" ref="H57:H58" si="10">+C57*E57</f>
        <v>100000000</v>
      </c>
    </row>
    <row r="58" spans="1:9">
      <c r="B58" s="221" t="s">
        <v>1507</v>
      </c>
      <c r="C58" s="221">
        <v>10</v>
      </c>
      <c r="D58" s="221" t="s">
        <v>1342</v>
      </c>
      <c r="E58" s="241">
        <f>'Categorias de Costos lácteo '!C210</f>
        <v>15000000</v>
      </c>
      <c r="F58" s="221"/>
      <c r="G58" s="221"/>
      <c r="H58" s="222">
        <f t="shared" si="10"/>
        <v>150000000</v>
      </c>
    </row>
    <row r="59" spans="1:9">
      <c r="B59" s="165" t="s">
        <v>1353</v>
      </c>
      <c r="C59" s="221">
        <v>5</v>
      </c>
      <c r="D59" s="221" t="s">
        <v>1342</v>
      </c>
      <c r="E59" s="222">
        <f>'Categorias de Costos lácteo '!D52</f>
        <v>5464476</v>
      </c>
      <c r="F59" s="237">
        <v>1</v>
      </c>
      <c r="G59" s="221">
        <v>12</v>
      </c>
      <c r="H59" s="222">
        <f t="shared" ref="H59" si="11">+E59*C59*F59</f>
        <v>27322380</v>
      </c>
    </row>
    <row r="60" spans="1:9">
      <c r="B60" s="165" t="s">
        <v>1500</v>
      </c>
      <c r="C60" s="221"/>
      <c r="D60" s="221"/>
      <c r="E60" s="222"/>
      <c r="F60" s="251"/>
      <c r="G60" s="222"/>
      <c r="H60" s="222" t="s">
        <v>1331</v>
      </c>
    </row>
    <row r="61" spans="1:9">
      <c r="B61" s="225" t="s">
        <v>1508</v>
      </c>
      <c r="C61" s="226"/>
      <c r="D61" s="226"/>
      <c r="E61" s="227"/>
      <c r="F61" s="227"/>
      <c r="G61" s="226"/>
      <c r="H61" s="228">
        <f>SUM(H40:H53)+H59</f>
        <v>2818622380</v>
      </c>
    </row>
    <row r="62" spans="1:9">
      <c r="B62" s="242" t="s">
        <v>1449</v>
      </c>
      <c r="C62" s="243"/>
      <c r="D62" s="243"/>
      <c r="E62" s="244"/>
      <c r="F62" s="244"/>
      <c r="G62" s="243"/>
      <c r="H62" s="245">
        <f>SUM(H40:H60)</f>
        <v>6895122380</v>
      </c>
    </row>
    <row r="63" spans="1:9" s="205" customFormat="1" ht="213" customHeight="1">
      <c r="B63" s="229" t="s">
        <v>1509</v>
      </c>
      <c r="C63" s="215"/>
      <c r="E63" s="217"/>
      <c r="F63" s="217"/>
      <c r="H63" s="217"/>
      <c r="I63"/>
    </row>
  </sheetData>
  <mergeCells count="2">
    <mergeCell ref="B13:H13"/>
    <mergeCell ref="B37:H3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6"/>
  <sheetViews>
    <sheetView windowProtection="1" showGridLines="0" topLeftCell="A37" zoomScaleNormal="100" workbookViewId="0">
      <selection activeCell="D56" sqref="D56"/>
    </sheetView>
  </sheetViews>
  <sheetFormatPr baseColWidth="10" defaultColWidth="10.85546875" defaultRowHeight="15"/>
  <cols>
    <col min="1" max="1" width="13.42578125" customWidth="1"/>
    <col min="2" max="2" width="63.42578125" customWidth="1"/>
    <col min="3" max="3" width="28.42578125" customWidth="1"/>
    <col min="4" max="4" width="17.85546875" bestFit="1" customWidth="1"/>
    <col min="5" max="5" width="20.42578125" bestFit="1" customWidth="1"/>
    <col min="6" max="25" width="23.42578125" customWidth="1"/>
  </cols>
  <sheetData>
    <row r="2" spans="1:25" ht="15.75">
      <c r="A2" s="203" t="s">
        <v>1334</v>
      </c>
    </row>
    <row r="3" spans="1:25" s="205" customFormat="1">
      <c r="A3" s="204"/>
    </row>
    <row r="4" spans="1:25" ht="15.75">
      <c r="A4" s="206" t="s">
        <v>1335</v>
      </c>
      <c r="B4" s="206" t="str">
        <f>Portafolio_Cadena_Láctea!C135</f>
        <v>9. Mejora del ordenamiento y uso productivo de la tierra</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 si="0">SUM(D8:D9)</f>
        <v>0</v>
      </c>
      <c r="E7" s="249">
        <f>SUM(E8:E10)</f>
        <v>534186782</v>
      </c>
      <c r="F7" s="249">
        <f t="shared" ref="F7:X7" si="1">SUM(F8:F10)</f>
        <v>534186782</v>
      </c>
      <c r="G7" s="249">
        <f t="shared" si="1"/>
        <v>1057857756</v>
      </c>
      <c r="H7" s="249">
        <f t="shared" si="1"/>
        <v>1057857756</v>
      </c>
      <c r="I7" s="249">
        <f t="shared" si="1"/>
        <v>3172463436</v>
      </c>
      <c r="J7" s="249">
        <f t="shared" si="1"/>
        <v>2638276654</v>
      </c>
      <c r="K7" s="249">
        <f t="shared" si="1"/>
        <v>2638276654</v>
      </c>
      <c r="L7" s="249">
        <f t="shared" si="1"/>
        <v>2375705680</v>
      </c>
      <c r="M7" s="249">
        <f t="shared" si="1"/>
        <v>2638276654</v>
      </c>
      <c r="N7" s="249">
        <f t="shared" si="1"/>
        <v>261100000</v>
      </c>
      <c r="O7" s="249">
        <f t="shared" si="1"/>
        <v>523670974</v>
      </c>
      <c r="P7" s="249">
        <f t="shared" si="1"/>
        <v>261100000</v>
      </c>
      <c r="Q7" s="249">
        <f t="shared" si="1"/>
        <v>261100000</v>
      </c>
      <c r="R7" s="249">
        <f t="shared" si="1"/>
        <v>523670974</v>
      </c>
      <c r="S7" s="249">
        <f t="shared" si="1"/>
        <v>261100000</v>
      </c>
      <c r="T7" s="249">
        <f t="shared" si="1"/>
        <v>261100000</v>
      </c>
      <c r="U7" s="249">
        <f t="shared" si="1"/>
        <v>523670974</v>
      </c>
      <c r="V7" s="249">
        <f t="shared" si="1"/>
        <v>261100000</v>
      </c>
      <c r="W7" s="249">
        <f t="shared" si="1"/>
        <v>261100000</v>
      </c>
      <c r="X7" s="249">
        <f t="shared" si="1"/>
        <v>523670974</v>
      </c>
      <c r="Y7" s="249">
        <f>SUM(D7:X7)</f>
        <v>20569472050</v>
      </c>
    </row>
    <row r="8" spans="1:25" s="214" customFormat="1" ht="51.6" customHeight="1">
      <c r="A8" s="205"/>
      <c r="B8" s="262" t="str">
        <f>Portafolio_Cadena_Láctea!D128</f>
        <v xml:space="preserve">9.1. Fortalecimiento de los mecanismos de articulación territorial </v>
      </c>
      <c r="C8" s="212" t="s">
        <v>1337</v>
      </c>
      <c r="D8" s="213"/>
      <c r="E8" s="253"/>
      <c r="F8" s="213"/>
      <c r="G8" s="213">
        <f>H25</f>
        <v>261100000</v>
      </c>
      <c r="H8" s="213">
        <f>H25</f>
        <v>261100000</v>
      </c>
      <c r="I8" s="213">
        <f>H26</f>
        <v>2375705680</v>
      </c>
      <c r="J8" s="213">
        <f>I8</f>
        <v>2375705680</v>
      </c>
      <c r="K8" s="213">
        <f>J8</f>
        <v>2375705680</v>
      </c>
      <c r="L8" s="253">
        <f>K8</f>
        <v>2375705680</v>
      </c>
      <c r="M8" s="213">
        <f>L8</f>
        <v>2375705680</v>
      </c>
      <c r="N8" s="213">
        <f>H25</f>
        <v>261100000</v>
      </c>
      <c r="O8" s="213">
        <f>N8</f>
        <v>261100000</v>
      </c>
      <c r="P8" s="213">
        <f>O8</f>
        <v>261100000</v>
      </c>
      <c r="Q8" s="253">
        <f>N8</f>
        <v>261100000</v>
      </c>
      <c r="R8" s="213">
        <f>Q8</f>
        <v>261100000</v>
      </c>
      <c r="S8" s="213">
        <f>R8</f>
        <v>261100000</v>
      </c>
      <c r="T8" s="213">
        <f>Q8</f>
        <v>261100000</v>
      </c>
      <c r="U8" s="213">
        <f>T8</f>
        <v>261100000</v>
      </c>
      <c r="V8" s="253">
        <f>U8</f>
        <v>261100000</v>
      </c>
      <c r="W8" s="213">
        <f>T8</f>
        <v>261100000</v>
      </c>
      <c r="X8" s="213">
        <f>W8</f>
        <v>261100000</v>
      </c>
      <c r="Y8" s="213">
        <f>SUM(D8:X8)</f>
        <v>15272828400</v>
      </c>
    </row>
    <row r="9" spans="1:25" s="214" customFormat="1" ht="32.1" customHeight="1">
      <c r="A9" s="215"/>
      <c r="B9" s="211" t="str">
        <f>Portafolio_Cadena_Láctea!D132</f>
        <v>9.2. Ordenamiento territorial de las regiones lecheras</v>
      </c>
      <c r="C9" s="212" t="s">
        <v>1510</v>
      </c>
      <c r="D9" s="216"/>
      <c r="E9" s="216">
        <f>H41</f>
        <v>534186782</v>
      </c>
      <c r="F9" s="213">
        <f>H41</f>
        <v>534186782</v>
      </c>
      <c r="G9" s="253">
        <f>H41</f>
        <v>534186782</v>
      </c>
      <c r="H9" s="213">
        <f>H41</f>
        <v>534186782</v>
      </c>
      <c r="I9" s="213">
        <f>H41</f>
        <v>534186782</v>
      </c>
      <c r="J9" s="213" t="s">
        <v>1331</v>
      </c>
      <c r="K9" s="213" t="s">
        <v>1331</v>
      </c>
      <c r="L9" s="213" t="s">
        <v>1331</v>
      </c>
      <c r="M9" s="213" t="s">
        <v>1331</v>
      </c>
      <c r="N9" s="213" t="s">
        <v>1331</v>
      </c>
      <c r="O9" s="253" t="s">
        <v>1331</v>
      </c>
      <c r="P9" s="213" t="s">
        <v>1331</v>
      </c>
      <c r="Q9" s="213" t="s">
        <v>1331</v>
      </c>
      <c r="R9" s="213" t="s">
        <v>1331</v>
      </c>
      <c r="S9" s="253" t="s">
        <v>1331</v>
      </c>
      <c r="T9" s="213" t="s">
        <v>1331</v>
      </c>
      <c r="U9" s="213" t="s">
        <v>1331</v>
      </c>
      <c r="V9" s="213" t="s">
        <v>1331</v>
      </c>
      <c r="W9" s="213" t="s">
        <v>1331</v>
      </c>
      <c r="X9" s="213" t="s">
        <v>1331</v>
      </c>
      <c r="Y9" s="213">
        <f t="shared" ref="Y9:Y10" si="2">SUM(D9:X9)</f>
        <v>2670933910</v>
      </c>
    </row>
    <row r="10" spans="1:25" s="214" customFormat="1" ht="69.75" customHeight="1">
      <c r="A10" s="215"/>
      <c r="B10" s="211" t="str">
        <f>Portafolio_Cadena_Láctea!D135</f>
        <v>9.3. Seguridad jurídica de los predios dedicados a la producción de leche</v>
      </c>
      <c r="C10" s="212" t="s">
        <v>1511</v>
      </c>
      <c r="D10" s="216"/>
      <c r="E10" s="216"/>
      <c r="F10" s="213"/>
      <c r="G10" s="253">
        <f>H55</f>
        <v>262570974</v>
      </c>
      <c r="H10" s="213">
        <f>G10</f>
        <v>262570974</v>
      </c>
      <c r="I10" s="213">
        <f>G10</f>
        <v>262570974</v>
      </c>
      <c r="J10" s="213">
        <f>G10</f>
        <v>262570974</v>
      </c>
      <c r="K10" s="213">
        <f>I10</f>
        <v>262570974</v>
      </c>
      <c r="L10" s="213"/>
      <c r="M10" s="213">
        <f>K10</f>
        <v>262570974</v>
      </c>
      <c r="N10" s="213"/>
      <c r="O10" s="253">
        <f>M10</f>
        <v>262570974</v>
      </c>
      <c r="P10" s="213"/>
      <c r="Q10" s="213"/>
      <c r="R10" s="213">
        <f>O10</f>
        <v>262570974</v>
      </c>
      <c r="S10" s="253"/>
      <c r="T10" s="213"/>
      <c r="U10" s="213">
        <f>R10</f>
        <v>262570974</v>
      </c>
      <c r="V10" s="213"/>
      <c r="W10" s="213"/>
      <c r="X10" s="213">
        <f>U10</f>
        <v>262570974</v>
      </c>
      <c r="Y10" s="213">
        <f t="shared" si="2"/>
        <v>2625709740</v>
      </c>
    </row>
    <row r="11" spans="1:25" s="210" customFormat="1">
      <c r="A11"/>
      <c r="B11" s="209" t="s">
        <v>46</v>
      </c>
      <c r="C11" s="209"/>
      <c r="D11" s="249">
        <f t="shared" ref="D11:W11" si="3">SUM(D8:D10)</f>
        <v>0</v>
      </c>
      <c r="E11" s="249">
        <f t="shared" si="3"/>
        <v>534186782</v>
      </c>
      <c r="F11" s="249">
        <f t="shared" si="3"/>
        <v>534186782</v>
      </c>
      <c r="G11" s="249">
        <f t="shared" si="3"/>
        <v>1057857756</v>
      </c>
      <c r="H11" s="249">
        <f t="shared" si="3"/>
        <v>1057857756</v>
      </c>
      <c r="I11" s="249">
        <f t="shared" si="3"/>
        <v>3172463436</v>
      </c>
      <c r="J11" s="249">
        <f t="shared" si="3"/>
        <v>2638276654</v>
      </c>
      <c r="K11" s="249">
        <f t="shared" si="3"/>
        <v>2638276654</v>
      </c>
      <c r="L11" s="249">
        <f t="shared" si="3"/>
        <v>2375705680</v>
      </c>
      <c r="M11" s="249">
        <f t="shared" si="3"/>
        <v>2638276654</v>
      </c>
      <c r="N11" s="249">
        <f t="shared" si="3"/>
        <v>261100000</v>
      </c>
      <c r="O11" s="249">
        <f t="shared" si="3"/>
        <v>523670974</v>
      </c>
      <c r="P11" s="249">
        <f t="shared" si="3"/>
        <v>261100000</v>
      </c>
      <c r="Q11" s="249">
        <f t="shared" si="3"/>
        <v>261100000</v>
      </c>
      <c r="R11" s="249">
        <f t="shared" si="3"/>
        <v>523670974</v>
      </c>
      <c r="S11" s="249">
        <f t="shared" si="3"/>
        <v>261100000</v>
      </c>
      <c r="T11" s="249">
        <f t="shared" si="3"/>
        <v>261100000</v>
      </c>
      <c r="U11" s="249">
        <f t="shared" si="3"/>
        <v>523670974</v>
      </c>
      <c r="V11" s="249">
        <f t="shared" si="3"/>
        <v>261100000</v>
      </c>
      <c r="W11" s="249">
        <f t="shared" si="3"/>
        <v>261100000</v>
      </c>
      <c r="X11" s="249">
        <f>SUM(X8:X10)</f>
        <v>523670974</v>
      </c>
      <c r="Y11" s="249">
        <f>SUM(D11:X11)</f>
        <v>20569472050</v>
      </c>
    </row>
    <row r="14" spans="1:25" s="205" customFormat="1" ht="14.45" customHeight="1">
      <c r="B14" s="686" t="str">
        <f>B8</f>
        <v xml:space="preserve">9.1. Fortalecimiento de los mecanismos de articulación territorial </v>
      </c>
      <c r="C14" s="687"/>
      <c r="D14" s="687"/>
      <c r="E14" s="687"/>
      <c r="F14" s="687"/>
      <c r="G14" s="687"/>
      <c r="H14" s="687"/>
      <c r="W14" s="217"/>
    </row>
    <row r="15" spans="1:25">
      <c r="B15" s="218" t="s">
        <v>1338</v>
      </c>
      <c r="C15" s="218" t="s">
        <v>522</v>
      </c>
      <c r="D15" s="218" t="s">
        <v>263</v>
      </c>
      <c r="E15" s="218" t="s">
        <v>262</v>
      </c>
      <c r="F15" s="219" t="s">
        <v>1339</v>
      </c>
      <c r="G15" s="218" t="s">
        <v>711</v>
      </c>
      <c r="H15" s="218" t="s">
        <v>1340</v>
      </c>
      <c r="X15" s="220"/>
    </row>
    <row r="16" spans="1:25" ht="14.45" customHeight="1">
      <c r="B16" s="221" t="s">
        <v>1359</v>
      </c>
      <c r="C16" s="221">
        <v>30</v>
      </c>
      <c r="D16" s="221" t="s">
        <v>1342</v>
      </c>
      <c r="E16" s="222">
        <f>'Categorias de Costos lácteo '!C125</f>
        <v>1000000</v>
      </c>
      <c r="F16" s="224"/>
      <c r="G16" s="221"/>
      <c r="H16" s="222">
        <f t="shared" ref="H16:H20" si="4">+C16*E16</f>
        <v>30000000</v>
      </c>
    </row>
    <row r="17" spans="2:24" ht="14.45" customHeight="1">
      <c r="B17" s="221" t="s">
        <v>1343</v>
      </c>
      <c r="C17" s="221">
        <v>30</v>
      </c>
      <c r="D17" s="221" t="s">
        <v>1342</v>
      </c>
      <c r="E17" s="222">
        <f>'Categorias de Costos lácteo '!C133</f>
        <v>100000</v>
      </c>
      <c r="F17" s="224"/>
      <c r="G17" s="221"/>
      <c r="H17" s="222">
        <f t="shared" si="4"/>
        <v>3000000</v>
      </c>
    </row>
    <row r="18" spans="2:24" ht="14.45" customHeight="1">
      <c r="B18" s="221" t="s">
        <v>1344</v>
      </c>
      <c r="C18" s="221">
        <v>8</v>
      </c>
      <c r="D18" s="221" t="s">
        <v>1342</v>
      </c>
      <c r="E18" s="222">
        <f>'Categorias de Costos lácteo '!C123</f>
        <v>5000000</v>
      </c>
      <c r="F18" s="224"/>
      <c r="G18" s="221"/>
      <c r="H18" s="222">
        <f t="shared" si="4"/>
        <v>40000000</v>
      </c>
    </row>
    <row r="19" spans="2:24">
      <c r="B19" s="221" t="s">
        <v>1345</v>
      </c>
      <c r="C19" s="221">
        <v>30</v>
      </c>
      <c r="D19" s="221" t="s">
        <v>1342</v>
      </c>
      <c r="E19" s="222">
        <f>'Categorias de Costos lácteo '!C124</f>
        <v>5700000</v>
      </c>
      <c r="F19" s="222"/>
      <c r="G19" s="221"/>
      <c r="H19" s="222">
        <f t="shared" si="4"/>
        <v>171000000</v>
      </c>
    </row>
    <row r="20" spans="2:24">
      <c r="B20" s="221" t="s">
        <v>1405</v>
      </c>
      <c r="C20" s="221">
        <v>30</v>
      </c>
      <c r="D20" s="221" t="s">
        <v>1342</v>
      </c>
      <c r="E20" s="222">
        <f>'Categorias de Costos lácteo '!C134</f>
        <v>570000</v>
      </c>
      <c r="F20" s="222"/>
      <c r="G20" s="221"/>
      <c r="H20" s="222">
        <f t="shared" si="4"/>
        <v>17100000</v>
      </c>
    </row>
    <row r="21" spans="2:24" ht="30">
      <c r="B21" s="232" t="s">
        <v>1512</v>
      </c>
      <c r="C21" s="232">
        <v>780</v>
      </c>
      <c r="D21" s="299" t="s">
        <v>1513</v>
      </c>
      <c r="E21" s="300">
        <f>'Categorias de Costos lácteo '!E458</f>
        <v>2400000</v>
      </c>
      <c r="F21" s="248">
        <v>0.5</v>
      </c>
      <c r="G21" s="232"/>
      <c r="H21" s="300">
        <f>C21*E21*F21</f>
        <v>936000000</v>
      </c>
    </row>
    <row r="22" spans="2:24" ht="30">
      <c r="B22" s="232" t="s">
        <v>1514</v>
      </c>
      <c r="C22" s="232">
        <v>195</v>
      </c>
      <c r="D22" s="299" t="s">
        <v>1513</v>
      </c>
      <c r="E22" s="432">
        <f>+'Categorias de Costos lácteo '!E459</f>
        <v>2000000</v>
      </c>
      <c r="F22" s="248">
        <v>0.5</v>
      </c>
      <c r="G22" s="232"/>
      <c r="H22" s="300">
        <f t="shared" ref="H22" si="5">C22*E22*F22</f>
        <v>195000000</v>
      </c>
    </row>
    <row r="23" spans="2:24">
      <c r="B23" s="165" t="s">
        <v>1353</v>
      </c>
      <c r="C23" s="221">
        <v>15</v>
      </c>
      <c r="D23" s="221" t="s">
        <v>1342</v>
      </c>
      <c r="E23" s="222">
        <f>'Categorias de Costos lácteo '!D52</f>
        <v>5464476</v>
      </c>
      <c r="F23" s="237">
        <v>1</v>
      </c>
      <c r="G23" s="221">
        <v>12</v>
      </c>
      <c r="H23" s="222">
        <f>C23*E23*G23*F23</f>
        <v>983605680</v>
      </c>
    </row>
    <row r="24" spans="2:24">
      <c r="B24" s="165" t="s">
        <v>1357</v>
      </c>
      <c r="C24" s="221"/>
      <c r="D24" s="221"/>
      <c r="E24" s="222"/>
      <c r="F24" s="251"/>
      <c r="G24" s="222"/>
      <c r="H24" s="222" t="s">
        <v>1331</v>
      </c>
    </row>
    <row r="25" spans="2:24">
      <c r="B25" s="225" t="s">
        <v>1515</v>
      </c>
      <c r="C25" s="226"/>
      <c r="D25" s="226"/>
      <c r="E25" s="227"/>
      <c r="F25" s="227"/>
      <c r="G25" s="226"/>
      <c r="H25" s="228">
        <f>SUM(H16:H20)</f>
        <v>261100000</v>
      </c>
    </row>
    <row r="26" spans="2:24">
      <c r="B26" s="242" t="s">
        <v>1516</v>
      </c>
      <c r="C26" s="243"/>
      <c r="D26" s="243"/>
      <c r="E26" s="244"/>
      <c r="F26" s="244"/>
      <c r="G26" s="243"/>
      <c r="H26" s="245">
        <f>SUM(H16:H24)</f>
        <v>2375705680</v>
      </c>
    </row>
    <row r="27" spans="2:24" s="205" customFormat="1" ht="311.25" customHeight="1">
      <c r="B27" s="298" t="s">
        <v>1517</v>
      </c>
      <c r="C27" s="215"/>
      <c r="E27" s="217"/>
      <c r="F27" s="217"/>
      <c r="H27" s="217"/>
      <c r="I27"/>
    </row>
    <row r="28" spans="2:24">
      <c r="H28" s="230"/>
    </row>
    <row r="29" spans="2:24">
      <c r="H29" s="231"/>
    </row>
    <row r="30" spans="2:24" s="205" customFormat="1" ht="14.45" customHeight="1">
      <c r="B30" s="686" t="str">
        <f>B9</f>
        <v>9.2. Ordenamiento territorial de las regiones lecheras</v>
      </c>
      <c r="C30" s="687"/>
      <c r="D30" s="687"/>
      <c r="E30" s="687"/>
      <c r="F30" s="687"/>
      <c r="G30" s="687"/>
      <c r="H30" s="687"/>
      <c r="W30" s="217"/>
    </row>
    <row r="31" spans="2:24" s="205" customFormat="1" ht="14.45" customHeight="1">
      <c r="B31" s="688"/>
      <c r="C31" s="688"/>
      <c r="D31" s="688"/>
      <c r="E31" s="688"/>
      <c r="F31" s="688"/>
      <c r="G31" s="688"/>
      <c r="H31" s="688"/>
      <c r="W31" s="217"/>
    </row>
    <row r="32" spans="2:24">
      <c r="B32" s="218" t="s">
        <v>1338</v>
      </c>
      <c r="C32" s="218" t="s">
        <v>522</v>
      </c>
      <c r="D32" s="218" t="s">
        <v>263</v>
      </c>
      <c r="E32" s="218" t="s">
        <v>262</v>
      </c>
      <c r="F32" s="219" t="s">
        <v>1339</v>
      </c>
      <c r="G32" s="218" t="s">
        <v>711</v>
      </c>
      <c r="H32" s="218" t="s">
        <v>1340</v>
      </c>
      <c r="X32" s="220"/>
    </row>
    <row r="33" spans="1:24" s="205" customFormat="1" ht="14.45" customHeight="1">
      <c r="B33" s="221" t="s">
        <v>1359</v>
      </c>
      <c r="C33" s="221">
        <v>30</v>
      </c>
      <c r="D33" s="221" t="s">
        <v>1342</v>
      </c>
      <c r="E33" s="222">
        <f>'Categorias de Costos lácteo '!C125</f>
        <v>1000000</v>
      </c>
      <c r="F33" s="224"/>
      <c r="G33" s="221"/>
      <c r="H33" s="222">
        <f t="shared" ref="H33:H37" si="6">+C33*E33</f>
        <v>30000000</v>
      </c>
      <c r="W33" s="217"/>
    </row>
    <row r="34" spans="1:24" s="205" customFormat="1" ht="14.45" customHeight="1">
      <c r="B34" s="221" t="s">
        <v>1343</v>
      </c>
      <c r="C34" s="221">
        <v>30</v>
      </c>
      <c r="D34" s="221" t="s">
        <v>1342</v>
      </c>
      <c r="E34" s="222">
        <f>'Categorias de Costos lácteo '!C133</f>
        <v>100000</v>
      </c>
      <c r="F34" s="224"/>
      <c r="G34" s="221"/>
      <c r="H34" s="222">
        <f t="shared" si="6"/>
        <v>3000000</v>
      </c>
      <c r="W34" s="217"/>
    </row>
    <row r="35" spans="1:24">
      <c r="A35" s="261"/>
      <c r="B35" s="221" t="s">
        <v>1344</v>
      </c>
      <c r="C35" s="221">
        <v>8</v>
      </c>
      <c r="D35" s="221" t="s">
        <v>1342</v>
      </c>
      <c r="E35" s="222">
        <f>'Categorias de Costos lácteo '!C123</f>
        <v>5000000</v>
      </c>
      <c r="F35" s="224"/>
      <c r="G35" s="221"/>
      <c r="H35" s="222">
        <f t="shared" si="6"/>
        <v>40000000</v>
      </c>
      <c r="X35" s="220"/>
    </row>
    <row r="36" spans="1:24" ht="14.45" customHeight="1">
      <c r="A36" s="261"/>
      <c r="B36" s="221" t="s">
        <v>1345</v>
      </c>
      <c r="C36" s="221">
        <v>60</v>
      </c>
      <c r="D36" s="221" t="s">
        <v>1342</v>
      </c>
      <c r="E36" s="222">
        <f>'Categorias de Costos lácteo '!C124</f>
        <v>5700000</v>
      </c>
      <c r="F36" s="222"/>
      <c r="G36" s="221"/>
      <c r="H36" s="222">
        <f t="shared" si="6"/>
        <v>342000000</v>
      </c>
    </row>
    <row r="37" spans="1:24" ht="14.45" customHeight="1">
      <c r="B37" s="221" t="s">
        <v>1414</v>
      </c>
      <c r="C37" s="221">
        <v>60</v>
      </c>
      <c r="D37" s="221" t="s">
        <v>1342</v>
      </c>
      <c r="E37" s="222">
        <f>'Categorias de Costos lácteo '!C134</f>
        <v>570000</v>
      </c>
      <c r="F37" s="222"/>
      <c r="G37" s="221"/>
      <c r="H37" s="222">
        <f t="shared" si="6"/>
        <v>34200000</v>
      </c>
    </row>
    <row r="38" spans="1:24" ht="14.45" customHeight="1">
      <c r="B38" s="221" t="s">
        <v>1518</v>
      </c>
      <c r="C38" s="221"/>
      <c r="D38" s="221"/>
      <c r="E38" s="222"/>
      <c r="F38" s="224"/>
      <c r="G38" s="221"/>
      <c r="H38" s="222" t="s">
        <v>1331</v>
      </c>
    </row>
    <row r="39" spans="1:24">
      <c r="B39" s="165" t="s">
        <v>1353</v>
      </c>
      <c r="C39" s="221">
        <v>12</v>
      </c>
      <c r="D39" s="221" t="s">
        <v>1342</v>
      </c>
      <c r="E39" s="222">
        <f>'Categorias de Costos lácteo '!D52</f>
        <v>5464476</v>
      </c>
      <c r="F39" s="237">
        <v>1</v>
      </c>
      <c r="G39" s="221">
        <v>12</v>
      </c>
      <c r="H39" s="222">
        <f t="shared" ref="H39" si="7">+E39*C39*F39</f>
        <v>65573712</v>
      </c>
    </row>
    <row r="40" spans="1:24">
      <c r="B40" s="165" t="s">
        <v>1354</v>
      </c>
      <c r="C40" s="221">
        <v>10</v>
      </c>
      <c r="D40" s="221" t="s">
        <v>1519</v>
      </c>
      <c r="E40" s="222">
        <f>'Categorias de Costos lácteo '!C82+('Categorias de Costos lácteo '!E52*3)</f>
        <v>1941307</v>
      </c>
      <c r="F40" s="237"/>
      <c r="G40" s="221"/>
      <c r="H40" s="222">
        <f>C40*E40</f>
        <v>19413070</v>
      </c>
    </row>
    <row r="41" spans="1:24">
      <c r="B41" s="225" t="s">
        <v>1340</v>
      </c>
      <c r="C41" s="226"/>
      <c r="D41" s="226"/>
      <c r="E41" s="227"/>
      <c r="F41" s="227"/>
      <c r="G41" s="226"/>
      <c r="H41" s="228">
        <f>SUM(H33:H40)</f>
        <v>534186782</v>
      </c>
    </row>
    <row r="42" spans="1:24" s="205" customFormat="1" ht="75">
      <c r="B42" s="229" t="s">
        <v>1520</v>
      </c>
      <c r="C42" s="215"/>
      <c r="E42" s="217"/>
      <c r="F42" s="217"/>
      <c r="H42" s="217"/>
      <c r="I42"/>
    </row>
    <row r="45" spans="1:24" s="205" customFormat="1" ht="14.45" customHeight="1">
      <c r="B45" s="686" t="str">
        <f>B10</f>
        <v>9.3. Seguridad jurídica de los predios dedicados a la producción de leche</v>
      </c>
      <c r="C45" s="687"/>
      <c r="D45" s="687"/>
      <c r="E45" s="687"/>
      <c r="F45" s="687"/>
      <c r="G45" s="687"/>
      <c r="H45" s="687"/>
      <c r="W45" s="217"/>
    </row>
    <row r="46" spans="1:24">
      <c r="B46" s="688"/>
      <c r="C46" s="688"/>
      <c r="D46" s="688"/>
      <c r="E46" s="688"/>
      <c r="F46" s="688"/>
      <c r="G46" s="688"/>
      <c r="H46" s="688"/>
    </row>
    <row r="47" spans="1:24">
      <c r="B47" s="218" t="s">
        <v>1338</v>
      </c>
      <c r="C47" s="218" t="s">
        <v>522</v>
      </c>
      <c r="D47" s="218" t="s">
        <v>263</v>
      </c>
      <c r="E47" s="218" t="s">
        <v>262</v>
      </c>
      <c r="F47" s="219" t="s">
        <v>1339</v>
      </c>
      <c r="G47" s="218" t="s">
        <v>711</v>
      </c>
      <c r="H47" s="218" t="s">
        <v>1340</v>
      </c>
      <c r="X47" s="220"/>
    </row>
    <row r="48" spans="1:24" s="205" customFormat="1" ht="14.45" customHeight="1">
      <c r="B48" s="221" t="s">
        <v>1359</v>
      </c>
      <c r="C48" s="221">
        <v>12</v>
      </c>
      <c r="D48" s="221" t="s">
        <v>1342</v>
      </c>
      <c r="E48" s="222">
        <f>'Categorias de Costos lácteo '!C125</f>
        <v>1000000</v>
      </c>
      <c r="F48" s="224"/>
      <c r="G48" s="221"/>
      <c r="H48" s="222">
        <f t="shared" ref="H48:H52" si="8">+C48*E48</f>
        <v>12000000</v>
      </c>
      <c r="W48" s="217"/>
    </row>
    <row r="49" spans="1:24" s="205" customFormat="1" ht="14.45" customHeight="1">
      <c r="B49" s="221" t="s">
        <v>1343</v>
      </c>
      <c r="C49" s="221">
        <v>12</v>
      </c>
      <c r="D49" s="221" t="s">
        <v>1342</v>
      </c>
      <c r="E49" s="222">
        <f>'Categorias de Costos lácteo '!C133</f>
        <v>100000</v>
      </c>
      <c r="F49" s="224"/>
      <c r="G49" s="221"/>
      <c r="H49" s="222">
        <f t="shared" si="8"/>
        <v>1200000</v>
      </c>
      <c r="W49" s="217"/>
    </row>
    <row r="50" spans="1:24">
      <c r="A50" s="261"/>
      <c r="B50" s="221" t="s">
        <v>1344</v>
      </c>
      <c r="C50" s="221">
        <v>4</v>
      </c>
      <c r="D50" s="221" t="s">
        <v>1342</v>
      </c>
      <c r="E50" s="222">
        <f>'Categorias de Costos lácteo '!C123</f>
        <v>5000000</v>
      </c>
      <c r="F50" s="224"/>
      <c r="G50" s="221"/>
      <c r="H50" s="222">
        <f t="shared" si="8"/>
        <v>20000000</v>
      </c>
      <c r="X50" s="220"/>
    </row>
    <row r="51" spans="1:24" ht="14.45" customHeight="1">
      <c r="A51" s="261"/>
      <c r="B51" s="221" t="s">
        <v>1345</v>
      </c>
      <c r="C51" s="221">
        <v>30</v>
      </c>
      <c r="D51" s="221" t="s">
        <v>1342</v>
      </c>
      <c r="E51" s="222">
        <f>'Categorias de Costos lácteo '!C124</f>
        <v>5700000</v>
      </c>
      <c r="F51" s="222"/>
      <c r="G51" s="221"/>
      <c r="H51" s="222">
        <f t="shared" si="8"/>
        <v>171000000</v>
      </c>
    </row>
    <row r="52" spans="1:24" ht="14.45" customHeight="1">
      <c r="B52" s="221" t="s">
        <v>1414</v>
      </c>
      <c r="C52" s="221">
        <v>30</v>
      </c>
      <c r="D52" s="221" t="s">
        <v>1342</v>
      </c>
      <c r="E52" s="222">
        <f>'Categorias de Costos lácteo '!C134</f>
        <v>570000</v>
      </c>
      <c r="F52" s="222"/>
      <c r="G52" s="221"/>
      <c r="H52" s="222">
        <f t="shared" si="8"/>
        <v>17100000</v>
      </c>
    </row>
    <row r="53" spans="1:24">
      <c r="B53" s="165" t="s">
        <v>1353</v>
      </c>
      <c r="C53" s="221">
        <v>4</v>
      </c>
      <c r="D53" s="221" t="s">
        <v>1342</v>
      </c>
      <c r="E53" s="222">
        <f>'Categorias de Costos lácteo '!D52</f>
        <v>5464476</v>
      </c>
      <c r="F53" s="237">
        <v>1</v>
      </c>
      <c r="G53" s="221">
        <v>12</v>
      </c>
      <c r="H53" s="222">
        <f t="shared" ref="H53" si="9">+E53*C53*F53</f>
        <v>21857904</v>
      </c>
    </row>
    <row r="54" spans="1:24">
      <c r="B54" s="165" t="s">
        <v>1354</v>
      </c>
      <c r="C54" s="221">
        <v>10</v>
      </c>
      <c r="D54" s="221" t="s">
        <v>1519</v>
      </c>
      <c r="E54" s="222">
        <f>('Categorias de Costos lácteo '!E52*3)+'Categorias de Costos lácteo '!C82</f>
        <v>1941307</v>
      </c>
      <c r="F54" s="237"/>
      <c r="G54" s="221"/>
      <c r="H54" s="222">
        <f>C54*E54</f>
        <v>19413070</v>
      </c>
    </row>
    <row r="55" spans="1:24">
      <c r="B55" s="225" t="s">
        <v>1340</v>
      </c>
      <c r="C55" s="226"/>
      <c r="D55" s="226"/>
      <c r="E55" s="227"/>
      <c r="F55" s="227"/>
      <c r="G55" s="226"/>
      <c r="H55" s="228">
        <f>SUM(H48:H54)</f>
        <v>262570974</v>
      </c>
    </row>
    <row r="56" spans="1:24" s="205" customFormat="1" ht="75">
      <c r="B56" s="229" t="s">
        <v>1705</v>
      </c>
      <c r="C56" s="215"/>
      <c r="E56" s="217"/>
      <c r="F56" s="217"/>
      <c r="H56" s="217"/>
      <c r="I56"/>
    </row>
  </sheetData>
  <mergeCells count="3">
    <mergeCell ref="B14:H14"/>
    <mergeCell ref="B30:H31"/>
    <mergeCell ref="B45:H4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2"/>
  <sheetViews>
    <sheetView windowProtection="1" showGridLines="0" topLeftCell="A76" zoomScaleNormal="100" workbookViewId="0">
      <selection activeCell="H76" sqref="H76:H90"/>
    </sheetView>
  </sheetViews>
  <sheetFormatPr baseColWidth="10" defaultColWidth="10.85546875" defaultRowHeight="15"/>
  <cols>
    <col min="1" max="1" width="13.42578125" customWidth="1"/>
    <col min="2" max="2" width="72.85546875" customWidth="1"/>
    <col min="3" max="3" width="19.85546875" customWidth="1"/>
    <col min="4" max="4" width="17.85546875" bestFit="1" customWidth="1"/>
    <col min="5" max="5" width="15.140625" bestFit="1" customWidth="1"/>
    <col min="6" max="24" width="23.42578125" customWidth="1"/>
    <col min="25" max="25" width="29.42578125" customWidth="1"/>
  </cols>
  <sheetData>
    <row r="2" spans="1:25" ht="15.75">
      <c r="A2" s="203" t="s">
        <v>1334</v>
      </c>
    </row>
    <row r="3" spans="1:25" s="205" customFormat="1">
      <c r="A3" s="204"/>
    </row>
    <row r="4" spans="1:25" ht="15.75">
      <c r="A4" s="206" t="s">
        <v>1335</v>
      </c>
      <c r="B4" s="206" t="str">
        <f>Portafolio_Cadena_Láctea!C137</f>
        <v>10. Promoción de estrategias colectivas a lo largo de la cadena láctea</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49">
        <f t="shared" ref="D7:F7" si="0">SUM(D8:D8)</f>
        <v>0</v>
      </c>
      <c r="E7" s="249">
        <f t="shared" si="0"/>
        <v>0</v>
      </c>
      <c r="F7" s="249">
        <f t="shared" si="0"/>
        <v>0</v>
      </c>
      <c r="G7" s="249">
        <f>SUM(G8:G10)</f>
        <v>38227524035</v>
      </c>
      <c r="H7" s="249">
        <f t="shared" ref="H7:X7" si="1">SUM(H8:H10)</f>
        <v>39716985805.080002</v>
      </c>
      <c r="I7" s="249">
        <f t="shared" si="1"/>
        <v>39716985805.080002</v>
      </c>
      <c r="J7" s="249">
        <f t="shared" si="1"/>
        <v>39716985805.080002</v>
      </c>
      <c r="K7" s="249">
        <f t="shared" si="1"/>
        <v>39716985805.080002</v>
      </c>
      <c r="L7" s="249">
        <f t="shared" si="1"/>
        <v>36338045805.080002</v>
      </c>
      <c r="M7" s="249">
        <f t="shared" si="1"/>
        <v>22338045805.080002</v>
      </c>
      <c r="N7" s="249">
        <f t="shared" si="1"/>
        <v>22338045805.080002</v>
      </c>
      <c r="O7" s="249">
        <f t="shared" si="1"/>
        <v>22338045805.080002</v>
      </c>
      <c r="P7" s="249">
        <f t="shared" si="1"/>
        <v>22338045805.080002</v>
      </c>
      <c r="Q7" s="249">
        <f t="shared" si="1"/>
        <v>22338045805.080002</v>
      </c>
      <c r="R7" s="249">
        <f t="shared" si="1"/>
        <v>22338045805.080002</v>
      </c>
      <c r="S7" s="249">
        <f t="shared" si="1"/>
        <v>22338045805.080002</v>
      </c>
      <c r="T7" s="249">
        <f t="shared" si="1"/>
        <v>22338045805.080002</v>
      </c>
      <c r="U7" s="249">
        <f t="shared" si="1"/>
        <v>22338045805.080002</v>
      </c>
      <c r="V7" s="249">
        <f t="shared" si="1"/>
        <v>22338045805.080002</v>
      </c>
      <c r="W7" s="249">
        <f t="shared" si="1"/>
        <v>6534985805.0799999</v>
      </c>
      <c r="X7" s="249">
        <f t="shared" si="1"/>
        <v>6534985805.0799999</v>
      </c>
      <c r="Y7" s="249">
        <f>SUM(D7:X7)</f>
        <v>469883942721.36023</v>
      </c>
    </row>
    <row r="8" spans="1:25" s="214" customFormat="1" ht="18.600000000000001" customHeight="1">
      <c r="A8" s="205"/>
      <c r="B8" s="301" t="str">
        <f>Portafolio_Cadena_Láctea!D137</f>
        <v xml:space="preserve">10.1. Impulso al desarrollo de esquemas asociativos en la cadena láctea </v>
      </c>
      <c r="C8" s="212" t="s">
        <v>1402</v>
      </c>
      <c r="D8" s="213"/>
      <c r="E8" s="253"/>
      <c r="F8" s="213"/>
      <c r="G8" s="213">
        <f>H39</f>
        <v>30884636440</v>
      </c>
      <c r="H8" s="213">
        <f>G8</f>
        <v>30884636440</v>
      </c>
      <c r="I8" s="213">
        <f>H8</f>
        <v>30884636440</v>
      </c>
      <c r="J8" s="213">
        <f>I8</f>
        <v>30884636440</v>
      </c>
      <c r="K8" s="213">
        <f>J8</f>
        <v>30884636440</v>
      </c>
      <c r="L8" s="253">
        <f>K8</f>
        <v>30884636440</v>
      </c>
      <c r="M8" s="213">
        <f>H40</f>
        <v>16884636440</v>
      </c>
      <c r="N8" s="213">
        <f t="shared" ref="N8:V8" si="2">M8</f>
        <v>16884636440</v>
      </c>
      <c r="O8" s="213">
        <f t="shared" si="2"/>
        <v>16884636440</v>
      </c>
      <c r="P8" s="213">
        <f t="shared" si="2"/>
        <v>16884636440</v>
      </c>
      <c r="Q8" s="253">
        <f t="shared" si="2"/>
        <v>16884636440</v>
      </c>
      <c r="R8" s="213">
        <f t="shared" si="2"/>
        <v>16884636440</v>
      </c>
      <c r="S8" s="213">
        <f t="shared" si="2"/>
        <v>16884636440</v>
      </c>
      <c r="T8" s="213">
        <f t="shared" si="2"/>
        <v>16884636440</v>
      </c>
      <c r="U8" s="213">
        <f t="shared" si="2"/>
        <v>16884636440</v>
      </c>
      <c r="V8" s="253">
        <f t="shared" si="2"/>
        <v>16884636440</v>
      </c>
      <c r="W8" s="213">
        <f>H41</f>
        <v>2884636440</v>
      </c>
      <c r="X8" s="213">
        <f>W8</f>
        <v>2884636440</v>
      </c>
      <c r="Y8" s="213">
        <f>SUM(D8:X8)</f>
        <v>359923455920</v>
      </c>
    </row>
    <row r="9" spans="1:25" s="214" customFormat="1" ht="30">
      <c r="A9" s="205"/>
      <c r="B9" s="301" t="str">
        <f>Portafolio_Cadena_Láctea!D146</f>
        <v xml:space="preserve">10.2. Promoción y fortalecimiento de la integración vertical de los productores de leche </v>
      </c>
      <c r="C9" s="212" t="s">
        <v>1402</v>
      </c>
      <c r="D9" s="213"/>
      <c r="E9" s="253"/>
      <c r="F9" s="213"/>
      <c r="G9" s="213">
        <f>H68</f>
        <v>7342887595</v>
      </c>
      <c r="H9" s="213">
        <f>G9</f>
        <v>7342887595</v>
      </c>
      <c r="I9" s="213">
        <f>H9</f>
        <v>7342887595</v>
      </c>
      <c r="J9" s="213">
        <f>I9</f>
        <v>7342887595</v>
      </c>
      <c r="K9" s="213">
        <f>J9</f>
        <v>7342887595</v>
      </c>
      <c r="L9" s="253">
        <f>H69</f>
        <v>3963947595</v>
      </c>
      <c r="M9" s="213">
        <f>L9</f>
        <v>3963947595</v>
      </c>
      <c r="N9" s="213">
        <f t="shared" ref="N9:V9" si="3">M9</f>
        <v>3963947595</v>
      </c>
      <c r="O9" s="213">
        <f t="shared" si="3"/>
        <v>3963947595</v>
      </c>
      <c r="P9" s="213">
        <f t="shared" si="3"/>
        <v>3963947595</v>
      </c>
      <c r="Q9" s="253">
        <f t="shared" si="3"/>
        <v>3963947595</v>
      </c>
      <c r="R9" s="213">
        <f t="shared" si="3"/>
        <v>3963947595</v>
      </c>
      <c r="S9" s="213">
        <f t="shared" si="3"/>
        <v>3963947595</v>
      </c>
      <c r="T9" s="213">
        <f t="shared" si="3"/>
        <v>3963947595</v>
      </c>
      <c r="U9" s="213">
        <f t="shared" si="3"/>
        <v>3963947595</v>
      </c>
      <c r="V9" s="253">
        <f t="shared" si="3"/>
        <v>3963947595</v>
      </c>
      <c r="W9" s="213">
        <f>H70</f>
        <v>2160887595</v>
      </c>
      <c r="X9" s="213">
        <f>W9</f>
        <v>2160887595</v>
      </c>
      <c r="Y9" s="213">
        <f>SUM(D9:X9)</f>
        <v>84639636710</v>
      </c>
    </row>
    <row r="10" spans="1:25" s="214" customFormat="1" ht="30">
      <c r="A10" s="205"/>
      <c r="B10" s="301" t="str">
        <f>Portafolio_Cadena_Láctea!D151</f>
        <v>10.3. Promoción y fortalecimiento de la integración horizontal entre procesadores de leche.</v>
      </c>
      <c r="C10" s="212" t="s">
        <v>1427</v>
      </c>
      <c r="D10" s="213"/>
      <c r="E10" s="253"/>
      <c r="F10" s="213"/>
      <c r="G10" s="213"/>
      <c r="H10" s="213">
        <f>H91</f>
        <v>1489461770.0799999</v>
      </c>
      <c r="I10" s="213">
        <f>H10</f>
        <v>1489461770.0799999</v>
      </c>
      <c r="J10" s="213">
        <f>I10</f>
        <v>1489461770.0799999</v>
      </c>
      <c r="K10" s="213">
        <f>J10</f>
        <v>1489461770.0799999</v>
      </c>
      <c r="L10" s="253">
        <f>K10</f>
        <v>1489461770.0799999</v>
      </c>
      <c r="M10" s="213">
        <f>L10</f>
        <v>1489461770.0799999</v>
      </c>
      <c r="N10" s="213">
        <f t="shared" ref="N10:V10" si="4">M10</f>
        <v>1489461770.0799999</v>
      </c>
      <c r="O10" s="213">
        <f t="shared" si="4"/>
        <v>1489461770.0799999</v>
      </c>
      <c r="P10" s="213">
        <f t="shared" si="4"/>
        <v>1489461770.0799999</v>
      </c>
      <c r="Q10" s="253">
        <f t="shared" si="4"/>
        <v>1489461770.0799999</v>
      </c>
      <c r="R10" s="213">
        <f t="shared" si="4"/>
        <v>1489461770.0799999</v>
      </c>
      <c r="S10" s="213">
        <f t="shared" si="4"/>
        <v>1489461770.0799999</v>
      </c>
      <c r="T10" s="213">
        <f t="shared" si="4"/>
        <v>1489461770.0799999</v>
      </c>
      <c r="U10" s="213">
        <f t="shared" si="4"/>
        <v>1489461770.0799999</v>
      </c>
      <c r="V10" s="253">
        <f t="shared" si="4"/>
        <v>1489461770.0799999</v>
      </c>
      <c r="W10" s="213">
        <f>V10</f>
        <v>1489461770.0799999</v>
      </c>
      <c r="X10" s="213">
        <f>W10</f>
        <v>1489461770.0799999</v>
      </c>
      <c r="Y10" s="213">
        <f>SUM(D10:X10)</f>
        <v>25320850091.360008</v>
      </c>
    </row>
    <row r="11" spans="1:25" s="210" customFormat="1">
      <c r="A11"/>
      <c r="B11" s="209" t="s">
        <v>46</v>
      </c>
      <c r="C11" s="209"/>
      <c r="D11" s="249">
        <f t="shared" ref="D11:W11" si="5">SUM(D8:D10)</f>
        <v>0</v>
      </c>
      <c r="E11" s="249">
        <f t="shared" si="5"/>
        <v>0</v>
      </c>
      <c r="F11" s="249">
        <f t="shared" si="5"/>
        <v>0</v>
      </c>
      <c r="G11" s="249">
        <f t="shared" si="5"/>
        <v>38227524035</v>
      </c>
      <c r="H11" s="249">
        <f t="shared" si="5"/>
        <v>39716985805.080002</v>
      </c>
      <c r="I11" s="249">
        <f t="shared" si="5"/>
        <v>39716985805.080002</v>
      </c>
      <c r="J11" s="249">
        <f t="shared" si="5"/>
        <v>39716985805.080002</v>
      </c>
      <c r="K11" s="249">
        <f t="shared" si="5"/>
        <v>39716985805.080002</v>
      </c>
      <c r="L11" s="249">
        <f t="shared" si="5"/>
        <v>36338045805.080002</v>
      </c>
      <c r="M11" s="249">
        <f t="shared" si="5"/>
        <v>22338045805.080002</v>
      </c>
      <c r="N11" s="249">
        <f t="shared" si="5"/>
        <v>22338045805.080002</v>
      </c>
      <c r="O11" s="249">
        <f t="shared" si="5"/>
        <v>22338045805.080002</v>
      </c>
      <c r="P11" s="249">
        <f t="shared" si="5"/>
        <v>22338045805.080002</v>
      </c>
      <c r="Q11" s="249">
        <f t="shared" si="5"/>
        <v>22338045805.080002</v>
      </c>
      <c r="R11" s="249">
        <f t="shared" si="5"/>
        <v>22338045805.080002</v>
      </c>
      <c r="S11" s="249">
        <f t="shared" si="5"/>
        <v>22338045805.080002</v>
      </c>
      <c r="T11" s="249">
        <f t="shared" si="5"/>
        <v>22338045805.080002</v>
      </c>
      <c r="U11" s="249">
        <f t="shared" si="5"/>
        <v>22338045805.080002</v>
      </c>
      <c r="V11" s="249">
        <f t="shared" si="5"/>
        <v>22338045805.080002</v>
      </c>
      <c r="W11" s="249">
        <f t="shared" si="5"/>
        <v>6534985805.0799999</v>
      </c>
      <c r="X11" s="249">
        <f>SUM(X8:X10)</f>
        <v>6534985805.0799999</v>
      </c>
      <c r="Y11" s="249">
        <f>SUM(D11:X11)</f>
        <v>469883942721.36023</v>
      </c>
    </row>
    <row r="14" spans="1:25" s="205" customFormat="1" ht="14.45" customHeight="1">
      <c r="B14" s="686" t="str">
        <f>B8</f>
        <v xml:space="preserve">10.1. Impulso al desarrollo de esquemas asociativos en la cadena láctea </v>
      </c>
      <c r="C14" s="687"/>
      <c r="D14" s="687"/>
      <c r="E14" s="687"/>
      <c r="F14" s="687"/>
      <c r="G14" s="687"/>
      <c r="H14" s="687"/>
      <c r="W14" s="217"/>
    </row>
    <row r="15" spans="1:25" s="205" customFormat="1" ht="14.45" customHeight="1">
      <c r="B15" s="688"/>
      <c r="C15" s="688"/>
      <c r="D15" s="688"/>
      <c r="E15" s="688"/>
      <c r="F15" s="688"/>
      <c r="G15" s="688"/>
      <c r="H15" s="688"/>
      <c r="W15" s="217"/>
    </row>
    <row r="16" spans="1:25">
      <c r="B16" s="218" t="s">
        <v>1338</v>
      </c>
      <c r="C16" s="218" t="s">
        <v>522</v>
      </c>
      <c r="D16" s="218" t="s">
        <v>263</v>
      </c>
      <c r="E16" s="218" t="s">
        <v>262</v>
      </c>
      <c r="F16" s="219" t="s">
        <v>1339</v>
      </c>
      <c r="G16" s="218" t="s">
        <v>711</v>
      </c>
      <c r="H16" s="218" t="s">
        <v>1340</v>
      </c>
      <c r="X16" s="220"/>
    </row>
    <row r="17" spans="1:24" s="205" customFormat="1" ht="14.45" customHeight="1">
      <c r="B17" s="221" t="s">
        <v>1359</v>
      </c>
      <c r="C17" s="221">
        <v>30</v>
      </c>
      <c r="D17" s="221" t="s">
        <v>1342</v>
      </c>
      <c r="E17" s="222">
        <f>'Categorias de Costos lácteo '!C125</f>
        <v>1000000</v>
      </c>
      <c r="F17" s="224"/>
      <c r="G17" s="221"/>
      <c r="H17" s="222">
        <f>+C17*E17</f>
        <v>30000000</v>
      </c>
      <c r="W17" s="217"/>
    </row>
    <row r="18" spans="1:24" s="205" customFormat="1" ht="14.45" customHeight="1">
      <c r="B18" s="221" t="s">
        <v>1343</v>
      </c>
      <c r="C18" s="221">
        <v>30</v>
      </c>
      <c r="D18" s="221" t="s">
        <v>1342</v>
      </c>
      <c r="E18" s="222">
        <f>'Categorias de Costos lácteo '!C133</f>
        <v>100000</v>
      </c>
      <c r="F18" s="224"/>
      <c r="G18" s="221"/>
      <c r="H18" s="222">
        <f t="shared" ref="H18:H30" si="6">+C18*E18</f>
        <v>3000000</v>
      </c>
      <c r="W18" s="217"/>
    </row>
    <row r="19" spans="1:24">
      <c r="A19" s="261"/>
      <c r="B19" s="221" t="s">
        <v>1344</v>
      </c>
      <c r="C19" s="221">
        <v>8</v>
      </c>
      <c r="D19" s="221" t="s">
        <v>1342</v>
      </c>
      <c r="E19" s="222">
        <f>'Categorias de Costos lácteo '!C123</f>
        <v>5000000</v>
      </c>
      <c r="F19" s="224"/>
      <c r="G19" s="221"/>
      <c r="H19" s="222">
        <f t="shared" si="6"/>
        <v>40000000</v>
      </c>
      <c r="X19" s="220"/>
    </row>
    <row r="20" spans="1:24" ht="14.45" customHeight="1">
      <c r="A20" s="261"/>
      <c r="B20" s="221" t="s">
        <v>1345</v>
      </c>
      <c r="C20" s="221">
        <v>60</v>
      </c>
      <c r="D20" s="221" t="s">
        <v>1342</v>
      </c>
      <c r="E20" s="222">
        <f>'Categorias de Costos lácteo '!C124</f>
        <v>5700000</v>
      </c>
      <c r="F20" s="222"/>
      <c r="G20" s="221"/>
      <c r="H20" s="222">
        <f t="shared" si="6"/>
        <v>342000000</v>
      </c>
    </row>
    <row r="21" spans="1:24" ht="14.45" customHeight="1">
      <c r="B21" s="221" t="s">
        <v>1414</v>
      </c>
      <c r="C21" s="221">
        <v>30</v>
      </c>
      <c r="D21" s="221" t="s">
        <v>1342</v>
      </c>
      <c r="E21" s="222">
        <f>'Categorias de Costos lácteo '!C134</f>
        <v>570000</v>
      </c>
      <c r="F21" s="222"/>
      <c r="G21" s="221"/>
      <c r="H21" s="222">
        <f t="shared" si="6"/>
        <v>17100000</v>
      </c>
    </row>
    <row r="22" spans="1:24">
      <c r="B22" s="221" t="s">
        <v>532</v>
      </c>
      <c r="C22" s="221">
        <v>1</v>
      </c>
      <c r="D22" s="221" t="s">
        <v>1342</v>
      </c>
      <c r="E22" s="222">
        <v>20000000</v>
      </c>
      <c r="F22" s="224"/>
      <c r="G22" s="221"/>
      <c r="H22" s="222">
        <f t="shared" si="6"/>
        <v>20000000</v>
      </c>
    </row>
    <row r="23" spans="1:24">
      <c r="B23" s="221" t="s">
        <v>1499</v>
      </c>
      <c r="C23" s="221">
        <v>10</v>
      </c>
      <c r="D23" s="221" t="s">
        <v>1521</v>
      </c>
      <c r="E23" s="222">
        <f>'Categorias de Costos lácteo '!D275</f>
        <v>9000000</v>
      </c>
      <c r="F23" s="224"/>
      <c r="G23" s="221"/>
      <c r="H23" s="222">
        <f t="shared" si="6"/>
        <v>90000000</v>
      </c>
    </row>
    <row r="24" spans="1:24">
      <c r="B24" s="247" t="s">
        <v>1408</v>
      </c>
      <c r="C24" s="221">
        <v>20</v>
      </c>
      <c r="D24" s="221" t="s">
        <v>1381</v>
      </c>
      <c r="E24" s="222">
        <f>'Categorias de Costos lácteo '!D276</f>
        <v>1500000</v>
      </c>
      <c r="F24" s="221"/>
      <c r="G24" s="221"/>
      <c r="H24" s="222">
        <f t="shared" si="6"/>
        <v>30000000</v>
      </c>
    </row>
    <row r="25" spans="1:24">
      <c r="B25" s="247" t="s">
        <v>1409</v>
      </c>
      <c r="C25" s="221">
        <v>20</v>
      </c>
      <c r="D25" s="221" t="s">
        <v>1381</v>
      </c>
      <c r="E25" s="222">
        <f>'Categorias de Costos lácteo '!D280</f>
        <v>150000</v>
      </c>
      <c r="F25" s="221"/>
      <c r="G25" s="221"/>
      <c r="H25" s="222">
        <f t="shared" si="6"/>
        <v>3000000</v>
      </c>
    </row>
    <row r="26" spans="1:24">
      <c r="B26" s="247" t="s">
        <v>1522</v>
      </c>
      <c r="C26" s="221">
        <v>10</v>
      </c>
      <c r="D26" s="221" t="s">
        <v>1381</v>
      </c>
      <c r="E26" s="222">
        <f>'Categorias de Costos lácteo '!D277</f>
        <v>3000000</v>
      </c>
      <c r="F26" s="221"/>
      <c r="G26" s="221"/>
      <c r="H26" s="222">
        <f t="shared" si="6"/>
        <v>30000000</v>
      </c>
    </row>
    <row r="27" spans="1:24">
      <c r="B27" s="247" t="s">
        <v>1523</v>
      </c>
      <c r="C27" s="221">
        <v>10</v>
      </c>
      <c r="D27" s="221" t="s">
        <v>1381</v>
      </c>
      <c r="E27" s="222">
        <f>'Categorias de Costos lácteo '!D281</f>
        <v>300000</v>
      </c>
      <c r="F27" s="221"/>
      <c r="G27" s="221"/>
      <c r="H27" s="222">
        <f t="shared" si="6"/>
        <v>3000000</v>
      </c>
    </row>
    <row r="28" spans="1:24">
      <c r="B28" s="258" t="s">
        <v>1524</v>
      </c>
      <c r="C28" s="258">
        <v>10</v>
      </c>
      <c r="D28" s="258" t="s">
        <v>1342</v>
      </c>
      <c r="E28" s="259">
        <f>'Categorias de Costos lácteo '!C215</f>
        <v>49500000</v>
      </c>
      <c r="F28" s="224"/>
      <c r="G28" s="258"/>
      <c r="H28" s="222">
        <f t="shared" si="6"/>
        <v>495000000</v>
      </c>
    </row>
    <row r="29" spans="1:24" s="205" customFormat="1">
      <c r="B29" s="232" t="s">
        <v>1463</v>
      </c>
      <c r="C29" s="232">
        <v>10</v>
      </c>
      <c r="D29" s="232" t="s">
        <v>1342</v>
      </c>
      <c r="E29" s="263">
        <f>'Categorias de Costos lácteo '!C228</f>
        <v>21000000</v>
      </c>
      <c r="F29" s="232"/>
      <c r="G29" s="232"/>
      <c r="H29" s="222">
        <f t="shared" si="6"/>
        <v>210000000</v>
      </c>
      <c r="I29"/>
    </row>
    <row r="30" spans="1:24">
      <c r="B30" s="232" t="s">
        <v>1464</v>
      </c>
      <c r="C30" s="232">
        <v>10</v>
      </c>
      <c r="D30" s="232" t="s">
        <v>1342</v>
      </c>
      <c r="E30" s="263">
        <f>'Categorias de Costos lácteo '!C227</f>
        <v>40000000</v>
      </c>
      <c r="F30" s="232"/>
      <c r="G30" s="232"/>
      <c r="H30" s="222">
        <f t="shared" si="6"/>
        <v>400000000</v>
      </c>
    </row>
    <row r="31" spans="1:24">
      <c r="B31" s="258" t="s">
        <v>1525</v>
      </c>
      <c r="C31" s="258">
        <v>1</v>
      </c>
      <c r="D31" s="258" t="s">
        <v>1342</v>
      </c>
      <c r="E31" s="259">
        <f>'Categorias de Costos lácteo '!C313</f>
        <v>128000000</v>
      </c>
      <c r="F31" s="224">
        <v>0.2</v>
      </c>
      <c r="G31" s="258"/>
      <c r="H31" s="259">
        <f>C31*E31*F31</f>
        <v>25600000</v>
      </c>
    </row>
    <row r="32" spans="1:24">
      <c r="B32" s="221" t="s">
        <v>1526</v>
      </c>
      <c r="C32" s="302">
        <f>100000/5</f>
        <v>20000</v>
      </c>
      <c r="D32" s="221" t="s">
        <v>1342</v>
      </c>
      <c r="E32" s="222">
        <f>'Categorias de Costos lácteo '!C468</f>
        <v>1400000</v>
      </c>
      <c r="F32" s="237"/>
      <c r="G32" s="221"/>
      <c r="H32" s="222">
        <f>+C32*E32</f>
        <v>28000000000</v>
      </c>
    </row>
    <row r="33" spans="2:24">
      <c r="B33" s="221" t="s">
        <v>1526</v>
      </c>
      <c r="C33" s="302">
        <v>10000</v>
      </c>
      <c r="D33" s="221" t="s">
        <v>1342</v>
      </c>
      <c r="E33" s="222">
        <f>E32</f>
        <v>1400000</v>
      </c>
      <c r="F33" s="237"/>
      <c r="G33" s="221"/>
      <c r="H33" s="222">
        <f t="shared" ref="H33" si="7">+C33*E33</f>
        <v>14000000000</v>
      </c>
    </row>
    <row r="34" spans="2:24">
      <c r="B34" s="221" t="s">
        <v>1527</v>
      </c>
      <c r="C34" s="302">
        <v>1000</v>
      </c>
      <c r="D34" s="221" t="s">
        <v>1342</v>
      </c>
      <c r="E34" s="302">
        <f>'Categorias de Costos lácteo '!C468</f>
        <v>1400000</v>
      </c>
      <c r="F34" s="237">
        <v>0.2</v>
      </c>
      <c r="G34" s="221"/>
      <c r="H34" s="222">
        <v>280000000</v>
      </c>
    </row>
    <row r="35" spans="2:24">
      <c r="B35" s="221" t="s">
        <v>1528</v>
      </c>
      <c r="C35" s="302">
        <v>500</v>
      </c>
      <c r="D35" s="221" t="s">
        <v>1342</v>
      </c>
      <c r="E35" s="302">
        <f>'Categorias de Costos lácteo '!C601</f>
        <v>112000</v>
      </c>
      <c r="F35" s="221"/>
      <c r="G35" s="221"/>
      <c r="H35" s="222">
        <f>C35*E35</f>
        <v>56000000</v>
      </c>
    </row>
    <row r="36" spans="2:24">
      <c r="B36" s="221" t="s">
        <v>1353</v>
      </c>
      <c r="C36" s="302">
        <v>15</v>
      </c>
      <c r="D36" s="221" t="s">
        <v>1342</v>
      </c>
      <c r="E36" s="302">
        <f>'Categorias de Costos lácteo '!D54</f>
        <v>4401038</v>
      </c>
      <c r="F36" s="221"/>
      <c r="G36" s="221">
        <v>12</v>
      </c>
      <c r="H36" s="222">
        <f>C36*E36*G36</f>
        <v>792186840</v>
      </c>
    </row>
    <row r="37" spans="2:24">
      <c r="B37" s="221" t="s">
        <v>1529</v>
      </c>
      <c r="C37" s="302">
        <v>10</v>
      </c>
      <c r="D37" s="221" t="s">
        <v>1519</v>
      </c>
      <c r="E37" s="302">
        <f>('Categorias de Costos lácteo '!E54*3)+'Categorias de Costos lácteo '!C82</f>
        <v>1774960</v>
      </c>
      <c r="F37" s="221"/>
      <c r="G37" s="221"/>
      <c r="H37" s="222">
        <f>C37*E37</f>
        <v>17749600</v>
      </c>
    </row>
    <row r="38" spans="2:24">
      <c r="B38" s="221" t="s">
        <v>1530</v>
      </c>
      <c r="C38" s="302"/>
      <c r="D38" s="221"/>
      <c r="E38" s="302"/>
      <c r="F38" s="221"/>
      <c r="G38" s="221"/>
      <c r="H38" s="222" t="s">
        <v>1331</v>
      </c>
    </row>
    <row r="39" spans="2:24">
      <c r="B39" s="225" t="s">
        <v>1531</v>
      </c>
      <c r="C39" s="226"/>
      <c r="D39" s="226"/>
      <c r="E39" s="227"/>
      <c r="F39" s="227"/>
      <c r="G39" s="226"/>
      <c r="H39" s="228">
        <f>SUM(H17:H38)-H33</f>
        <v>30884636440</v>
      </c>
    </row>
    <row r="40" spans="2:24">
      <c r="B40" s="225" t="s">
        <v>1532</v>
      </c>
      <c r="C40" s="226"/>
      <c r="D40" s="226"/>
      <c r="E40" s="227"/>
      <c r="F40" s="227"/>
      <c r="G40" s="226"/>
      <c r="H40" s="228">
        <f>SUM(H17:H38)-H32</f>
        <v>16884636440</v>
      </c>
    </row>
    <row r="41" spans="2:24">
      <c r="B41" s="242" t="s">
        <v>1533</v>
      </c>
      <c r="C41" s="243"/>
      <c r="D41" s="243"/>
      <c r="E41" s="244"/>
      <c r="F41" s="244"/>
      <c r="G41" s="243"/>
      <c r="H41" s="245">
        <f>SUM(H17:H38)-H32-H33</f>
        <v>2884636440</v>
      </c>
    </row>
    <row r="42" spans="2:24" s="205" customFormat="1" ht="360">
      <c r="B42" s="229" t="s">
        <v>1534</v>
      </c>
      <c r="C42" s="215"/>
      <c r="E42" s="217"/>
      <c r="F42" s="217"/>
      <c r="H42" s="217"/>
      <c r="I42"/>
    </row>
    <row r="43" spans="2:24" s="205" customFormat="1">
      <c r="B43" s="229"/>
      <c r="C43" s="215"/>
      <c r="E43" s="217"/>
      <c r="F43" s="217"/>
      <c r="H43" s="217"/>
      <c r="I43"/>
    </row>
    <row r="45" spans="2:24">
      <c r="B45" s="686" t="str">
        <f>B9</f>
        <v xml:space="preserve">10.2. Promoción y fortalecimiento de la integración vertical de los productores de leche </v>
      </c>
      <c r="C45" s="687"/>
      <c r="D45" s="687"/>
      <c r="E45" s="687"/>
      <c r="F45" s="687"/>
      <c r="G45" s="687"/>
      <c r="H45" s="687"/>
    </row>
    <row r="46" spans="2:24" s="205" customFormat="1" ht="14.45" customHeight="1">
      <c r="B46" s="688"/>
      <c r="C46" s="688"/>
      <c r="D46" s="688"/>
      <c r="E46" s="688"/>
      <c r="F46" s="688"/>
      <c r="G46" s="688"/>
      <c r="H46" s="688"/>
      <c r="W46" s="217"/>
    </row>
    <row r="47" spans="2:24">
      <c r="B47" s="218" t="s">
        <v>1338</v>
      </c>
      <c r="C47" s="218" t="s">
        <v>522</v>
      </c>
      <c r="D47" s="218" t="s">
        <v>263</v>
      </c>
      <c r="E47" s="218" t="s">
        <v>262</v>
      </c>
      <c r="F47" s="219" t="s">
        <v>1339</v>
      </c>
      <c r="G47" s="218" t="s">
        <v>711</v>
      </c>
      <c r="H47" s="218" t="s">
        <v>1340</v>
      </c>
      <c r="X47" s="220"/>
    </row>
    <row r="48" spans="2:24" s="205" customFormat="1" ht="14.45" customHeight="1">
      <c r="B48" s="221" t="s">
        <v>1359</v>
      </c>
      <c r="C48" s="221">
        <v>12</v>
      </c>
      <c r="D48" s="221" t="s">
        <v>1342</v>
      </c>
      <c r="E48" s="222">
        <f>'Categorias de Costos lácteo '!C125</f>
        <v>1000000</v>
      </c>
      <c r="F48" s="224"/>
      <c r="G48" s="221"/>
      <c r="H48" s="222">
        <f>+C48*E48</f>
        <v>12000000</v>
      </c>
      <c r="W48" s="217"/>
    </row>
    <row r="49" spans="1:24" s="205" customFormat="1" ht="14.45" customHeight="1">
      <c r="B49" s="221" t="s">
        <v>1343</v>
      </c>
      <c r="C49" s="221">
        <v>12</v>
      </c>
      <c r="D49" s="221" t="s">
        <v>1342</v>
      </c>
      <c r="E49" s="222">
        <f>'Categorias de Costos lácteo '!C133</f>
        <v>100000</v>
      </c>
      <c r="F49" s="224"/>
      <c r="G49" s="221"/>
      <c r="H49" s="222">
        <f t="shared" ref="H49:H59" si="8">+C49*E49</f>
        <v>1200000</v>
      </c>
      <c r="W49" s="217"/>
    </row>
    <row r="50" spans="1:24">
      <c r="A50" s="261"/>
      <c r="B50" s="221" t="s">
        <v>1344</v>
      </c>
      <c r="C50" s="221">
        <v>8</v>
      </c>
      <c r="D50" s="221" t="s">
        <v>1342</v>
      </c>
      <c r="E50" s="222">
        <f>'Categorias de Costos lácteo '!C123</f>
        <v>5000000</v>
      </c>
      <c r="F50" s="224"/>
      <c r="G50" s="221"/>
      <c r="H50" s="222">
        <f t="shared" si="8"/>
        <v>40000000</v>
      </c>
      <c r="X50" s="220"/>
    </row>
    <row r="51" spans="1:24" ht="14.45" customHeight="1">
      <c r="A51" s="261"/>
      <c r="B51" s="221" t="s">
        <v>1345</v>
      </c>
      <c r="C51" s="221">
        <v>30</v>
      </c>
      <c r="D51" s="221" t="s">
        <v>1342</v>
      </c>
      <c r="E51" s="222">
        <f>'Categorias de Costos lácteo '!C124</f>
        <v>5700000</v>
      </c>
      <c r="F51" s="222"/>
      <c r="G51" s="221"/>
      <c r="H51" s="222">
        <f t="shared" si="8"/>
        <v>171000000</v>
      </c>
    </row>
    <row r="52" spans="1:24" ht="14.45" customHeight="1">
      <c r="B52" s="221" t="s">
        <v>1414</v>
      </c>
      <c r="C52" s="221">
        <v>30</v>
      </c>
      <c r="D52" s="221" t="s">
        <v>1342</v>
      </c>
      <c r="E52" s="222">
        <f>'Categorias de Costos lácteo '!C134</f>
        <v>570000</v>
      </c>
      <c r="F52" s="222"/>
      <c r="G52" s="221"/>
      <c r="H52" s="222">
        <f t="shared" si="8"/>
        <v>17100000</v>
      </c>
    </row>
    <row r="53" spans="1:24">
      <c r="B53" s="221" t="s">
        <v>532</v>
      </c>
      <c r="C53" s="221">
        <v>1</v>
      </c>
      <c r="D53" s="221" t="s">
        <v>1342</v>
      </c>
      <c r="E53" s="222">
        <v>20000000</v>
      </c>
      <c r="F53" s="224"/>
      <c r="G53" s="221"/>
      <c r="H53" s="222">
        <f t="shared" si="8"/>
        <v>20000000</v>
      </c>
    </row>
    <row r="54" spans="1:24">
      <c r="B54" s="221" t="s">
        <v>1499</v>
      </c>
      <c r="C54" s="221">
        <v>1</v>
      </c>
      <c r="D54" s="221" t="s">
        <v>1521</v>
      </c>
      <c r="E54" s="222">
        <f>'Categorias de Costos lácteo '!D275</f>
        <v>9000000</v>
      </c>
      <c r="F54" s="224"/>
      <c r="G54" s="221"/>
      <c r="H54" s="222">
        <f t="shared" si="8"/>
        <v>9000000</v>
      </c>
    </row>
    <row r="55" spans="1:24">
      <c r="B55" s="247" t="s">
        <v>1408</v>
      </c>
      <c r="C55" s="221">
        <v>20</v>
      </c>
      <c r="D55" s="221" t="s">
        <v>1381</v>
      </c>
      <c r="E55" s="222">
        <f>'Categorias de Costos lácteo '!D276</f>
        <v>1500000</v>
      </c>
      <c r="F55" s="221"/>
      <c r="G55" s="221"/>
      <c r="H55" s="222">
        <f t="shared" si="8"/>
        <v>30000000</v>
      </c>
    </row>
    <row r="56" spans="1:24">
      <c r="B56" s="247" t="s">
        <v>1409</v>
      </c>
      <c r="C56" s="221">
        <v>20</v>
      </c>
      <c r="D56" s="221" t="s">
        <v>1381</v>
      </c>
      <c r="E56" s="222">
        <f>'Categorias de Costos lácteo '!D280</f>
        <v>150000</v>
      </c>
      <c r="F56" s="221"/>
      <c r="G56" s="221"/>
      <c r="H56" s="222">
        <f t="shared" si="8"/>
        <v>3000000</v>
      </c>
    </row>
    <row r="57" spans="1:24">
      <c r="B57" s="247" t="s">
        <v>1522</v>
      </c>
      <c r="C57" s="221">
        <v>10</v>
      </c>
      <c r="D57" s="221" t="s">
        <v>1381</v>
      </c>
      <c r="E57" s="222">
        <f>'Categorias de Costos lácteo '!D277</f>
        <v>3000000</v>
      </c>
      <c r="F57" s="221"/>
      <c r="G57" s="221"/>
      <c r="H57" s="222">
        <f t="shared" si="8"/>
        <v>30000000</v>
      </c>
    </row>
    <row r="58" spans="1:24">
      <c r="B58" s="247" t="s">
        <v>1523</v>
      </c>
      <c r="C58" s="221">
        <v>10</v>
      </c>
      <c r="D58" s="221" t="s">
        <v>1381</v>
      </c>
      <c r="E58" s="222">
        <f>'Categorias de Costos lácteo '!D281</f>
        <v>300000</v>
      </c>
      <c r="F58" s="221"/>
      <c r="G58" s="221"/>
      <c r="H58" s="222">
        <f t="shared" si="8"/>
        <v>3000000</v>
      </c>
    </row>
    <row r="59" spans="1:24">
      <c r="B59" s="258" t="s">
        <v>1535</v>
      </c>
      <c r="C59" s="258">
        <v>10</v>
      </c>
      <c r="D59" s="258" t="s">
        <v>1342</v>
      </c>
      <c r="E59" s="259">
        <f>'Categorias de Costos lácteo '!C220</f>
        <v>21000000</v>
      </c>
      <c r="F59" s="224"/>
      <c r="G59" s="258"/>
      <c r="H59" s="222">
        <f t="shared" si="8"/>
        <v>210000000</v>
      </c>
    </row>
    <row r="60" spans="1:24" s="205" customFormat="1">
      <c r="B60" s="221" t="s">
        <v>1536</v>
      </c>
      <c r="C60" s="221">
        <v>35</v>
      </c>
      <c r="D60" s="221" t="s">
        <v>1537</v>
      </c>
      <c r="E60" s="241">
        <f>'Categorias de Costos lácteo '!C504</f>
        <v>36061200</v>
      </c>
      <c r="F60" s="221"/>
      <c r="G60" s="221"/>
      <c r="H60" s="303">
        <f>C60*E60</f>
        <v>1262142000</v>
      </c>
      <c r="I60"/>
    </row>
    <row r="61" spans="1:24">
      <c r="B61" s="221" t="s">
        <v>1538</v>
      </c>
      <c r="C61" s="221">
        <v>15</v>
      </c>
      <c r="D61" s="221" t="s">
        <v>1537</v>
      </c>
      <c r="E61" s="241">
        <f>E60</f>
        <v>36061200</v>
      </c>
      <c r="F61" s="221"/>
      <c r="G61" s="221"/>
      <c r="H61" s="303">
        <f>C61*E61</f>
        <v>540918000</v>
      </c>
    </row>
    <row r="62" spans="1:24">
      <c r="B62" s="221" t="s">
        <v>1539</v>
      </c>
      <c r="C62" s="221">
        <v>40</v>
      </c>
      <c r="D62" s="221" t="s">
        <v>1342</v>
      </c>
      <c r="E62" s="241">
        <f>'Categorias de Costos lácteo '!C513</f>
        <v>647750000</v>
      </c>
      <c r="F62" s="237">
        <v>0.2</v>
      </c>
      <c r="G62" s="221"/>
      <c r="H62" s="303">
        <f>C62*E62*F62</f>
        <v>5182000000</v>
      </c>
    </row>
    <row r="63" spans="1:24">
      <c r="B63" s="221" t="s">
        <v>1540</v>
      </c>
      <c r="C63" s="302">
        <v>10</v>
      </c>
      <c r="D63" s="221" t="s">
        <v>1342</v>
      </c>
      <c r="E63" s="222">
        <f>'Categorias de Costos lácteo '!C227</f>
        <v>40000000</v>
      </c>
      <c r="F63" s="237"/>
      <c r="G63" s="221"/>
      <c r="H63" s="303">
        <f>C63*E63</f>
        <v>400000000</v>
      </c>
    </row>
    <row r="64" spans="1:24">
      <c r="B64" s="221" t="s">
        <v>1389</v>
      </c>
      <c r="C64" s="302">
        <v>10</v>
      </c>
      <c r="D64" s="221" t="s">
        <v>1342</v>
      </c>
      <c r="E64" s="302">
        <f>'Categorias de Costos lácteo '!C228</f>
        <v>21000000</v>
      </c>
      <c r="F64" s="237"/>
      <c r="G64" s="221"/>
      <c r="H64" s="303">
        <f>C64*E64</f>
        <v>210000000</v>
      </c>
    </row>
    <row r="65" spans="1:24">
      <c r="B65" s="221" t="s">
        <v>1353</v>
      </c>
      <c r="C65" s="302">
        <v>15</v>
      </c>
      <c r="D65" s="221" t="s">
        <v>1342</v>
      </c>
      <c r="E65" s="302">
        <f>'Categorias de Costos lácteo '!D52</f>
        <v>5464476</v>
      </c>
      <c r="F65" s="221"/>
      <c r="G65" s="221">
        <v>12</v>
      </c>
      <c r="H65" s="222">
        <f>C65*E65*G65</f>
        <v>983605680</v>
      </c>
    </row>
    <row r="66" spans="1:24">
      <c r="B66" s="221" t="s">
        <v>1529</v>
      </c>
      <c r="C66" s="302">
        <v>10</v>
      </c>
      <c r="D66" s="221" t="s">
        <v>1352</v>
      </c>
      <c r="E66" s="302">
        <f>'Categorias de Costos lácteo '!G52+'Categorias de Costos lácteo '!C82</f>
        <v>2098191.5</v>
      </c>
      <c r="F66" s="221"/>
      <c r="G66" s="221"/>
      <c r="H66" s="222">
        <f>C66*E66</f>
        <v>20981915</v>
      </c>
    </row>
    <row r="67" spans="1:24">
      <c r="B67" s="221" t="s">
        <v>1530</v>
      </c>
      <c r="C67" s="302"/>
      <c r="D67" s="221"/>
      <c r="E67" s="302"/>
      <c r="F67" s="221"/>
      <c r="G67" s="221"/>
      <c r="H67" s="222" t="s">
        <v>1331</v>
      </c>
    </row>
    <row r="68" spans="1:24">
      <c r="B68" s="225" t="s">
        <v>1531</v>
      </c>
      <c r="C68" s="226"/>
      <c r="D68" s="226"/>
      <c r="E68" s="227"/>
      <c r="F68" s="227"/>
      <c r="G68" s="226"/>
      <c r="H68" s="228">
        <f>SUM(H48:H67)-H60-H61</f>
        <v>7342887595</v>
      </c>
    </row>
    <row r="69" spans="1:24">
      <c r="B69" s="225" t="s">
        <v>1532</v>
      </c>
      <c r="C69" s="226"/>
      <c r="D69" s="226"/>
      <c r="E69" s="227"/>
      <c r="F69" s="227"/>
      <c r="G69" s="226"/>
      <c r="H69" s="228">
        <f>SUM(H48:H67)-H62</f>
        <v>3963947595</v>
      </c>
    </row>
    <row r="70" spans="1:24">
      <c r="B70" s="242" t="s">
        <v>1533</v>
      </c>
      <c r="C70" s="243"/>
      <c r="D70" s="243"/>
      <c r="E70" s="244"/>
      <c r="F70" s="244"/>
      <c r="G70" s="243"/>
      <c r="H70" s="245">
        <f>SUM(H48:H67)-H60-H61-H62</f>
        <v>2160887595</v>
      </c>
    </row>
    <row r="71" spans="1:24" s="205" customFormat="1" ht="111" customHeight="1">
      <c r="B71" s="229" t="s">
        <v>1541</v>
      </c>
      <c r="C71" s="215"/>
      <c r="E71" s="217"/>
      <c r="F71" s="217"/>
      <c r="H71" s="217"/>
      <c r="I71"/>
    </row>
    <row r="73" spans="1:24">
      <c r="B73" s="686" t="str">
        <f>B10</f>
        <v>10.3. Promoción y fortalecimiento de la integración horizontal entre procesadores de leche.</v>
      </c>
      <c r="C73" s="687"/>
      <c r="D73" s="687"/>
      <c r="E73" s="687"/>
      <c r="F73" s="687"/>
      <c r="G73" s="687"/>
      <c r="H73" s="687"/>
    </row>
    <row r="74" spans="1:24" s="205" customFormat="1" ht="14.45" customHeight="1">
      <c r="B74" s="688"/>
      <c r="C74" s="688"/>
      <c r="D74" s="688"/>
      <c r="E74" s="688"/>
      <c r="F74" s="688"/>
      <c r="G74" s="688"/>
      <c r="H74" s="688"/>
      <c r="W74" s="217"/>
    </row>
    <row r="75" spans="1:24">
      <c r="B75" s="218" t="s">
        <v>1338</v>
      </c>
      <c r="C75" s="218" t="s">
        <v>522</v>
      </c>
      <c r="D75" s="218" t="s">
        <v>263</v>
      </c>
      <c r="E75" s="218" t="s">
        <v>262</v>
      </c>
      <c r="F75" s="219" t="s">
        <v>1339</v>
      </c>
      <c r="G75" s="218" t="s">
        <v>711</v>
      </c>
      <c r="H75" s="218" t="s">
        <v>1340</v>
      </c>
      <c r="X75" s="220"/>
    </row>
    <row r="76" spans="1:24" s="205" customFormat="1" ht="14.45" customHeight="1">
      <c r="B76" s="221" t="s">
        <v>1359</v>
      </c>
      <c r="C76" s="221">
        <v>12</v>
      </c>
      <c r="D76" s="221" t="s">
        <v>1342</v>
      </c>
      <c r="E76" s="222">
        <f>'Categorias de Costos lácteo '!C125</f>
        <v>1000000</v>
      </c>
      <c r="F76" s="224"/>
      <c r="G76" s="221"/>
      <c r="H76" s="222">
        <f>+C76*E76</f>
        <v>12000000</v>
      </c>
      <c r="W76" s="217"/>
    </row>
    <row r="77" spans="1:24" s="205" customFormat="1" ht="14.45" customHeight="1">
      <c r="B77" s="221" t="s">
        <v>1343</v>
      </c>
      <c r="C77" s="221">
        <v>12</v>
      </c>
      <c r="D77" s="221" t="s">
        <v>1342</v>
      </c>
      <c r="E77" s="222">
        <f>'Categorias de Costos lácteo '!C133</f>
        <v>100000</v>
      </c>
      <c r="F77" s="224"/>
      <c r="G77" s="221"/>
      <c r="H77" s="222">
        <f t="shared" ref="H77:H86" si="9">+C77*E77</f>
        <v>1200000</v>
      </c>
      <c r="W77" s="217"/>
    </row>
    <row r="78" spans="1:24">
      <c r="A78" s="261"/>
      <c r="B78" s="221" t="s">
        <v>1344</v>
      </c>
      <c r="C78" s="221">
        <v>8</v>
      </c>
      <c r="D78" s="221" t="s">
        <v>1342</v>
      </c>
      <c r="E78" s="222">
        <f>'Categorias de Costos lácteo '!C123</f>
        <v>5000000</v>
      </c>
      <c r="F78" s="224"/>
      <c r="G78" s="221"/>
      <c r="H78" s="222">
        <f t="shared" si="9"/>
        <v>40000000</v>
      </c>
      <c r="X78" s="220"/>
    </row>
    <row r="79" spans="1:24" ht="14.45" customHeight="1">
      <c r="A79" s="261"/>
      <c r="B79" s="221" t="s">
        <v>1345</v>
      </c>
      <c r="C79" s="221">
        <v>30</v>
      </c>
      <c r="D79" s="221" t="s">
        <v>1342</v>
      </c>
      <c r="E79" s="222">
        <f>'Categorias de Costos lácteo '!C124</f>
        <v>5700000</v>
      </c>
      <c r="F79" s="222"/>
      <c r="G79" s="221"/>
      <c r="H79" s="222">
        <f t="shared" si="9"/>
        <v>171000000</v>
      </c>
    </row>
    <row r="80" spans="1:24" ht="14.45" customHeight="1">
      <c r="B80" s="221" t="s">
        <v>1414</v>
      </c>
      <c r="C80" s="221">
        <v>30</v>
      </c>
      <c r="D80" s="221" t="s">
        <v>1342</v>
      </c>
      <c r="E80" s="222">
        <f>'Categorias de Costos lácteo '!C134</f>
        <v>570000</v>
      </c>
      <c r="F80" s="222"/>
      <c r="G80" s="221"/>
      <c r="H80" s="222">
        <f t="shared" si="9"/>
        <v>17100000</v>
      </c>
    </row>
    <row r="81" spans="2:9">
      <c r="B81" s="221" t="s">
        <v>532</v>
      </c>
      <c r="C81" s="221">
        <v>1</v>
      </c>
      <c r="D81" s="221" t="s">
        <v>1342</v>
      </c>
      <c r="E81" s="222">
        <v>20000000</v>
      </c>
      <c r="F81" s="224"/>
      <c r="G81" s="221"/>
      <c r="H81" s="222">
        <f t="shared" si="9"/>
        <v>20000000</v>
      </c>
    </row>
    <row r="82" spans="2:9">
      <c r="B82" s="221" t="s">
        <v>1499</v>
      </c>
      <c r="C82" s="221">
        <v>1</v>
      </c>
      <c r="D82" s="221" t="s">
        <v>1521</v>
      </c>
      <c r="E82" s="222">
        <f>'Categorias de Costos lácteo '!D275</f>
        <v>9000000</v>
      </c>
      <c r="F82" s="224"/>
      <c r="G82" s="221"/>
      <c r="H82" s="222">
        <f t="shared" si="9"/>
        <v>9000000</v>
      </c>
    </row>
    <row r="83" spans="2:9">
      <c r="B83" s="247" t="s">
        <v>1408</v>
      </c>
      <c r="C83" s="221">
        <v>20</v>
      </c>
      <c r="D83" s="221" t="s">
        <v>1381</v>
      </c>
      <c r="E83" s="222">
        <f>'Categorias de Costos lácteo '!D276</f>
        <v>1500000</v>
      </c>
      <c r="F83" s="221"/>
      <c r="G83" s="221"/>
      <c r="H83" s="222">
        <f t="shared" si="9"/>
        <v>30000000</v>
      </c>
    </row>
    <row r="84" spans="2:9">
      <c r="B84" s="247" t="s">
        <v>1409</v>
      </c>
      <c r="C84" s="221">
        <v>20</v>
      </c>
      <c r="D84" s="221" t="s">
        <v>1381</v>
      </c>
      <c r="E84" s="222">
        <f>'Categorias de Costos lácteo '!D280</f>
        <v>150000</v>
      </c>
      <c r="F84" s="221"/>
      <c r="G84" s="221"/>
      <c r="H84" s="222">
        <f t="shared" si="9"/>
        <v>3000000</v>
      </c>
    </row>
    <row r="85" spans="2:9">
      <c r="B85" s="247" t="s">
        <v>1522</v>
      </c>
      <c r="C85" s="221">
        <v>10</v>
      </c>
      <c r="D85" s="221" t="s">
        <v>1381</v>
      </c>
      <c r="E85" s="222">
        <f>'Categorias de Costos lácteo '!D277</f>
        <v>3000000</v>
      </c>
      <c r="F85" s="221"/>
      <c r="G85" s="221"/>
      <c r="H85" s="222">
        <f t="shared" si="9"/>
        <v>30000000</v>
      </c>
    </row>
    <row r="86" spans="2:9">
      <c r="B86" s="247" t="s">
        <v>1523</v>
      </c>
      <c r="C86" s="221">
        <v>10</v>
      </c>
      <c r="D86" s="221" t="s">
        <v>1381</v>
      </c>
      <c r="E86" s="222">
        <f>'Categorias de Costos lácteo '!D281</f>
        <v>300000</v>
      </c>
      <c r="F86" s="221"/>
      <c r="G86" s="221"/>
      <c r="H86" s="222">
        <f t="shared" si="9"/>
        <v>3000000</v>
      </c>
    </row>
    <row r="87" spans="2:9" s="205" customFormat="1">
      <c r="B87" s="221" t="s">
        <v>1542</v>
      </c>
      <c r="C87" s="221">
        <v>3</v>
      </c>
      <c r="D87" s="221" t="s">
        <v>1342</v>
      </c>
      <c r="E87" s="241">
        <f>'Categorias de Costos lácteo '!H521</f>
        <v>50047673.360000007</v>
      </c>
      <c r="F87" s="221"/>
      <c r="G87" s="221"/>
      <c r="H87" s="303">
        <f>C87*E87</f>
        <v>150143020.08000001</v>
      </c>
      <c r="I87"/>
    </row>
    <row r="88" spans="2:9">
      <c r="B88" s="221" t="s">
        <v>1353</v>
      </c>
      <c r="C88" s="302">
        <v>15</v>
      </c>
      <c r="D88" s="221" t="s">
        <v>1342</v>
      </c>
      <c r="E88" s="302">
        <f>'Categorias de Costos lácteo '!D52</f>
        <v>5464476</v>
      </c>
      <c r="F88" s="221"/>
      <c r="G88" s="221">
        <v>12</v>
      </c>
      <c r="H88" s="222">
        <f>C88*E88*G88</f>
        <v>983605680</v>
      </c>
    </row>
    <row r="89" spans="2:9">
      <c r="B89" s="221" t="s">
        <v>1529</v>
      </c>
      <c r="C89" s="302">
        <v>10</v>
      </c>
      <c r="D89" s="221" t="s">
        <v>1352</v>
      </c>
      <c r="E89" s="302">
        <f>('Categorias de Costos lácteo '!C82)+('Categorias de Costos lácteo '!E52*3)</f>
        <v>1941307</v>
      </c>
      <c r="F89" s="221"/>
      <c r="G89" s="221"/>
      <c r="H89" s="222">
        <f>C89*E89</f>
        <v>19413070</v>
      </c>
    </row>
    <row r="90" spans="2:9">
      <c r="B90" s="221" t="s">
        <v>1500</v>
      </c>
      <c r="C90" s="302"/>
      <c r="D90" s="221"/>
      <c r="E90" s="302"/>
      <c r="F90" s="221"/>
      <c r="G90" s="221"/>
      <c r="H90" s="222" t="s">
        <v>1331</v>
      </c>
    </row>
    <row r="91" spans="2:9">
      <c r="B91" s="225" t="s">
        <v>46</v>
      </c>
      <c r="C91" s="226"/>
      <c r="D91" s="226"/>
      <c r="E91" s="227"/>
      <c r="F91" s="227"/>
      <c r="G91" s="226"/>
      <c r="H91" s="228">
        <f>SUM(H76:H90)</f>
        <v>1489461770.0799999</v>
      </c>
    </row>
    <row r="92" spans="2:9" s="205" customFormat="1" ht="128.44999999999999" customHeight="1">
      <c r="B92" s="229" t="s">
        <v>1543</v>
      </c>
      <c r="C92" s="215"/>
      <c r="E92" s="217"/>
      <c r="F92" s="217"/>
      <c r="H92" s="217"/>
      <c r="I92"/>
    </row>
  </sheetData>
  <mergeCells count="3">
    <mergeCell ref="B14:H15"/>
    <mergeCell ref="B45:H46"/>
    <mergeCell ref="B73:H74"/>
  </mergeCells>
  <pageMargins left="0.7" right="0.7" top="0.75" bottom="0.75" header="0.3" footer="0.3"/>
  <ignoredErrors>
    <ignoredError sqref="H88"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0"/>
  <sheetViews>
    <sheetView windowProtection="1" showGridLines="0" zoomScale="69" zoomScaleNormal="69" workbookViewId="0">
      <selection activeCell="H78" sqref="H78"/>
    </sheetView>
  </sheetViews>
  <sheetFormatPr baseColWidth="10" defaultColWidth="11.42578125" defaultRowHeight="15"/>
  <cols>
    <col min="1" max="1" width="13.42578125" customWidth="1"/>
    <col min="2" max="2" width="57.42578125" customWidth="1"/>
    <col min="3" max="3" width="19" bestFit="1" customWidth="1"/>
    <col min="4" max="26" width="24.28515625" customWidth="1"/>
  </cols>
  <sheetData>
    <row r="2" spans="1:26" ht="15.75">
      <c r="A2" s="203" t="s">
        <v>1334</v>
      </c>
    </row>
    <row r="3" spans="1:26" s="205" customFormat="1">
      <c r="A3" s="204"/>
    </row>
    <row r="4" spans="1:26" ht="15.75">
      <c r="A4" s="264" t="s">
        <v>1335</v>
      </c>
      <c r="B4" s="373" t="s">
        <v>1096</v>
      </c>
      <c r="C4" s="207"/>
    </row>
    <row r="5" spans="1:26" ht="26.1" customHeight="1"/>
    <row r="6" spans="1:26">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6" s="210" customFormat="1">
      <c r="A7"/>
      <c r="B7" s="209" t="s">
        <v>1336</v>
      </c>
      <c r="C7" s="209" t="s">
        <v>42</v>
      </c>
      <c r="D7" s="265">
        <f t="shared" ref="D7:W7" si="0">SUM(D8:D10)</f>
        <v>0</v>
      </c>
      <c r="E7" s="265">
        <f t="shared" si="0"/>
        <v>0</v>
      </c>
      <c r="F7" s="265">
        <f t="shared" si="0"/>
        <v>2648660505</v>
      </c>
      <c r="G7" s="265">
        <f t="shared" si="0"/>
        <v>17449750547.099998</v>
      </c>
      <c r="H7" s="265">
        <f t="shared" si="0"/>
        <v>17689750547.099998</v>
      </c>
      <c r="I7" s="265">
        <f t="shared" si="0"/>
        <v>17941750547.099998</v>
      </c>
      <c r="J7" s="265">
        <f t="shared" si="0"/>
        <v>14246621807.1</v>
      </c>
      <c r="K7" s="265">
        <f t="shared" si="0"/>
        <v>14524451807.1</v>
      </c>
      <c r="L7" s="265">
        <f t="shared" si="0"/>
        <v>17464833812.099998</v>
      </c>
      <c r="M7" s="265">
        <f t="shared" si="0"/>
        <v>15122480882.1</v>
      </c>
      <c r="N7" s="265">
        <f t="shared" si="0"/>
        <v>16755172070.85</v>
      </c>
      <c r="O7" s="265">
        <f t="shared" si="0"/>
        <v>18430468442.287498</v>
      </c>
      <c r="P7" s="265">
        <f t="shared" si="0"/>
        <v>16136397243.796875</v>
      </c>
      <c r="Q7" s="265">
        <f t="shared" si="0"/>
        <v>16508716015.631718</v>
      </c>
      <c r="R7" s="265">
        <f t="shared" si="0"/>
        <v>19548311231.058304</v>
      </c>
      <c r="S7" s="265">
        <f t="shared" si="0"/>
        <v>18621200407.006218</v>
      </c>
      <c r="T7" s="265">
        <f t="shared" si="0"/>
        <v>17741137690.251534</v>
      </c>
      <c r="U7" s="265">
        <f t="shared" si="0"/>
        <v>20842353989.409111</v>
      </c>
      <c r="V7" s="265">
        <f t="shared" si="0"/>
        <v>18668877068.274567</v>
      </c>
      <c r="W7" s="265">
        <f t="shared" si="0"/>
        <v>19167819831.33329</v>
      </c>
      <c r="X7" s="265">
        <f>SUM(X8:X10)</f>
        <v>23651438472.544956</v>
      </c>
      <c r="Y7" s="265">
        <f>SUM(D7:X7)</f>
        <v>323160192917.14417</v>
      </c>
    </row>
    <row r="8" spans="1:26" s="214" customFormat="1" ht="45">
      <c r="A8" s="205"/>
      <c r="B8" s="374" t="s">
        <v>1097</v>
      </c>
      <c r="C8" s="375" t="s">
        <v>1544</v>
      </c>
      <c r="D8" s="376"/>
      <c r="E8" s="377"/>
      <c r="F8" s="378">
        <f>+H35</f>
        <v>2648660505</v>
      </c>
      <c r="G8" s="379">
        <f>+F8</f>
        <v>2648660505</v>
      </c>
      <c r="H8" s="379">
        <f>+G8</f>
        <v>2648660505</v>
      </c>
      <c r="I8" s="379">
        <f>H8</f>
        <v>2648660505</v>
      </c>
      <c r="J8" s="379"/>
      <c r="K8" s="379"/>
      <c r="L8" s="379">
        <f>I8</f>
        <v>2648660505</v>
      </c>
      <c r="M8" s="379"/>
      <c r="N8" s="379"/>
      <c r="O8" s="380">
        <f>L8</f>
        <v>2648660505</v>
      </c>
      <c r="P8" s="380"/>
      <c r="Q8" s="380"/>
      <c r="R8" s="380">
        <f>O8</f>
        <v>2648660505</v>
      </c>
      <c r="S8" s="380"/>
      <c r="T8" s="380"/>
      <c r="U8" s="380">
        <f>R8</f>
        <v>2648660505</v>
      </c>
      <c r="V8" s="380"/>
      <c r="W8" s="380"/>
      <c r="X8" s="380">
        <f>U8</f>
        <v>2648660505</v>
      </c>
      <c r="Y8" s="380">
        <f>SUM(D8:X8)</f>
        <v>23837944545</v>
      </c>
    </row>
    <row r="9" spans="1:26" s="269" customFormat="1" ht="90">
      <c r="A9"/>
      <c r="B9" s="374" t="s">
        <v>1109</v>
      </c>
      <c r="C9" s="267" t="s">
        <v>1545</v>
      </c>
      <c r="D9" s="376"/>
      <c r="E9" s="381"/>
      <c r="F9" s="382"/>
      <c r="G9" s="383">
        <f>H49</f>
        <v>1311068235</v>
      </c>
      <c r="H9" s="383">
        <f>H49</f>
        <v>1311068235</v>
      </c>
      <c r="I9" s="383">
        <f>H49</f>
        <v>1311068235</v>
      </c>
      <c r="J9" s="383"/>
      <c r="K9" s="383"/>
      <c r="L9" s="383"/>
      <c r="M9" s="383"/>
      <c r="N9" s="383">
        <f>+I9</f>
        <v>1311068235</v>
      </c>
      <c r="O9" s="384"/>
      <c r="P9" s="384"/>
      <c r="Q9" s="384"/>
      <c r="R9" s="384"/>
      <c r="S9" s="383">
        <f>+N9</f>
        <v>1311068235</v>
      </c>
      <c r="T9" s="383"/>
      <c r="U9" s="384"/>
      <c r="V9" s="384"/>
      <c r="W9" s="384"/>
      <c r="X9" s="384">
        <f>+S9</f>
        <v>1311068235</v>
      </c>
      <c r="Y9" s="384">
        <f>SUM(D9:X9)</f>
        <v>7866409410</v>
      </c>
    </row>
    <row r="10" spans="1:26" s="269" customFormat="1" ht="60">
      <c r="A10"/>
      <c r="B10" s="374" t="s">
        <v>1119</v>
      </c>
      <c r="C10" s="267" t="s">
        <v>1546</v>
      </c>
      <c r="D10" s="376"/>
      <c r="E10" s="381"/>
      <c r="F10" s="382"/>
      <c r="G10" s="383">
        <f>H77</f>
        <v>13490021807.1</v>
      </c>
      <c r="H10" s="383">
        <f t="shared" ref="H10:X10" si="1">I77</f>
        <v>13730021807.1</v>
      </c>
      <c r="I10" s="383">
        <f t="shared" si="1"/>
        <v>13982021807.1</v>
      </c>
      <c r="J10" s="383">
        <f t="shared" si="1"/>
        <v>14246621807.1</v>
      </c>
      <c r="K10" s="383">
        <f t="shared" si="1"/>
        <v>14524451807.1</v>
      </c>
      <c r="L10" s="383">
        <f t="shared" si="1"/>
        <v>14816173307.1</v>
      </c>
      <c r="M10" s="383">
        <f t="shared" si="1"/>
        <v>15122480882.1</v>
      </c>
      <c r="N10" s="383">
        <f t="shared" si="1"/>
        <v>15444103835.85</v>
      </c>
      <c r="O10" s="383">
        <f t="shared" si="1"/>
        <v>15781807937.2875</v>
      </c>
      <c r="P10" s="383">
        <f t="shared" si="1"/>
        <v>16136397243.796875</v>
      </c>
      <c r="Q10" s="383">
        <f t="shared" si="1"/>
        <v>16508716015.631718</v>
      </c>
      <c r="R10" s="383">
        <f t="shared" si="1"/>
        <v>16899650726.058304</v>
      </c>
      <c r="S10" s="383">
        <f t="shared" si="1"/>
        <v>17310132172.006218</v>
      </c>
      <c r="T10" s="383">
        <f t="shared" si="1"/>
        <v>17741137690.251534</v>
      </c>
      <c r="U10" s="383">
        <f t="shared" si="1"/>
        <v>18193693484.409111</v>
      </c>
      <c r="V10" s="383">
        <f t="shared" si="1"/>
        <v>18668877068.274567</v>
      </c>
      <c r="W10" s="383">
        <f t="shared" si="1"/>
        <v>19167819831.33329</v>
      </c>
      <c r="X10" s="383">
        <f t="shared" si="1"/>
        <v>19691709732.544956</v>
      </c>
      <c r="Y10" s="384">
        <f>SUM(D10:X10)</f>
        <v>291455838962.1441</v>
      </c>
    </row>
    <row r="11" spans="1:26" s="269" customFormat="1">
      <c r="A11"/>
      <c r="B11" s="209"/>
      <c r="C11" s="209"/>
      <c r="D11" s="265">
        <f>SUM(D12:D33)</f>
        <v>0</v>
      </c>
      <c r="E11" s="265">
        <f t="shared" ref="E11:X11" si="2">SUM(E8:E10)</f>
        <v>0</v>
      </c>
      <c r="F11" s="265">
        <f t="shared" si="2"/>
        <v>2648660505</v>
      </c>
      <c r="G11" s="265">
        <f t="shared" si="2"/>
        <v>17449750547.099998</v>
      </c>
      <c r="H11" s="265">
        <f t="shared" si="2"/>
        <v>17689750547.099998</v>
      </c>
      <c r="I11" s="265">
        <f t="shared" si="2"/>
        <v>17941750547.099998</v>
      </c>
      <c r="J11" s="265">
        <f t="shared" si="2"/>
        <v>14246621807.1</v>
      </c>
      <c r="K11" s="265">
        <f t="shared" si="2"/>
        <v>14524451807.1</v>
      </c>
      <c r="L11" s="265">
        <f t="shared" si="2"/>
        <v>17464833812.099998</v>
      </c>
      <c r="M11" s="265">
        <f t="shared" si="2"/>
        <v>15122480882.1</v>
      </c>
      <c r="N11" s="265">
        <f t="shared" si="2"/>
        <v>16755172070.85</v>
      </c>
      <c r="O11" s="265">
        <f t="shared" si="2"/>
        <v>18430468442.287498</v>
      </c>
      <c r="P11" s="265">
        <f t="shared" si="2"/>
        <v>16136397243.796875</v>
      </c>
      <c r="Q11" s="265">
        <f t="shared" si="2"/>
        <v>16508716015.631718</v>
      </c>
      <c r="R11" s="265">
        <f t="shared" si="2"/>
        <v>19548311231.058304</v>
      </c>
      <c r="S11" s="265">
        <f t="shared" si="2"/>
        <v>18621200407.006218</v>
      </c>
      <c r="T11" s="265">
        <f t="shared" si="2"/>
        <v>17741137690.251534</v>
      </c>
      <c r="U11" s="265">
        <f t="shared" si="2"/>
        <v>20842353989.409111</v>
      </c>
      <c r="V11" s="265">
        <f t="shared" si="2"/>
        <v>18668877068.274567</v>
      </c>
      <c r="W11" s="265">
        <f t="shared" si="2"/>
        <v>19167819831.33329</v>
      </c>
      <c r="X11" s="265">
        <f t="shared" si="2"/>
        <v>23651438472.544956</v>
      </c>
      <c r="Y11" s="265">
        <f>SUM(Y8:Y10)</f>
        <v>323160192917.1441</v>
      </c>
    </row>
    <row r="12" spans="1:26" s="269" customFormat="1" ht="19.5" customHeight="1">
      <c r="A12"/>
      <c r="B12" s="385"/>
      <c r="C12" s="385"/>
      <c r="D12" s="386"/>
      <c r="E12" s="386"/>
      <c r="F12" s="386"/>
      <c r="G12" s="386"/>
      <c r="H12" s="386"/>
      <c r="I12" s="386"/>
      <c r="J12" s="386"/>
      <c r="K12" s="386"/>
      <c r="L12" s="386"/>
      <c r="M12" s="386"/>
      <c r="N12" s="386"/>
      <c r="O12" s="386"/>
      <c r="P12" s="386"/>
      <c r="Q12" s="386"/>
      <c r="R12" s="386"/>
      <c r="S12" s="386"/>
      <c r="T12" s="386"/>
      <c r="U12" s="386"/>
      <c r="V12" s="386"/>
      <c r="W12" s="386"/>
      <c r="Y12" s="385"/>
      <c r="Z12" s="385"/>
    </row>
    <row r="13" spans="1:26">
      <c r="W13" s="387"/>
    </row>
    <row r="14" spans="1:26" ht="14.45" customHeight="1">
      <c r="B14" s="692" t="str">
        <f>+B8</f>
        <v xml:space="preserve">11.1. Diseño e implementación de instrumentos de comercialización específicos para la cadena láctea.
</v>
      </c>
      <c r="C14" s="693"/>
      <c r="D14" s="693"/>
      <c r="E14" s="693"/>
      <c r="F14" s="693"/>
      <c r="G14" s="693"/>
      <c r="H14" s="693"/>
    </row>
    <row r="15" spans="1:26">
      <c r="B15" s="688"/>
      <c r="C15" s="688"/>
      <c r="D15" s="688"/>
      <c r="E15" s="688"/>
      <c r="F15" s="688"/>
      <c r="G15" s="688"/>
      <c r="H15" s="688"/>
    </row>
    <row r="16" spans="1:26">
      <c r="B16" s="218" t="s">
        <v>1338</v>
      </c>
      <c r="C16" s="218" t="s">
        <v>522</v>
      </c>
      <c r="D16" s="218" t="s">
        <v>263</v>
      </c>
      <c r="E16" s="218" t="s">
        <v>262</v>
      </c>
      <c r="F16" s="219" t="s">
        <v>1339</v>
      </c>
      <c r="G16" s="218" t="s">
        <v>711</v>
      </c>
      <c r="H16" s="218" t="s">
        <v>1340</v>
      </c>
    </row>
    <row r="17" spans="2:8">
      <c r="B17" s="221" t="s">
        <v>1547</v>
      </c>
      <c r="C17" s="221"/>
      <c r="D17" s="221"/>
      <c r="E17" s="222"/>
      <c r="F17" s="221"/>
      <c r="G17" s="221"/>
      <c r="H17" s="222" t="s">
        <v>1331</v>
      </c>
    </row>
    <row r="18" spans="2:8">
      <c r="B18" s="221" t="s">
        <v>1359</v>
      </c>
      <c r="C18" s="221">
        <v>30</v>
      </c>
      <c r="D18" s="221" t="s">
        <v>1342</v>
      </c>
      <c r="E18" s="222">
        <f>+'Categorias de Costos lácteo '!C143</f>
        <v>1000000</v>
      </c>
      <c r="F18" s="224"/>
      <c r="G18" s="221"/>
      <c r="H18" s="222">
        <f>+C18*E18</f>
        <v>30000000</v>
      </c>
    </row>
    <row r="19" spans="2:8">
      <c r="B19" s="221" t="s">
        <v>1343</v>
      </c>
      <c r="C19" s="221">
        <v>30</v>
      </c>
      <c r="D19" s="221" t="s">
        <v>1342</v>
      </c>
      <c r="E19" s="222">
        <f>+'Categorias de Costos lácteo '!C133</f>
        <v>100000</v>
      </c>
      <c r="F19" s="224"/>
      <c r="G19" s="221"/>
      <c r="H19" s="222">
        <f t="shared" ref="H19:H31" si="3">+C19*E19</f>
        <v>3000000</v>
      </c>
    </row>
    <row r="20" spans="2:8">
      <c r="B20" s="221" t="s">
        <v>1344</v>
      </c>
      <c r="C20" s="221">
        <v>8</v>
      </c>
      <c r="D20" s="221" t="s">
        <v>1342</v>
      </c>
      <c r="E20" s="222">
        <f>+'Categorias de Costos lácteo '!C123</f>
        <v>5000000</v>
      </c>
      <c r="F20" s="224"/>
      <c r="G20" s="221"/>
      <c r="H20" s="222">
        <f t="shared" si="3"/>
        <v>40000000</v>
      </c>
    </row>
    <row r="21" spans="2:8">
      <c r="B21" s="221" t="s">
        <v>1345</v>
      </c>
      <c r="C21" s="221">
        <v>60</v>
      </c>
      <c r="D21" s="221" t="s">
        <v>1342</v>
      </c>
      <c r="E21" s="222">
        <f>+'Categorias de Costos lácteo '!C124</f>
        <v>5700000</v>
      </c>
      <c r="F21" s="222"/>
      <c r="G21" s="221"/>
      <c r="H21" s="222">
        <f t="shared" si="3"/>
        <v>342000000</v>
      </c>
    </row>
    <row r="22" spans="2:8">
      <c r="B22" s="221" t="s">
        <v>1414</v>
      </c>
      <c r="C22" s="221">
        <v>30</v>
      </c>
      <c r="D22" s="221" t="s">
        <v>1342</v>
      </c>
      <c r="E22" s="222">
        <f>+'Categorias de Costos lácteo '!C134</f>
        <v>570000</v>
      </c>
      <c r="F22" s="222"/>
      <c r="G22" s="221"/>
      <c r="H22" s="222">
        <f t="shared" si="3"/>
        <v>17100000</v>
      </c>
    </row>
    <row r="23" spans="2:8">
      <c r="B23" s="221" t="s">
        <v>532</v>
      </c>
      <c r="C23" s="221">
        <v>1</v>
      </c>
      <c r="D23" s="221" t="s">
        <v>1342</v>
      </c>
      <c r="E23" s="222">
        <v>20000000</v>
      </c>
      <c r="F23" s="224"/>
      <c r="G23" s="221"/>
      <c r="H23" s="222">
        <f t="shared" si="3"/>
        <v>20000000</v>
      </c>
    </row>
    <row r="24" spans="2:8">
      <c r="B24" s="221" t="s">
        <v>1499</v>
      </c>
      <c r="C24" s="221">
        <v>10</v>
      </c>
      <c r="D24" s="221" t="s">
        <v>1521</v>
      </c>
      <c r="E24" s="222">
        <f>+'Categorias de Costos lácteo '!D275</f>
        <v>9000000</v>
      </c>
      <c r="F24" s="224"/>
      <c r="G24" s="221"/>
      <c r="H24" s="222">
        <f t="shared" si="3"/>
        <v>90000000</v>
      </c>
    </row>
    <row r="25" spans="2:8">
      <c r="B25" s="247" t="s">
        <v>1408</v>
      </c>
      <c r="C25" s="221">
        <v>20</v>
      </c>
      <c r="D25" s="221" t="s">
        <v>1381</v>
      </c>
      <c r="E25" s="222">
        <f>+'Categorias de Costos lácteo '!D276</f>
        <v>1500000</v>
      </c>
      <c r="F25" s="221"/>
      <c r="G25" s="221"/>
      <c r="H25" s="222">
        <f t="shared" si="3"/>
        <v>30000000</v>
      </c>
    </row>
    <row r="26" spans="2:8">
      <c r="B26" s="247" t="s">
        <v>1409</v>
      </c>
      <c r="C26" s="221">
        <v>20</v>
      </c>
      <c r="D26" s="221" t="s">
        <v>1381</v>
      </c>
      <c r="E26" s="222">
        <f>+'Categorias de Costos lácteo '!D280</f>
        <v>150000</v>
      </c>
      <c r="F26" s="221"/>
      <c r="G26" s="221"/>
      <c r="H26" s="222">
        <f t="shared" si="3"/>
        <v>3000000</v>
      </c>
    </row>
    <row r="27" spans="2:8">
      <c r="B27" s="247" t="s">
        <v>1522</v>
      </c>
      <c r="C27" s="221">
        <v>10</v>
      </c>
      <c r="D27" s="221" t="s">
        <v>1381</v>
      </c>
      <c r="E27" s="222">
        <f>+'Categorias de Costos lácteo '!D277</f>
        <v>3000000</v>
      </c>
      <c r="F27" s="221"/>
      <c r="G27" s="221"/>
      <c r="H27" s="222">
        <f t="shared" si="3"/>
        <v>30000000</v>
      </c>
    </row>
    <row r="28" spans="2:8">
      <c r="B28" s="247" t="s">
        <v>1523</v>
      </c>
      <c r="C28" s="221">
        <v>10</v>
      </c>
      <c r="D28" s="221" t="s">
        <v>1381</v>
      </c>
      <c r="E28" s="222">
        <f>+'Categorias de Costos lácteo '!D281</f>
        <v>300000</v>
      </c>
      <c r="F28" s="221"/>
      <c r="G28" s="221"/>
      <c r="H28" s="222">
        <f t="shared" si="3"/>
        <v>3000000</v>
      </c>
    </row>
    <row r="29" spans="2:8">
      <c r="B29" s="258" t="s">
        <v>1524</v>
      </c>
      <c r="C29" s="258">
        <v>10</v>
      </c>
      <c r="D29" s="258" t="s">
        <v>1342</v>
      </c>
      <c r="E29" s="259">
        <f>+'Categorias de Costos lácteo '!C215</f>
        <v>49500000</v>
      </c>
      <c r="F29" s="224"/>
      <c r="G29" s="258"/>
      <c r="H29" s="222">
        <f t="shared" si="3"/>
        <v>495000000</v>
      </c>
    </row>
    <row r="30" spans="2:8">
      <c r="B30" s="232" t="s">
        <v>1463</v>
      </c>
      <c r="C30" s="232">
        <v>10</v>
      </c>
      <c r="D30" s="232" t="s">
        <v>1342</v>
      </c>
      <c r="E30" s="263">
        <f>+'Categorias de Costos lácteo '!C228</f>
        <v>21000000</v>
      </c>
      <c r="F30" s="232"/>
      <c r="G30" s="232"/>
      <c r="H30" s="222">
        <f t="shared" si="3"/>
        <v>210000000</v>
      </c>
    </row>
    <row r="31" spans="2:8">
      <c r="B31" s="232" t="s">
        <v>1464</v>
      </c>
      <c r="C31" s="232">
        <v>10</v>
      </c>
      <c r="D31" s="232" t="s">
        <v>1342</v>
      </c>
      <c r="E31" s="263">
        <f>+'Categorias de Costos lácteo '!C227</f>
        <v>40000000</v>
      </c>
      <c r="F31" s="232"/>
      <c r="G31" s="232"/>
      <c r="H31" s="222">
        <f t="shared" si="3"/>
        <v>400000000</v>
      </c>
    </row>
    <row r="32" spans="2:8">
      <c r="B32" s="221" t="s">
        <v>1353</v>
      </c>
      <c r="C32" s="302">
        <v>10</v>
      </c>
      <c r="D32" s="221" t="s">
        <v>1342</v>
      </c>
      <c r="E32" s="302">
        <f>+'Categorias de Costos lácteo '!D49</f>
        <v>7589549</v>
      </c>
      <c r="F32" s="237">
        <v>1</v>
      </c>
      <c r="G32" s="221">
        <v>12</v>
      </c>
      <c r="H32" s="222">
        <f>C32*E32*G32</f>
        <v>910745880</v>
      </c>
    </row>
    <row r="33" spans="2:9">
      <c r="B33" s="221" t="s">
        <v>1529</v>
      </c>
      <c r="C33" s="302">
        <v>10</v>
      </c>
      <c r="D33" s="221" t="s">
        <v>1519</v>
      </c>
      <c r="E33" s="302">
        <f>+'Categorias de Costos lácteo '!G49+'Categorias de Costos lácteo '!C82</f>
        <v>2481462.5</v>
      </c>
      <c r="F33" s="221"/>
      <c r="G33" s="221"/>
      <c r="H33" s="222">
        <f>C33*E33</f>
        <v>24814625</v>
      </c>
    </row>
    <row r="34" spans="2:9">
      <c r="B34" s="221" t="s">
        <v>1548</v>
      </c>
      <c r="C34" s="302"/>
      <c r="D34" s="221"/>
      <c r="E34" s="302"/>
      <c r="F34" s="221"/>
      <c r="G34" s="221"/>
      <c r="H34" s="222" t="s">
        <v>1331</v>
      </c>
    </row>
    <row r="35" spans="2:9" ht="15.75" customHeight="1">
      <c r="B35" s="225" t="s">
        <v>1549</v>
      </c>
      <c r="C35" s="226"/>
      <c r="D35" s="226"/>
      <c r="E35" s="227"/>
      <c r="F35" s="227"/>
      <c r="G35" s="226"/>
      <c r="H35" s="228">
        <f>SUM(H18:H34)</f>
        <v>2648660505</v>
      </c>
    </row>
    <row r="36" spans="2:9" s="205" customFormat="1" ht="150">
      <c r="B36" s="273" t="s">
        <v>1550</v>
      </c>
      <c r="E36" s="217"/>
      <c r="F36" s="217"/>
      <c r="G36"/>
      <c r="H36"/>
      <c r="I36"/>
    </row>
    <row r="39" spans="2:9" ht="32.450000000000003" customHeight="1">
      <c r="B39" s="694" t="str">
        <f>+B9</f>
        <v xml:space="preserve">
11.2. Identificación y gestión de las necesidades en conectividad, servicios públicos, seguridad y estabilidad jurídica, en las regiones lecheras.
</v>
      </c>
      <c r="C39" s="695"/>
      <c r="D39" s="695"/>
      <c r="E39" s="695"/>
      <c r="F39" s="695"/>
      <c r="G39" s="695"/>
      <c r="H39" s="695"/>
    </row>
    <row r="40" spans="2:9">
      <c r="B40" s="218" t="s">
        <v>1338</v>
      </c>
      <c r="C40" s="218" t="s">
        <v>522</v>
      </c>
      <c r="D40" s="218" t="s">
        <v>263</v>
      </c>
      <c r="E40" s="218" t="s">
        <v>262</v>
      </c>
      <c r="F40" s="219" t="s">
        <v>1339</v>
      </c>
      <c r="G40" s="218" t="s">
        <v>711</v>
      </c>
      <c r="H40" s="218" t="s">
        <v>1340</v>
      </c>
    </row>
    <row r="41" spans="2:9">
      <c r="B41" s="221" t="s">
        <v>1359</v>
      </c>
      <c r="C41" s="221">
        <v>30</v>
      </c>
      <c r="D41" s="221" t="s">
        <v>1342</v>
      </c>
      <c r="E41" s="222">
        <f>+'Categorias de Costos lácteo '!C143</f>
        <v>1000000</v>
      </c>
      <c r="F41" s="224"/>
      <c r="G41" s="221"/>
      <c r="H41" s="222">
        <f>+C41*E41</f>
        <v>30000000</v>
      </c>
    </row>
    <row r="42" spans="2:9">
      <c r="B42" s="221" t="s">
        <v>1343</v>
      </c>
      <c r="C42" s="221">
        <v>60</v>
      </c>
      <c r="D42" s="221" t="s">
        <v>1342</v>
      </c>
      <c r="E42" s="222">
        <f>+'Categorias de Costos lácteo '!C133</f>
        <v>100000</v>
      </c>
      <c r="F42" s="224"/>
      <c r="G42" s="221"/>
      <c r="H42" s="222">
        <f t="shared" ref="H42:H45" si="4">+C42*E42</f>
        <v>6000000</v>
      </c>
    </row>
    <row r="43" spans="2:9">
      <c r="B43" s="221" t="s">
        <v>1344</v>
      </c>
      <c r="C43" s="221">
        <v>8</v>
      </c>
      <c r="D43" s="221" t="s">
        <v>1342</v>
      </c>
      <c r="E43" s="222">
        <f>+'Categorias de Costos lácteo '!C123</f>
        <v>5000000</v>
      </c>
      <c r="F43" s="224"/>
      <c r="G43" s="221"/>
      <c r="H43" s="222">
        <f t="shared" si="4"/>
        <v>40000000</v>
      </c>
    </row>
    <row r="44" spans="2:9">
      <c r="B44" s="221" t="s">
        <v>1345</v>
      </c>
      <c r="C44" s="221">
        <v>60</v>
      </c>
      <c r="D44" s="221" t="s">
        <v>1342</v>
      </c>
      <c r="E44" s="222">
        <f>+'Categorias de Costos lácteo '!C124</f>
        <v>5700000</v>
      </c>
      <c r="F44" s="222"/>
      <c r="G44" s="221"/>
      <c r="H44" s="222">
        <f t="shared" si="4"/>
        <v>342000000</v>
      </c>
    </row>
    <row r="45" spans="2:9">
      <c r="B45" s="221" t="s">
        <v>1414</v>
      </c>
      <c r="C45" s="221">
        <v>60</v>
      </c>
      <c r="D45" s="221" t="s">
        <v>1342</v>
      </c>
      <c r="E45" s="222">
        <f>+'Categorias de Costos lácteo '!C134</f>
        <v>570000</v>
      </c>
      <c r="F45" s="222"/>
      <c r="G45" s="221"/>
      <c r="H45" s="222">
        <f t="shared" si="4"/>
        <v>34200000</v>
      </c>
    </row>
    <row r="46" spans="2:9">
      <c r="B46" s="165" t="s">
        <v>1353</v>
      </c>
      <c r="C46" s="221">
        <v>10</v>
      </c>
      <c r="D46" s="221" t="s">
        <v>1342</v>
      </c>
      <c r="E46" s="222">
        <f>+'Categorias de Costos lácteo '!D50</f>
        <v>6982386</v>
      </c>
      <c r="F46" s="237">
        <v>1</v>
      </c>
      <c r="G46" s="221">
        <v>12</v>
      </c>
      <c r="H46" s="222">
        <f>+E46*C46*F46*G46</f>
        <v>837886320</v>
      </c>
    </row>
    <row r="47" spans="2:9">
      <c r="B47" s="165" t="s">
        <v>1354</v>
      </c>
      <c r="C47" s="221">
        <v>10</v>
      </c>
      <c r="D47" s="221" t="s">
        <v>1519</v>
      </c>
      <c r="E47" s="222">
        <f>+'Categorias de Costos lácteo '!G50+'Categorias de Costos lácteo '!C82</f>
        <v>2098191.5</v>
      </c>
      <c r="F47" s="237"/>
      <c r="G47" s="221"/>
      <c r="H47" s="222">
        <f>C47*E47</f>
        <v>20981915</v>
      </c>
    </row>
    <row r="48" spans="2:9">
      <c r="B48" s="165" t="s">
        <v>1551</v>
      </c>
      <c r="C48" s="221"/>
      <c r="D48" s="221"/>
      <c r="E48" s="222"/>
      <c r="F48" s="237"/>
      <c r="G48" s="221"/>
      <c r="H48" s="222" t="s">
        <v>1331</v>
      </c>
    </row>
    <row r="49" spans="2:9">
      <c r="B49" s="225" t="s">
        <v>46</v>
      </c>
      <c r="C49" s="226"/>
      <c r="D49" s="226"/>
      <c r="E49" s="227"/>
      <c r="F49" s="227"/>
      <c r="G49" s="226"/>
      <c r="H49" s="228">
        <f>SUM(H41:H48)</f>
        <v>1311068235</v>
      </c>
    </row>
    <row r="50" spans="2:9" s="205" customFormat="1" ht="90">
      <c r="B50" s="275" t="s">
        <v>1552</v>
      </c>
      <c r="E50" s="217"/>
      <c r="F50" s="217"/>
      <c r="H50" s="274"/>
    </row>
    <row r="52" spans="2:9" ht="23.1" customHeight="1">
      <c r="B52" s="694" t="str">
        <f>+B10</f>
        <v xml:space="preserve">
11.3. Aumento en la cobertura y el acceso de los instrumentos de financiamiento y de gestión de riesgos en la cadena láctea.
</v>
      </c>
      <c r="C52" s="695"/>
      <c r="D52" s="695"/>
      <c r="E52" s="695"/>
      <c r="F52" s="695"/>
      <c r="G52" s="695"/>
      <c r="H52" s="695"/>
    </row>
    <row r="53" spans="2:9">
      <c r="B53" s="218" t="s">
        <v>1338</v>
      </c>
      <c r="C53" s="218" t="s">
        <v>522</v>
      </c>
      <c r="D53" s="218" t="s">
        <v>263</v>
      </c>
      <c r="E53" s="218" t="s">
        <v>262</v>
      </c>
      <c r="F53" s="218" t="s">
        <v>1339</v>
      </c>
      <c r="G53" s="218" t="s">
        <v>711</v>
      </c>
      <c r="H53" s="218" t="s">
        <v>1340</v>
      </c>
    </row>
    <row r="54" spans="2:9">
      <c r="B54" s="221" t="s">
        <v>1359</v>
      </c>
      <c r="C54" s="221">
        <v>30</v>
      </c>
      <c r="D54" s="221" t="s">
        <v>1342</v>
      </c>
      <c r="E54" s="222">
        <f>+'Categorias de Costos lácteo '!C125</f>
        <v>1000000</v>
      </c>
      <c r="F54" s="224"/>
      <c r="G54" s="221"/>
      <c r="H54" s="222">
        <f>+C54*E54</f>
        <v>30000000</v>
      </c>
    </row>
    <row r="55" spans="2:9">
      <c r="B55" s="221" t="s">
        <v>1343</v>
      </c>
      <c r="C55" s="221">
        <v>30</v>
      </c>
      <c r="D55" s="221" t="s">
        <v>1342</v>
      </c>
      <c r="E55" s="222">
        <f>+'Categorias de Costos lácteo '!C133</f>
        <v>100000</v>
      </c>
      <c r="F55" s="224"/>
      <c r="G55" s="221"/>
      <c r="H55" s="222">
        <f t="shared" ref="H55:H69" si="5">+C55*E55</f>
        <v>3000000</v>
      </c>
    </row>
    <row r="56" spans="2:9">
      <c r="B56" s="221" t="s">
        <v>1553</v>
      </c>
      <c r="C56" s="221">
        <v>4732</v>
      </c>
      <c r="D56" s="221" t="s">
        <v>1342</v>
      </c>
      <c r="E56" s="222">
        <f>+'Categorias de Costos lácteo '!K531</f>
        <v>2600000</v>
      </c>
      <c r="F56" s="224">
        <v>0.2</v>
      </c>
      <c r="G56" s="221"/>
      <c r="H56" s="222">
        <f>+C56*E56*F56</f>
        <v>2460640000</v>
      </c>
    </row>
    <row r="57" spans="2:9">
      <c r="B57" s="221" t="s">
        <v>1554</v>
      </c>
      <c r="C57" s="221">
        <v>1183</v>
      </c>
      <c r="D57" s="221" t="s">
        <v>1342</v>
      </c>
      <c r="E57" s="222">
        <f>+'Categorias de Costos lácteo '!K532</f>
        <v>5200000</v>
      </c>
      <c r="F57" s="224">
        <v>0.1</v>
      </c>
      <c r="G57" s="221"/>
      <c r="H57" s="222">
        <f>+C57*E57*F57</f>
        <v>615160000</v>
      </c>
    </row>
    <row r="58" spans="2:9">
      <c r="B58" s="221" t="s">
        <v>1555</v>
      </c>
      <c r="C58" s="221">
        <v>15</v>
      </c>
      <c r="D58" s="221" t="s">
        <v>1556</v>
      </c>
      <c r="E58" s="222">
        <f>+'Categorias de Costos lácteo '!G539</f>
        <v>8555254.040000001</v>
      </c>
      <c r="F58" s="224"/>
      <c r="G58" s="221"/>
      <c r="H58" s="222">
        <f>+C58*E58</f>
        <v>128328810.60000001</v>
      </c>
    </row>
    <row r="59" spans="2:9">
      <c r="B59" s="221" t="s">
        <v>1557</v>
      </c>
      <c r="C59" s="221">
        <v>10</v>
      </c>
      <c r="D59" s="221" t="s">
        <v>1556</v>
      </c>
      <c r="E59" s="222">
        <f>+'Categorias de Costos lácteo '!G540</f>
        <v>18607396.150000002</v>
      </c>
      <c r="F59" s="224"/>
      <c r="G59" s="221"/>
      <c r="H59" s="222">
        <f>+C59*E59</f>
        <v>186073961.50000003</v>
      </c>
    </row>
    <row r="60" spans="2:9">
      <c r="B60" s="221" t="s">
        <v>1558</v>
      </c>
      <c r="C60" s="241">
        <f>30000*10%</f>
        <v>3000</v>
      </c>
      <c r="D60" s="221" t="s">
        <v>1342</v>
      </c>
      <c r="E60" s="222">
        <f>+'Categorias de Costos lácteo '!C550</f>
        <v>2600000</v>
      </c>
      <c r="F60" s="224">
        <v>0.5</v>
      </c>
      <c r="G60" s="221"/>
      <c r="H60" s="222">
        <f>C60*E60*F60</f>
        <v>3900000000</v>
      </c>
    </row>
    <row r="61" spans="2:9">
      <c r="B61" s="221" t="s">
        <v>1344</v>
      </c>
      <c r="C61" s="221">
        <v>8</v>
      </c>
      <c r="D61" s="221" t="s">
        <v>1342</v>
      </c>
      <c r="E61" s="222">
        <f>+'Categorias de Costos lácteo '!C123</f>
        <v>5000000</v>
      </c>
      <c r="F61" s="224"/>
      <c r="G61" s="221"/>
      <c r="H61" s="222">
        <f t="shared" si="5"/>
        <v>40000000</v>
      </c>
      <c r="I61" s="388"/>
    </row>
    <row r="62" spans="2:9">
      <c r="B62" s="221" t="s">
        <v>1345</v>
      </c>
      <c r="C62" s="221">
        <v>60</v>
      </c>
      <c r="D62" s="221" t="s">
        <v>1342</v>
      </c>
      <c r="E62" s="222">
        <f>+'Categorias de Costos lácteo '!C124</f>
        <v>5700000</v>
      </c>
      <c r="F62" s="222"/>
      <c r="G62" s="221"/>
      <c r="H62" s="222">
        <f t="shared" si="5"/>
        <v>342000000</v>
      </c>
    </row>
    <row r="63" spans="2:9">
      <c r="B63" s="221" t="s">
        <v>1414</v>
      </c>
      <c r="C63" s="221">
        <v>30</v>
      </c>
      <c r="D63" s="221" t="s">
        <v>1342</v>
      </c>
      <c r="E63" s="222">
        <f>+'Categorias de Costos lácteo '!C134</f>
        <v>570000</v>
      </c>
      <c r="F63" s="222"/>
      <c r="G63" s="221"/>
      <c r="H63" s="222">
        <f t="shared" si="5"/>
        <v>17100000</v>
      </c>
    </row>
    <row r="64" spans="2:9">
      <c r="B64" s="221" t="s">
        <v>1499</v>
      </c>
      <c r="C64" s="221">
        <v>10</v>
      </c>
      <c r="D64" s="221" t="s">
        <v>1521</v>
      </c>
      <c r="E64" s="222">
        <f>+'Categorias de Costos lácteo '!D275</f>
        <v>9000000</v>
      </c>
      <c r="F64" s="224"/>
      <c r="G64" s="221"/>
      <c r="H64" s="222">
        <f t="shared" si="5"/>
        <v>90000000</v>
      </c>
    </row>
    <row r="65" spans="2:26">
      <c r="B65" s="247" t="s">
        <v>1408</v>
      </c>
      <c r="C65" s="221">
        <v>20</v>
      </c>
      <c r="D65" s="221" t="s">
        <v>1381</v>
      </c>
      <c r="E65" s="222">
        <f>+'Categorias de Costos lácteo '!D276</f>
        <v>1500000</v>
      </c>
      <c r="F65" s="221"/>
      <c r="G65" s="221"/>
      <c r="H65" s="222">
        <f t="shared" si="5"/>
        <v>30000000</v>
      </c>
    </row>
    <row r="66" spans="2:26">
      <c r="B66" s="247" t="s">
        <v>1409</v>
      </c>
      <c r="C66" s="221">
        <v>20</v>
      </c>
      <c r="D66" s="221" t="s">
        <v>1381</v>
      </c>
      <c r="E66" s="222">
        <f>+'Categorias de Costos lácteo '!D280</f>
        <v>150000</v>
      </c>
      <c r="F66" s="221"/>
      <c r="G66" s="221"/>
      <c r="H66" s="222">
        <f t="shared" si="5"/>
        <v>3000000</v>
      </c>
    </row>
    <row r="67" spans="2:26">
      <c r="B67" s="247" t="s">
        <v>1522</v>
      </c>
      <c r="C67" s="221">
        <v>10</v>
      </c>
      <c r="D67" s="221" t="s">
        <v>1381</v>
      </c>
      <c r="E67" s="222">
        <f>+'Categorias de Costos lácteo '!D277</f>
        <v>3000000</v>
      </c>
      <c r="F67" s="221"/>
      <c r="G67" s="221"/>
      <c r="H67" s="222">
        <f t="shared" si="5"/>
        <v>30000000</v>
      </c>
    </row>
    <row r="68" spans="2:26">
      <c r="B68" s="247" t="s">
        <v>1523</v>
      </c>
      <c r="C68" s="221">
        <v>10</v>
      </c>
      <c r="D68" s="221" t="s">
        <v>1381</v>
      </c>
      <c r="E68" s="222">
        <f>+'Categorias de Costos lácteo '!D281</f>
        <v>300000</v>
      </c>
      <c r="F68" s="221"/>
      <c r="G68" s="221"/>
      <c r="H68" s="222">
        <f t="shared" si="5"/>
        <v>3000000</v>
      </c>
    </row>
    <row r="69" spans="2:26">
      <c r="B69" s="258" t="s">
        <v>559</v>
      </c>
      <c r="C69" s="258">
        <v>10</v>
      </c>
      <c r="D69" s="258" t="s">
        <v>1342</v>
      </c>
      <c r="E69" s="259">
        <f>+'Categorias de Costos lácteo '!C221</f>
        <v>13500000</v>
      </c>
      <c r="F69" s="224"/>
      <c r="G69" s="258"/>
      <c r="H69" s="222">
        <f t="shared" si="5"/>
        <v>135000000</v>
      </c>
    </row>
    <row r="70" spans="2:26">
      <c r="B70" s="221" t="s">
        <v>1353</v>
      </c>
      <c r="C70" s="302">
        <v>10</v>
      </c>
      <c r="D70" s="221" t="s">
        <v>1342</v>
      </c>
      <c r="E70" s="302">
        <f>'Categorias de Costos lácteo '!D20</f>
        <v>5464476</v>
      </c>
      <c r="F70" s="237">
        <v>1</v>
      </c>
      <c r="G70" s="221">
        <v>12</v>
      </c>
      <c r="H70" s="222">
        <f>C70*E70*G70</f>
        <v>655737120</v>
      </c>
    </row>
    <row r="71" spans="2:26">
      <c r="B71" s="221" t="s">
        <v>1529</v>
      </c>
      <c r="C71" s="302">
        <v>10</v>
      </c>
      <c r="D71" s="221" t="s">
        <v>1519</v>
      </c>
      <c r="E71" s="302">
        <f>'Categorias de Costos lácteo '!G52+'Categorias de Costos lácteo '!C82</f>
        <v>2098191.5</v>
      </c>
      <c r="F71" s="221"/>
      <c r="G71" s="221"/>
      <c r="H71" s="222">
        <f>C71*E71</f>
        <v>20981915</v>
      </c>
    </row>
    <row r="72" spans="2:26">
      <c r="B72" s="221" t="s">
        <v>1559</v>
      </c>
      <c r="C72" s="302"/>
      <c r="D72" s="221"/>
      <c r="E72" s="302"/>
      <c r="F72" s="221"/>
      <c r="G72" s="221"/>
      <c r="H72" s="222" t="s">
        <v>1331</v>
      </c>
    </row>
    <row r="73" spans="2:26">
      <c r="B73" s="221"/>
      <c r="C73" s="221"/>
      <c r="D73" s="221"/>
      <c r="E73" s="221"/>
      <c r="F73" s="221"/>
      <c r="G73" s="221"/>
      <c r="H73" s="228" t="s">
        <v>1560</v>
      </c>
      <c r="I73" s="228" t="s">
        <v>1561</v>
      </c>
      <c r="J73" s="228" t="s">
        <v>1562</v>
      </c>
      <c r="K73" s="228" t="s">
        <v>1563</v>
      </c>
      <c r="L73" s="228" t="s">
        <v>1564</v>
      </c>
      <c r="M73" s="228" t="s">
        <v>1565</v>
      </c>
      <c r="N73" s="228" t="s">
        <v>1566</v>
      </c>
      <c r="O73" s="228" t="s">
        <v>1567</v>
      </c>
      <c r="P73" s="228" t="s">
        <v>1568</v>
      </c>
      <c r="Q73" s="228" t="s">
        <v>1569</v>
      </c>
      <c r="R73" s="228" t="s">
        <v>1570</v>
      </c>
      <c r="S73" s="228" t="s">
        <v>1571</v>
      </c>
      <c r="T73" s="228" t="s">
        <v>1572</v>
      </c>
      <c r="U73" s="228" t="s">
        <v>1573</v>
      </c>
      <c r="V73" s="228" t="s">
        <v>1574</v>
      </c>
      <c r="W73" s="228" t="s">
        <v>1575</v>
      </c>
      <c r="X73" s="228" t="s">
        <v>1576</v>
      </c>
      <c r="Y73" s="228" t="s">
        <v>1577</v>
      </c>
    </row>
    <row r="74" spans="2:26">
      <c r="B74" s="221"/>
      <c r="C74" s="221"/>
      <c r="D74" s="221"/>
      <c r="E74" s="221"/>
      <c r="F74" s="221"/>
      <c r="G74" s="221"/>
      <c r="H74" s="390">
        <f>SUM(H54:H72)</f>
        <v>8690021807.1000004</v>
      </c>
      <c r="I74" s="222">
        <f>H74</f>
        <v>8690021807.1000004</v>
      </c>
      <c r="J74" s="222">
        <f t="shared" ref="J74:Z74" si="6">I74</f>
        <v>8690021807.1000004</v>
      </c>
      <c r="K74" s="222">
        <f t="shared" si="6"/>
        <v>8690021807.1000004</v>
      </c>
      <c r="L74" s="222">
        <f t="shared" si="6"/>
        <v>8690021807.1000004</v>
      </c>
      <c r="M74" s="222">
        <f t="shared" si="6"/>
        <v>8690021807.1000004</v>
      </c>
      <c r="N74" s="222">
        <f t="shared" si="6"/>
        <v>8690021807.1000004</v>
      </c>
      <c r="O74" s="222">
        <f t="shared" si="6"/>
        <v>8690021807.1000004</v>
      </c>
      <c r="P74" s="222">
        <f t="shared" si="6"/>
        <v>8690021807.1000004</v>
      </c>
      <c r="Q74" s="222">
        <f t="shared" si="6"/>
        <v>8690021807.1000004</v>
      </c>
      <c r="R74" s="222">
        <f t="shared" si="6"/>
        <v>8690021807.1000004</v>
      </c>
      <c r="S74" s="222">
        <f t="shared" si="6"/>
        <v>8690021807.1000004</v>
      </c>
      <c r="T74" s="222">
        <f t="shared" si="6"/>
        <v>8690021807.1000004</v>
      </c>
      <c r="U74" s="222">
        <f t="shared" si="6"/>
        <v>8690021807.1000004</v>
      </c>
      <c r="V74" s="222">
        <f t="shared" si="6"/>
        <v>8690021807.1000004</v>
      </c>
      <c r="W74" s="222">
        <f t="shared" si="6"/>
        <v>8690021807.1000004</v>
      </c>
      <c r="X74" s="222">
        <f t="shared" si="6"/>
        <v>8690021807.1000004</v>
      </c>
      <c r="Y74" s="222">
        <f t="shared" si="6"/>
        <v>8690021807.1000004</v>
      </c>
      <c r="Z74" s="222">
        <f t="shared" si="6"/>
        <v>8690021807.1000004</v>
      </c>
    </row>
    <row r="75" spans="2:26">
      <c r="B75" s="221" t="s">
        <v>1578</v>
      </c>
      <c r="C75" s="221">
        <v>1</v>
      </c>
      <c r="D75" s="221" t="s">
        <v>1342</v>
      </c>
      <c r="E75" s="222"/>
      <c r="F75" s="224"/>
      <c r="G75" s="221"/>
      <c r="H75" s="222">
        <v>4800000000</v>
      </c>
      <c r="I75" s="241">
        <f>H75+(H75*5%)</f>
        <v>5040000000</v>
      </c>
      <c r="J75" s="241">
        <f t="shared" ref="J75:Z75" si="7">I75+(I75*5%)</f>
        <v>5292000000</v>
      </c>
      <c r="K75" s="241">
        <f t="shared" si="7"/>
        <v>5556600000</v>
      </c>
      <c r="L75" s="241">
        <f t="shared" si="7"/>
        <v>5834430000</v>
      </c>
      <c r="M75" s="241">
        <f t="shared" si="7"/>
        <v>6126151500</v>
      </c>
      <c r="N75" s="241">
        <f t="shared" si="7"/>
        <v>6432459075</v>
      </c>
      <c r="O75" s="241">
        <f t="shared" si="7"/>
        <v>6754082028.75</v>
      </c>
      <c r="P75" s="241">
        <f t="shared" si="7"/>
        <v>7091786130.1875</v>
      </c>
      <c r="Q75" s="241">
        <f t="shared" si="7"/>
        <v>7446375436.6968746</v>
      </c>
      <c r="R75" s="241">
        <f t="shared" si="7"/>
        <v>7818694208.5317183</v>
      </c>
      <c r="S75" s="241">
        <f t="shared" si="7"/>
        <v>8209628918.9583044</v>
      </c>
      <c r="T75" s="241">
        <f t="shared" si="7"/>
        <v>8620110364.9062195</v>
      </c>
      <c r="U75" s="241">
        <f t="shared" si="7"/>
        <v>9051115883.1515312</v>
      </c>
      <c r="V75" s="241">
        <f t="shared" si="7"/>
        <v>9503671677.3091087</v>
      </c>
      <c r="W75" s="241">
        <f t="shared" si="7"/>
        <v>9978855261.1745644</v>
      </c>
      <c r="X75" s="241">
        <f t="shared" si="7"/>
        <v>10477798024.233292</v>
      </c>
      <c r="Y75" s="241">
        <f t="shared" si="7"/>
        <v>11001687925.444956</v>
      </c>
      <c r="Z75" s="241">
        <f t="shared" si="7"/>
        <v>11551772321.717203</v>
      </c>
    </row>
    <row r="76" spans="2:26">
      <c r="B76" s="221" t="s">
        <v>1579</v>
      </c>
      <c r="C76" s="221"/>
      <c r="D76" s="221"/>
      <c r="E76" s="222"/>
      <c r="F76" s="224"/>
      <c r="G76" s="221"/>
      <c r="H76" s="222" t="s">
        <v>1331</v>
      </c>
      <c r="I76" s="241"/>
      <c r="J76" s="241"/>
      <c r="K76" s="241"/>
      <c r="L76" s="241"/>
      <c r="M76" s="241"/>
      <c r="N76" s="241"/>
      <c r="O76" s="241"/>
      <c r="P76" s="241"/>
      <c r="Q76" s="241"/>
      <c r="R76" s="241"/>
      <c r="S76" s="241"/>
      <c r="T76" s="241"/>
      <c r="U76" s="241"/>
      <c r="V76" s="241"/>
      <c r="W76" s="241"/>
      <c r="X76" s="241"/>
      <c r="Y76" s="241"/>
      <c r="Z76" s="241"/>
    </row>
    <row r="77" spans="2:26">
      <c r="B77" s="225" t="s">
        <v>1549</v>
      </c>
      <c r="C77" s="226"/>
      <c r="D77" s="226"/>
      <c r="E77" s="227"/>
      <c r="F77" s="227"/>
      <c r="G77" s="226"/>
      <c r="H77" s="228">
        <f>SUM(H74:H75)</f>
        <v>13490021807.1</v>
      </c>
      <c r="I77" s="228">
        <f t="shared" ref="I77:Z77" si="8">SUM(I67:I75)</f>
        <v>13730021807.1</v>
      </c>
      <c r="J77" s="228">
        <f t="shared" si="8"/>
        <v>13982021807.1</v>
      </c>
      <c r="K77" s="228">
        <f t="shared" si="8"/>
        <v>14246621807.1</v>
      </c>
      <c r="L77" s="228">
        <f t="shared" si="8"/>
        <v>14524451807.1</v>
      </c>
      <c r="M77" s="228">
        <f t="shared" si="8"/>
        <v>14816173307.1</v>
      </c>
      <c r="N77" s="228">
        <f t="shared" si="8"/>
        <v>15122480882.1</v>
      </c>
      <c r="O77" s="228">
        <f t="shared" si="8"/>
        <v>15444103835.85</v>
      </c>
      <c r="P77" s="228">
        <f t="shared" si="8"/>
        <v>15781807937.2875</v>
      </c>
      <c r="Q77" s="228">
        <f t="shared" si="8"/>
        <v>16136397243.796875</v>
      </c>
      <c r="R77" s="228">
        <f t="shared" si="8"/>
        <v>16508716015.631718</v>
      </c>
      <c r="S77" s="228">
        <f t="shared" si="8"/>
        <v>16899650726.058304</v>
      </c>
      <c r="T77" s="228">
        <f t="shared" si="8"/>
        <v>17310132172.006218</v>
      </c>
      <c r="U77" s="228">
        <f t="shared" si="8"/>
        <v>17741137690.251534</v>
      </c>
      <c r="V77" s="228">
        <f t="shared" si="8"/>
        <v>18193693484.409111</v>
      </c>
      <c r="W77" s="228">
        <f t="shared" si="8"/>
        <v>18668877068.274567</v>
      </c>
      <c r="X77" s="228">
        <f t="shared" si="8"/>
        <v>19167819831.33329</v>
      </c>
      <c r="Y77" s="228">
        <f t="shared" si="8"/>
        <v>19691709732.544956</v>
      </c>
      <c r="Z77" s="228">
        <f t="shared" si="8"/>
        <v>20241794128.817204</v>
      </c>
    </row>
    <row r="80" spans="2:26" ht="409.5">
      <c r="B80" s="275" t="s">
        <v>1580</v>
      </c>
    </row>
  </sheetData>
  <mergeCells count="3">
    <mergeCell ref="B14:H15"/>
    <mergeCell ref="B39:H39"/>
    <mergeCell ref="B52:H52"/>
  </mergeCells>
  <phoneticPr fontId="20"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4"/>
  <sheetViews>
    <sheetView windowProtection="1" showGridLines="0" zoomScaleNormal="100" workbookViewId="0"/>
  </sheetViews>
  <sheetFormatPr baseColWidth="10" defaultColWidth="11.42578125" defaultRowHeight="15"/>
  <cols>
    <col min="1" max="1" width="11.42578125" style="306"/>
    <col min="2" max="2" width="59.85546875" style="306" customWidth="1"/>
    <col min="3" max="3" width="15.85546875" style="306" customWidth="1"/>
    <col min="4" max="4" width="18" style="306" bestFit="1" customWidth="1"/>
    <col min="5" max="5" width="15.42578125" style="306" customWidth="1"/>
    <col min="6" max="6" width="18.28515625" style="306" bestFit="1" customWidth="1"/>
    <col min="7" max="7" width="18.7109375" style="306" bestFit="1" customWidth="1"/>
    <col min="8" max="8" width="19" style="306" customWidth="1"/>
    <col min="9" max="9" width="19.42578125" style="306" customWidth="1"/>
    <col min="10" max="10" width="22.140625" style="306" customWidth="1"/>
    <col min="11" max="14" width="20.42578125" style="306" customWidth="1"/>
    <col min="15" max="15" width="18" style="306" customWidth="1"/>
    <col min="16" max="16" width="17.28515625" style="306" customWidth="1"/>
    <col min="17" max="24" width="16.7109375" style="306" customWidth="1"/>
    <col min="25" max="25" width="20" style="306" bestFit="1" customWidth="1"/>
    <col min="26" max="16384" width="11.42578125" style="306"/>
  </cols>
  <sheetData>
    <row r="2" spans="1:25">
      <c r="A2" s="304" t="s">
        <v>1334</v>
      </c>
      <c r="B2" s="305"/>
    </row>
    <row r="3" spans="1:25">
      <c r="A3" s="307"/>
    </row>
    <row r="4" spans="1:25">
      <c r="A4" s="308" t="s">
        <v>38</v>
      </c>
      <c r="B4" s="308" t="s">
        <v>1133</v>
      </c>
    </row>
    <row r="5" spans="1:25">
      <c r="A5" s="309"/>
      <c r="B5" s="309"/>
    </row>
    <row r="6" spans="1:25">
      <c r="A6" s="307"/>
      <c r="B6" s="307"/>
    </row>
    <row r="7" spans="1:25">
      <c r="A7" s="307"/>
      <c r="B7" s="307"/>
    </row>
    <row r="8" spans="1:25">
      <c r="D8" s="310">
        <v>0</v>
      </c>
      <c r="E8" s="310">
        <v>1</v>
      </c>
      <c r="F8" s="310">
        <v>2</v>
      </c>
      <c r="G8" s="310">
        <v>3</v>
      </c>
      <c r="H8" s="310">
        <v>4</v>
      </c>
      <c r="I8" s="310">
        <v>5</v>
      </c>
      <c r="J8" s="310">
        <v>6</v>
      </c>
      <c r="K8" s="310">
        <v>7</v>
      </c>
      <c r="L8" s="310">
        <v>8</v>
      </c>
      <c r="M8" s="310">
        <v>9</v>
      </c>
      <c r="N8" s="310">
        <v>10</v>
      </c>
      <c r="O8" s="310">
        <v>11</v>
      </c>
      <c r="P8" s="310">
        <v>12</v>
      </c>
      <c r="Q8" s="310">
        <v>13</v>
      </c>
      <c r="R8" s="310">
        <v>14</v>
      </c>
      <c r="S8" s="310">
        <v>15</v>
      </c>
      <c r="T8" s="310">
        <v>16</v>
      </c>
      <c r="U8" s="310">
        <v>17</v>
      </c>
      <c r="V8" s="310">
        <v>18</v>
      </c>
      <c r="W8" s="310">
        <v>19</v>
      </c>
      <c r="X8" s="310">
        <v>20</v>
      </c>
      <c r="Y8" s="310" t="s">
        <v>46</v>
      </c>
    </row>
    <row r="9" spans="1:25" s="311" customFormat="1" ht="15.75" customHeight="1">
      <c r="B9" s="312" t="s">
        <v>1336</v>
      </c>
      <c r="C9" s="312" t="s">
        <v>42</v>
      </c>
      <c r="D9" s="313">
        <f>SUM(D10:D11)</f>
        <v>0</v>
      </c>
      <c r="E9" s="313">
        <f t="shared" ref="E9:X9" si="0">SUM(E10:E11)</f>
        <v>0</v>
      </c>
      <c r="F9" s="313">
        <f>SUM(F10:F11)</f>
        <v>2504330813</v>
      </c>
      <c r="G9" s="313">
        <f>SUM(G10:G11)</f>
        <v>0</v>
      </c>
      <c r="H9" s="313">
        <f t="shared" si="0"/>
        <v>16933534884.705658</v>
      </c>
      <c r="I9" s="313">
        <f t="shared" si="0"/>
        <v>19437865697.705658</v>
      </c>
      <c r="J9" s="313">
        <f t="shared" si="0"/>
        <v>16933534884.705658</v>
      </c>
      <c r="K9" s="313">
        <f>SUM(K10:K11)</f>
        <v>16933534884.705658</v>
      </c>
      <c r="L9" s="313">
        <f t="shared" si="0"/>
        <v>19437865697.705658</v>
      </c>
      <c r="M9" s="313">
        <f t="shared" si="0"/>
        <v>16933534884.705658</v>
      </c>
      <c r="N9" s="313">
        <f t="shared" si="0"/>
        <v>16933534884.705658</v>
      </c>
      <c r="O9" s="313">
        <f t="shared" si="0"/>
        <v>2504330813</v>
      </c>
      <c r="P9" s="313">
        <f t="shared" si="0"/>
        <v>0</v>
      </c>
      <c r="Q9" s="313">
        <f t="shared" si="0"/>
        <v>0</v>
      </c>
      <c r="R9" s="313">
        <f t="shared" si="0"/>
        <v>2504330813</v>
      </c>
      <c r="S9" s="313">
        <f t="shared" si="0"/>
        <v>0</v>
      </c>
      <c r="T9" s="313">
        <f t="shared" si="0"/>
        <v>0</v>
      </c>
      <c r="U9" s="313">
        <f t="shared" si="0"/>
        <v>2504330813</v>
      </c>
      <c r="V9" s="313">
        <f t="shared" si="0"/>
        <v>0</v>
      </c>
      <c r="W9" s="313">
        <f t="shared" si="0"/>
        <v>0</v>
      </c>
      <c r="X9" s="313">
        <f t="shared" si="0"/>
        <v>2504330813</v>
      </c>
      <c r="Y9" s="313">
        <f>SUM(D9:X9)</f>
        <v>136065059883.93961</v>
      </c>
    </row>
    <row r="10" spans="1:25" ht="72.95" customHeight="1">
      <c r="B10" s="314" t="s">
        <v>1134</v>
      </c>
      <c r="C10" s="315" t="s">
        <v>1581</v>
      </c>
      <c r="D10" s="316"/>
      <c r="E10" s="317"/>
      <c r="F10" s="316">
        <f>+H30</f>
        <v>2504330813</v>
      </c>
      <c r="G10" s="316"/>
      <c r="H10" s="316"/>
      <c r="I10" s="316">
        <f>+F10</f>
        <v>2504330813</v>
      </c>
      <c r="J10" s="316"/>
      <c r="K10" s="316"/>
      <c r="L10" s="316">
        <f t="shared" ref="L10:O10" si="1">+$H$30</f>
        <v>2504330813</v>
      </c>
      <c r="M10" s="316"/>
      <c r="N10" s="316"/>
      <c r="O10" s="316">
        <f t="shared" si="1"/>
        <v>2504330813</v>
      </c>
      <c r="P10" s="317"/>
      <c r="Q10" s="317"/>
      <c r="R10" s="317">
        <f>+O10</f>
        <v>2504330813</v>
      </c>
      <c r="S10" s="317"/>
      <c r="T10" s="317"/>
      <c r="U10" s="317">
        <f>+R10</f>
        <v>2504330813</v>
      </c>
      <c r="V10" s="317"/>
      <c r="W10" s="317"/>
      <c r="X10" s="317">
        <f>+U10</f>
        <v>2504330813</v>
      </c>
      <c r="Y10" s="318">
        <f>SUM(D10:X10)</f>
        <v>17530315691</v>
      </c>
    </row>
    <row r="11" spans="1:25" ht="57.75" customHeight="1">
      <c r="B11" s="314" t="s">
        <v>1141</v>
      </c>
      <c r="C11" s="315" t="s">
        <v>1582</v>
      </c>
      <c r="D11" s="317"/>
      <c r="E11" s="317"/>
      <c r="F11" s="319"/>
      <c r="G11" s="316"/>
      <c r="H11" s="316">
        <f>+$H$52</f>
        <v>16933534884.705658</v>
      </c>
      <c r="I11" s="316">
        <f t="shared" ref="I11:N11" si="2">+H11</f>
        <v>16933534884.705658</v>
      </c>
      <c r="J11" s="316">
        <f t="shared" si="2"/>
        <v>16933534884.705658</v>
      </c>
      <c r="K11" s="320">
        <f t="shared" si="2"/>
        <v>16933534884.705658</v>
      </c>
      <c r="L11" s="320">
        <f t="shared" si="2"/>
        <v>16933534884.705658</v>
      </c>
      <c r="M11" s="320">
        <f t="shared" si="2"/>
        <v>16933534884.705658</v>
      </c>
      <c r="N11" s="320">
        <f t="shared" si="2"/>
        <v>16933534884.705658</v>
      </c>
      <c r="O11" s="320" t="str">
        <f t="shared" ref="O11:X11" si="3">+$H$51</f>
        <v>Por definir</v>
      </c>
      <c r="P11" s="320" t="str">
        <f t="shared" si="3"/>
        <v>Por definir</v>
      </c>
      <c r="Q11" s="320" t="str">
        <f t="shared" si="3"/>
        <v>Por definir</v>
      </c>
      <c r="R11" s="320" t="str">
        <f t="shared" si="3"/>
        <v>Por definir</v>
      </c>
      <c r="S11" s="320" t="str">
        <f t="shared" si="3"/>
        <v>Por definir</v>
      </c>
      <c r="T11" s="320" t="str">
        <f t="shared" si="3"/>
        <v>Por definir</v>
      </c>
      <c r="U11" s="320" t="str">
        <f t="shared" si="3"/>
        <v>Por definir</v>
      </c>
      <c r="V11" s="320" t="str">
        <f t="shared" si="3"/>
        <v>Por definir</v>
      </c>
      <c r="W11" s="320" t="str">
        <f t="shared" si="3"/>
        <v>Por definir</v>
      </c>
      <c r="X11" s="320" t="str">
        <f t="shared" si="3"/>
        <v>Por definir</v>
      </c>
      <c r="Y11" s="318">
        <f>SUM(D11:X11)</f>
        <v>118534744192.93961</v>
      </c>
    </row>
    <row r="12" spans="1:25">
      <c r="B12" s="321"/>
      <c r="C12" s="321"/>
      <c r="D12" s="321"/>
      <c r="E12" s="321"/>
      <c r="F12" s="321">
        <f>SUM(F10:F11)</f>
        <v>2504330813</v>
      </c>
      <c r="G12" s="321">
        <f t="shared" ref="G12:X12" si="4">SUM(G10:G11)</f>
        <v>0</v>
      </c>
      <c r="H12" s="321">
        <f t="shared" si="4"/>
        <v>16933534884.705658</v>
      </c>
      <c r="I12" s="321">
        <f t="shared" si="4"/>
        <v>19437865697.705658</v>
      </c>
      <c r="J12" s="321">
        <f t="shared" si="4"/>
        <v>16933534884.705658</v>
      </c>
      <c r="K12" s="321">
        <f t="shared" si="4"/>
        <v>16933534884.705658</v>
      </c>
      <c r="L12" s="321">
        <f t="shared" si="4"/>
        <v>19437865697.705658</v>
      </c>
      <c r="M12" s="321">
        <f t="shared" si="4"/>
        <v>16933534884.705658</v>
      </c>
      <c r="N12" s="321">
        <f t="shared" si="4"/>
        <v>16933534884.705658</v>
      </c>
      <c r="O12" s="321">
        <f t="shared" si="4"/>
        <v>2504330813</v>
      </c>
      <c r="P12" s="321">
        <f t="shared" si="4"/>
        <v>0</v>
      </c>
      <c r="Q12" s="321">
        <f t="shared" si="4"/>
        <v>0</v>
      </c>
      <c r="R12" s="321">
        <f t="shared" si="4"/>
        <v>2504330813</v>
      </c>
      <c r="S12" s="321">
        <f t="shared" si="4"/>
        <v>0</v>
      </c>
      <c r="T12" s="321">
        <f t="shared" si="4"/>
        <v>0</v>
      </c>
      <c r="U12" s="321">
        <f t="shared" si="4"/>
        <v>2504330813</v>
      </c>
      <c r="V12" s="321">
        <f t="shared" si="4"/>
        <v>0</v>
      </c>
      <c r="W12" s="321">
        <f t="shared" si="4"/>
        <v>0</v>
      </c>
      <c r="X12" s="321">
        <f t="shared" si="4"/>
        <v>2504330813</v>
      </c>
      <c r="Y12" s="321">
        <f>SUM(Y10:Y11)</f>
        <v>136065059883.93961</v>
      </c>
    </row>
    <row r="13" spans="1:25">
      <c r="Y13" s="322"/>
    </row>
    <row r="14" spans="1:25">
      <c r="Y14" s="322">
        <f>+Y9-Y12</f>
        <v>0</v>
      </c>
    </row>
    <row r="15" spans="1:25" ht="30.75" customHeight="1">
      <c r="A15" s="323"/>
      <c r="B15" s="696" t="str">
        <f>+B10</f>
        <v xml:space="preserve">12.1. Fortalecimiento de instrumentos para la gestión climática en la cadena láctea </v>
      </c>
      <c r="C15" s="697"/>
      <c r="D15" s="697"/>
      <c r="E15" s="697"/>
      <c r="F15" s="697"/>
      <c r="G15" s="697"/>
      <c r="H15" s="697"/>
    </row>
    <row r="16" spans="1:25">
      <c r="B16" s="324" t="s">
        <v>1338</v>
      </c>
      <c r="C16" s="324" t="s">
        <v>522</v>
      </c>
      <c r="D16" s="324" t="s">
        <v>263</v>
      </c>
      <c r="E16" s="324" t="s">
        <v>262</v>
      </c>
      <c r="F16" s="325" t="s">
        <v>1339</v>
      </c>
      <c r="G16" s="324" t="s">
        <v>711</v>
      </c>
      <c r="H16" s="324" t="s">
        <v>1340</v>
      </c>
    </row>
    <row r="17" spans="2:10" s="305" customFormat="1">
      <c r="B17" s="221" t="s">
        <v>1359</v>
      </c>
      <c r="C17" s="221">
        <v>30</v>
      </c>
      <c r="D17" s="221" t="s">
        <v>1342</v>
      </c>
      <c r="E17" s="222">
        <f>+'Categorias de Costos lácteo '!C143</f>
        <v>1000000</v>
      </c>
      <c r="F17" s="224"/>
      <c r="G17" s="221"/>
      <c r="H17" s="241">
        <f t="shared" ref="H17:H25" si="5">+C17*E17</f>
        <v>30000000</v>
      </c>
    </row>
    <row r="18" spans="2:10" s="305" customFormat="1">
      <c r="B18" s="221" t="s">
        <v>1343</v>
      </c>
      <c r="C18" s="221">
        <v>30</v>
      </c>
      <c r="D18" s="221" t="s">
        <v>1342</v>
      </c>
      <c r="E18" s="222">
        <f>+'Categorias de Costos lácteo '!C133</f>
        <v>100000</v>
      </c>
      <c r="F18" s="224"/>
      <c r="G18" s="221"/>
      <c r="H18" s="241">
        <f t="shared" si="5"/>
        <v>3000000</v>
      </c>
    </row>
    <row r="19" spans="2:10" s="305" customFormat="1">
      <c r="B19" s="221" t="s">
        <v>1344</v>
      </c>
      <c r="C19" s="221">
        <v>8</v>
      </c>
      <c r="D19" s="221" t="s">
        <v>1342</v>
      </c>
      <c r="E19" s="222">
        <f>+'Categorias de Costos lácteo '!C123</f>
        <v>5000000</v>
      </c>
      <c r="F19" s="224"/>
      <c r="G19" s="221"/>
      <c r="H19" s="241">
        <f t="shared" si="5"/>
        <v>40000000</v>
      </c>
    </row>
    <row r="20" spans="2:10" s="305" customFormat="1">
      <c r="B20" s="221" t="s">
        <v>1345</v>
      </c>
      <c r="C20" s="221">
        <v>30</v>
      </c>
      <c r="D20" s="221" t="s">
        <v>1342</v>
      </c>
      <c r="E20" s="222">
        <f>+'Categorias de Costos lácteo '!C124</f>
        <v>5700000</v>
      </c>
      <c r="F20" s="222"/>
      <c r="G20" s="221"/>
      <c r="H20" s="241">
        <f t="shared" si="5"/>
        <v>171000000</v>
      </c>
    </row>
    <row r="21" spans="2:10" s="305" customFormat="1">
      <c r="B21" s="221" t="s">
        <v>1346</v>
      </c>
      <c r="C21" s="221">
        <v>30</v>
      </c>
      <c r="D21" s="221" t="s">
        <v>1342</v>
      </c>
      <c r="E21" s="222">
        <f>+'Categorias de Costos lácteo '!C134</f>
        <v>570000</v>
      </c>
      <c r="F21" s="222"/>
      <c r="G21" s="221"/>
      <c r="H21" s="241">
        <f t="shared" si="5"/>
        <v>17100000</v>
      </c>
    </row>
    <row r="22" spans="2:10" s="305" customFormat="1">
      <c r="B22" s="165" t="s">
        <v>1361</v>
      </c>
      <c r="C22" s="221">
        <v>30</v>
      </c>
      <c r="D22" s="221" t="s">
        <v>1342</v>
      </c>
      <c r="E22" s="222">
        <f>+'Categorias de Costos lácteo '!C220</f>
        <v>21000000</v>
      </c>
      <c r="F22" s="237"/>
      <c r="G22" s="221"/>
      <c r="H22" s="241">
        <f t="shared" si="5"/>
        <v>630000000</v>
      </c>
    </row>
    <row r="23" spans="2:10" s="305" customFormat="1">
      <c r="B23" s="165" t="s">
        <v>1348</v>
      </c>
      <c r="C23" s="221">
        <v>1</v>
      </c>
      <c r="D23" s="221" t="s">
        <v>1342</v>
      </c>
      <c r="E23" s="222">
        <v>50000000</v>
      </c>
      <c r="F23" s="237"/>
      <c r="G23" s="221"/>
      <c r="H23" s="241">
        <f t="shared" si="5"/>
        <v>50000000</v>
      </c>
    </row>
    <row r="24" spans="2:10" s="305" customFormat="1">
      <c r="B24" s="221" t="s">
        <v>1583</v>
      </c>
      <c r="C24" s="221">
        <v>30</v>
      </c>
      <c r="D24" s="222" t="s">
        <v>1584</v>
      </c>
      <c r="E24" s="222">
        <f>+'Categorias de Costos lácteo '!C132</f>
        <v>6010000</v>
      </c>
      <c r="F24" s="221"/>
      <c r="G24" s="222"/>
      <c r="H24" s="241">
        <f t="shared" si="5"/>
        <v>180300000</v>
      </c>
    </row>
    <row r="25" spans="2:10" s="305" customFormat="1">
      <c r="B25" s="221" t="s">
        <v>1524</v>
      </c>
      <c r="C25" s="221">
        <v>10</v>
      </c>
      <c r="D25" s="222" t="s">
        <v>1342</v>
      </c>
      <c r="E25" s="222">
        <v>49500000</v>
      </c>
      <c r="F25" s="221"/>
      <c r="G25" s="222"/>
      <c r="H25" s="241">
        <f t="shared" si="5"/>
        <v>495000000</v>
      </c>
    </row>
    <row r="26" spans="2:10" s="305" customFormat="1">
      <c r="B26" s="221" t="s">
        <v>1362</v>
      </c>
      <c r="C26" s="221">
        <v>2</v>
      </c>
      <c r="D26" s="222" t="s">
        <v>1342</v>
      </c>
      <c r="E26" s="222">
        <f>+'Categorias de Costos lácteo '!D48</f>
        <v>8652088</v>
      </c>
      <c r="F26" s="237">
        <v>0.5</v>
      </c>
      <c r="G26" s="222">
        <v>12</v>
      </c>
      <c r="H26" s="241">
        <f>+C26*E26*F26</f>
        <v>8652088</v>
      </c>
    </row>
    <row r="27" spans="2:10">
      <c r="B27" s="165" t="s">
        <v>1354</v>
      </c>
      <c r="C27" s="221">
        <v>2</v>
      </c>
      <c r="D27" s="221" t="s">
        <v>1342</v>
      </c>
      <c r="E27" s="222">
        <f>+'Categorias de Costos lácteo '!G48+'Categorias de Costos lácteo '!C82</f>
        <v>2481462.5</v>
      </c>
      <c r="F27" s="237"/>
      <c r="G27" s="221"/>
      <c r="H27" s="241">
        <f>+C27*E27</f>
        <v>4962925</v>
      </c>
    </row>
    <row r="28" spans="2:10">
      <c r="B28" s="165" t="s">
        <v>1585</v>
      </c>
      <c r="C28" s="221">
        <v>30</v>
      </c>
      <c r="D28" s="221" t="s">
        <v>1342</v>
      </c>
      <c r="E28" s="222">
        <f>+'Categorias de Costos lácteo '!D53</f>
        <v>4857310</v>
      </c>
      <c r="F28" s="237"/>
      <c r="G28" s="221">
        <v>6</v>
      </c>
      <c r="H28" s="241">
        <f>C28*E28*G28</f>
        <v>874315800</v>
      </c>
    </row>
    <row r="29" spans="2:10">
      <c r="B29" s="326" t="s">
        <v>1586</v>
      </c>
      <c r="C29" s="326"/>
      <c r="D29" s="326"/>
      <c r="E29" s="327"/>
      <c r="F29" s="328"/>
      <c r="G29" s="326"/>
      <c r="H29" s="426" t="s">
        <v>1331</v>
      </c>
    </row>
    <row r="30" spans="2:10">
      <c r="B30" s="281" t="s">
        <v>46</v>
      </c>
      <c r="C30" s="282"/>
      <c r="D30" s="282"/>
      <c r="E30" s="283"/>
      <c r="F30" s="283"/>
      <c r="G30" s="282"/>
      <c r="H30" s="329">
        <f>SUM(H17:H29)</f>
        <v>2504330813</v>
      </c>
      <c r="I30" s="330"/>
      <c r="J30" s="322"/>
    </row>
    <row r="31" spans="2:10" s="331" customFormat="1" ht="87" customHeight="1">
      <c r="B31" s="332" t="s">
        <v>1587</v>
      </c>
    </row>
    <row r="32" spans="2:10" s="331" customFormat="1" ht="12.75">
      <c r="B32" s="427"/>
    </row>
    <row r="33" spans="1:8">
      <c r="B33" s="333"/>
      <c r="E33" s="334"/>
      <c r="F33" s="334"/>
      <c r="H33" s="335"/>
    </row>
    <row r="34" spans="1:8" ht="35.25" customHeight="1">
      <c r="A34" s="323"/>
      <c r="B34" s="696" t="str">
        <f>+B11</f>
        <v>12.2. Escalamiento de modelos de producción sostenibles ambientalmente, eficientes y rentables</v>
      </c>
      <c r="C34" s="697"/>
      <c r="D34" s="697"/>
      <c r="E34" s="697"/>
      <c r="F34" s="697"/>
      <c r="G34" s="697"/>
      <c r="H34" s="697"/>
    </row>
    <row r="35" spans="1:8">
      <c r="B35" s="324" t="s">
        <v>1338</v>
      </c>
      <c r="C35" s="324" t="s">
        <v>522</v>
      </c>
      <c r="D35" s="324" t="s">
        <v>263</v>
      </c>
      <c r="E35" s="324" t="s">
        <v>262</v>
      </c>
      <c r="F35" s="325" t="s">
        <v>1339</v>
      </c>
      <c r="G35" s="324" t="s">
        <v>711</v>
      </c>
      <c r="H35" s="324" t="s">
        <v>1340</v>
      </c>
    </row>
    <row r="36" spans="1:8">
      <c r="B36" s="221" t="s">
        <v>1341</v>
      </c>
      <c r="C36" s="221">
        <v>30</v>
      </c>
      <c r="D36" s="221" t="s">
        <v>1342</v>
      </c>
      <c r="E36" s="222">
        <v>1000000</v>
      </c>
      <c r="F36" s="224"/>
      <c r="G36" s="221"/>
      <c r="H36" s="222">
        <f>+C36*E36</f>
        <v>30000000</v>
      </c>
    </row>
    <row r="37" spans="1:8">
      <c r="B37" s="221" t="s">
        <v>1343</v>
      </c>
      <c r="C37" s="221">
        <v>60</v>
      </c>
      <c r="D37" s="221" t="s">
        <v>1342</v>
      </c>
      <c r="E37" s="222">
        <v>100000</v>
      </c>
      <c r="F37" s="224"/>
      <c r="G37" s="221"/>
      <c r="H37" s="222">
        <f t="shared" ref="H37:H44" si="6">+C37*E37</f>
        <v>6000000</v>
      </c>
    </row>
    <row r="38" spans="1:8">
      <c r="B38" s="221" t="s">
        <v>1344</v>
      </c>
      <c r="C38" s="221">
        <v>10</v>
      </c>
      <c r="D38" s="221" t="s">
        <v>1342</v>
      </c>
      <c r="E38" s="222">
        <v>5000000</v>
      </c>
      <c r="F38" s="224"/>
      <c r="G38" s="221"/>
      <c r="H38" s="222">
        <f t="shared" si="6"/>
        <v>50000000</v>
      </c>
    </row>
    <row r="39" spans="1:8">
      <c r="B39" s="221" t="s">
        <v>1345</v>
      </c>
      <c r="C39" s="221">
        <v>30</v>
      </c>
      <c r="D39" s="221" t="s">
        <v>1342</v>
      </c>
      <c r="E39" s="222">
        <v>5700000</v>
      </c>
      <c r="F39" s="222"/>
      <c r="G39" s="221"/>
      <c r="H39" s="222">
        <f t="shared" si="6"/>
        <v>171000000</v>
      </c>
    </row>
    <row r="40" spans="1:8">
      <c r="B40" s="221" t="s">
        <v>1346</v>
      </c>
      <c r="C40" s="221">
        <v>30</v>
      </c>
      <c r="D40" s="221" t="s">
        <v>1342</v>
      </c>
      <c r="E40" s="222">
        <v>570000</v>
      </c>
      <c r="F40" s="222"/>
      <c r="G40" s="221"/>
      <c r="H40" s="222">
        <f t="shared" si="6"/>
        <v>17100000</v>
      </c>
    </row>
    <row r="41" spans="1:8">
      <c r="B41" s="326" t="s">
        <v>1428</v>
      </c>
      <c r="C41" s="326">
        <v>30</v>
      </c>
      <c r="D41" s="326" t="s">
        <v>1342</v>
      </c>
      <c r="E41" s="327">
        <v>6010000</v>
      </c>
      <c r="F41" s="326"/>
      <c r="G41" s="326"/>
      <c r="H41" s="222">
        <f>+C41*E41</f>
        <v>180300000</v>
      </c>
    </row>
    <row r="42" spans="1:8">
      <c r="B42" s="336" t="s">
        <v>1502</v>
      </c>
      <c r="C42" s="336">
        <v>60</v>
      </c>
      <c r="D42" s="336" t="s">
        <v>1342</v>
      </c>
      <c r="E42" s="337">
        <v>5100000</v>
      </c>
      <c r="F42" s="337"/>
      <c r="G42" s="336"/>
      <c r="H42" s="327">
        <f>+C42*E42</f>
        <v>306000000</v>
      </c>
    </row>
    <row r="43" spans="1:8">
      <c r="B43" s="165" t="s">
        <v>1588</v>
      </c>
      <c r="C43" s="221">
        <v>1</v>
      </c>
      <c r="D43" s="221" t="s">
        <v>1342</v>
      </c>
      <c r="E43" s="222">
        <v>87500000</v>
      </c>
      <c r="F43" s="237"/>
      <c r="G43" s="221"/>
      <c r="H43" s="222">
        <f t="shared" si="6"/>
        <v>87500000</v>
      </c>
    </row>
    <row r="44" spans="1:8">
      <c r="B44" s="165" t="s">
        <v>1348</v>
      </c>
      <c r="C44" s="221">
        <v>1</v>
      </c>
      <c r="D44" s="221" t="s">
        <v>1342</v>
      </c>
      <c r="E44" s="222">
        <v>50000000</v>
      </c>
      <c r="F44" s="237"/>
      <c r="G44" s="221"/>
      <c r="H44" s="222">
        <f t="shared" si="6"/>
        <v>50000000</v>
      </c>
    </row>
    <row r="45" spans="1:8">
      <c r="B45" s="165" t="s">
        <v>1589</v>
      </c>
      <c r="C45" s="221">
        <v>2</v>
      </c>
      <c r="D45" s="221" t="s">
        <v>1342</v>
      </c>
      <c r="E45" s="222">
        <v>8652088</v>
      </c>
      <c r="F45" s="237">
        <v>0.5</v>
      </c>
      <c r="G45" s="221">
        <v>12</v>
      </c>
      <c r="H45" s="222">
        <f>C45*E45*G45*F45</f>
        <v>103825056</v>
      </c>
    </row>
    <row r="46" spans="1:8">
      <c r="B46" s="165" t="s">
        <v>1590</v>
      </c>
      <c r="C46" s="221">
        <v>10</v>
      </c>
      <c r="D46" s="221" t="s">
        <v>1342</v>
      </c>
      <c r="E46" s="222">
        <v>4857310</v>
      </c>
      <c r="F46" s="237">
        <v>1</v>
      </c>
      <c r="G46" s="221">
        <v>6</v>
      </c>
      <c r="H46" s="222">
        <f t="shared" ref="H46" si="7">C46*E46*G46</f>
        <v>291438600</v>
      </c>
    </row>
    <row r="47" spans="1:8">
      <c r="B47" s="165" t="s">
        <v>1354</v>
      </c>
      <c r="C47" s="221">
        <v>2</v>
      </c>
      <c r="D47" s="221" t="s">
        <v>1342</v>
      </c>
      <c r="E47" s="222">
        <f>+'Categorias de Costos lácteo '!G48+'Categorias de Costos lácteo '!C82</f>
        <v>2481462.5</v>
      </c>
      <c r="F47" s="237"/>
      <c r="G47" s="221"/>
      <c r="H47" s="222">
        <f>C47*E47</f>
        <v>4962925</v>
      </c>
    </row>
    <row r="48" spans="1:8">
      <c r="B48" s="426" t="s">
        <v>1591</v>
      </c>
      <c r="C48" s="426">
        <v>38109.200000000004</v>
      </c>
      <c r="D48" s="426" t="s">
        <v>1592</v>
      </c>
      <c r="E48" s="426">
        <f>+'Categorias de Costos lácteo '!G564</f>
        <v>1266474.69</v>
      </c>
      <c r="F48" s="338">
        <v>0.1</v>
      </c>
      <c r="G48" s="426"/>
      <c r="H48" s="426">
        <f>+C48*E48*F48</f>
        <v>4826433725.6148005</v>
      </c>
    </row>
    <row r="49" spans="2:8">
      <c r="B49" s="426" t="s">
        <v>1593</v>
      </c>
      <c r="C49" s="426">
        <v>3485.7142857142858</v>
      </c>
      <c r="D49" s="426" t="s">
        <v>1592</v>
      </c>
      <c r="E49" s="426">
        <f>+'Categorias de Costos lácteo '!G565</f>
        <v>4448898.2700000005</v>
      </c>
      <c r="F49" s="338">
        <v>0.1</v>
      </c>
      <c r="G49" s="426"/>
      <c r="H49" s="426">
        <f t="shared" ref="H49:H50" si="8">+C49*E49*F49</f>
        <v>1550758825.5428574</v>
      </c>
    </row>
    <row r="50" spans="2:8">
      <c r="B50" s="426" t="s">
        <v>1594</v>
      </c>
      <c r="C50" s="426">
        <v>123956</v>
      </c>
      <c r="D50" s="426" t="s">
        <v>1592</v>
      </c>
      <c r="E50" s="426">
        <f>+'Categorias de Costos lácteo '!G566</f>
        <v>746895.33</v>
      </c>
      <c r="F50" s="338">
        <v>0.1</v>
      </c>
      <c r="G50" s="426"/>
      <c r="H50" s="426">
        <f t="shared" si="8"/>
        <v>9258215752.5480003</v>
      </c>
    </row>
    <row r="51" spans="2:8">
      <c r="B51" s="326" t="s">
        <v>1595</v>
      </c>
      <c r="C51" s="326"/>
      <c r="D51" s="326"/>
      <c r="E51" s="327"/>
      <c r="F51" s="328"/>
      <c r="G51" s="326"/>
      <c r="H51" s="327" t="s">
        <v>1331</v>
      </c>
    </row>
    <row r="52" spans="2:8">
      <c r="B52" s="339" t="s">
        <v>1596</v>
      </c>
      <c r="C52" s="282"/>
      <c r="D52" s="282"/>
      <c r="E52" s="283"/>
      <c r="F52" s="283"/>
      <c r="G52" s="282"/>
      <c r="H52" s="329">
        <f>SUM(H36:H51)</f>
        <v>16933534884.705658</v>
      </c>
    </row>
    <row r="53" spans="2:8">
      <c r="B53" s="340" t="s">
        <v>1597</v>
      </c>
      <c r="C53" s="286"/>
      <c r="D53" s="286"/>
      <c r="E53" s="287"/>
      <c r="F53" s="287"/>
      <c r="G53" s="286"/>
      <c r="H53" s="341" t="s">
        <v>1331</v>
      </c>
    </row>
    <row r="54" spans="2:8" s="331" customFormat="1" ht="315.75" customHeight="1">
      <c r="B54" s="332" t="s">
        <v>1598</v>
      </c>
    </row>
  </sheetData>
  <mergeCells count="2">
    <mergeCell ref="B15:H15"/>
    <mergeCell ref="B34:H3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6"/>
  <sheetViews>
    <sheetView windowProtection="1" showGridLines="0" topLeftCell="B37" zoomScale="120" zoomScaleNormal="120" workbookViewId="0">
      <selection activeCell="H39" sqref="H39:H50"/>
    </sheetView>
  </sheetViews>
  <sheetFormatPr baseColWidth="10" defaultColWidth="11.42578125" defaultRowHeight="15"/>
  <cols>
    <col min="1" max="1" width="11.42578125" style="306"/>
    <col min="2" max="2" width="71.42578125" style="306" customWidth="1"/>
    <col min="3" max="3" width="16.28515625" style="306" bestFit="1" customWidth="1"/>
    <col min="4" max="4" width="13" style="306" customWidth="1"/>
    <col min="5" max="5" width="13.85546875" style="306" bestFit="1" customWidth="1"/>
    <col min="6" max="6" width="11.7109375" style="306" bestFit="1" customWidth="1"/>
    <col min="7" max="7" width="18.85546875" style="306" bestFit="1" customWidth="1"/>
    <col min="8" max="8" width="19.42578125" style="306" bestFit="1" customWidth="1"/>
    <col min="9" max="18" width="20.42578125" style="306" bestFit="1" customWidth="1"/>
    <col min="19" max="19" width="17.42578125" style="306" customWidth="1"/>
    <col min="20" max="24" width="15.42578125" style="306" bestFit="1" customWidth="1"/>
    <col min="25" max="25" width="21.42578125" style="306" bestFit="1" customWidth="1"/>
    <col min="26" max="16384" width="11.42578125" style="306"/>
  </cols>
  <sheetData>
    <row r="2" spans="1:25">
      <c r="A2" s="304" t="s">
        <v>1334</v>
      </c>
      <c r="B2" s="305"/>
    </row>
    <row r="3" spans="1:25">
      <c r="A3" s="307"/>
    </row>
    <row r="4" spans="1:25">
      <c r="A4" s="308" t="s">
        <v>38</v>
      </c>
      <c r="B4" s="308" t="s">
        <v>1154</v>
      </c>
    </row>
    <row r="5" spans="1:25">
      <c r="A5" s="309"/>
      <c r="B5" s="309"/>
    </row>
    <row r="6" spans="1:25">
      <c r="A6" s="307"/>
      <c r="B6" s="307"/>
    </row>
    <row r="7" spans="1:25">
      <c r="D7" s="342">
        <v>0</v>
      </c>
      <c r="E7" s="342">
        <v>1</v>
      </c>
      <c r="F7" s="342">
        <v>2</v>
      </c>
      <c r="G7" s="342">
        <v>3</v>
      </c>
      <c r="H7" s="342">
        <v>4</v>
      </c>
      <c r="I7" s="342">
        <v>5</v>
      </c>
      <c r="J7" s="342">
        <v>6</v>
      </c>
      <c r="K7" s="342">
        <v>7</v>
      </c>
      <c r="L7" s="342">
        <v>8</v>
      </c>
      <c r="M7" s="342">
        <v>9</v>
      </c>
      <c r="N7" s="342">
        <v>10</v>
      </c>
      <c r="O7" s="342">
        <v>11</v>
      </c>
      <c r="P7" s="342">
        <v>12</v>
      </c>
      <c r="Q7" s="342">
        <v>13</v>
      </c>
      <c r="R7" s="342">
        <v>14</v>
      </c>
      <c r="S7" s="342">
        <v>15</v>
      </c>
      <c r="T7" s="342">
        <v>16</v>
      </c>
      <c r="U7" s="342">
        <v>17</v>
      </c>
      <c r="V7" s="342">
        <v>18</v>
      </c>
      <c r="W7" s="342">
        <v>19</v>
      </c>
      <c r="X7" s="342">
        <v>20</v>
      </c>
      <c r="Y7" s="342" t="s">
        <v>46</v>
      </c>
    </row>
    <row r="8" spans="1:25">
      <c r="B8" s="324" t="s">
        <v>1336</v>
      </c>
      <c r="C8" s="324" t="s">
        <v>42</v>
      </c>
      <c r="D8" s="343">
        <f>SUM(D9:D10)</f>
        <v>0</v>
      </c>
      <c r="E8" s="343">
        <f t="shared" ref="E8:X8" si="0">SUM(E9:E10)</f>
        <v>0</v>
      </c>
      <c r="F8" s="343">
        <f t="shared" si="0"/>
        <v>0</v>
      </c>
      <c r="G8" s="343">
        <f>SUM(G9:G10)</f>
        <v>1527482664.9000001</v>
      </c>
      <c r="H8" s="343">
        <f t="shared" si="0"/>
        <v>2453528488.9000001</v>
      </c>
      <c r="I8" s="343">
        <f t="shared" si="0"/>
        <v>2453528488.9000001</v>
      </c>
      <c r="J8" s="343">
        <f t="shared" si="0"/>
        <v>3570837311.54</v>
      </c>
      <c r="K8" s="343">
        <f t="shared" si="0"/>
        <v>4523786523.8257141</v>
      </c>
      <c r="L8" s="343">
        <f t="shared" si="0"/>
        <v>4523786523.8257141</v>
      </c>
      <c r="M8" s="343">
        <f t="shared" si="0"/>
        <v>4523786523.8257141</v>
      </c>
      <c r="N8" s="343">
        <f t="shared" si="0"/>
        <v>4523786523.8257141</v>
      </c>
      <c r="O8" s="343">
        <f t="shared" si="0"/>
        <v>4523786523.8257141</v>
      </c>
      <c r="P8" s="343">
        <f t="shared" si="0"/>
        <v>4523786523.8257141</v>
      </c>
      <c r="Q8" s="343">
        <f t="shared" si="0"/>
        <v>4523786523.8257141</v>
      </c>
      <c r="R8" s="343">
        <f t="shared" si="0"/>
        <v>3570837311.54</v>
      </c>
      <c r="S8" s="343">
        <f t="shared" si="0"/>
        <v>3570837311.54</v>
      </c>
      <c r="T8" s="343">
        <f>SUM(T9:T10)</f>
        <v>2453528488.9000001</v>
      </c>
      <c r="U8" s="343">
        <f t="shared" si="0"/>
        <v>2453528488.9000001</v>
      </c>
      <c r="V8" s="343">
        <f t="shared" si="0"/>
        <v>2453528488.9000001</v>
      </c>
      <c r="W8" s="343">
        <f t="shared" si="0"/>
        <v>2453528488.9000001</v>
      </c>
      <c r="X8" s="343">
        <f t="shared" si="0"/>
        <v>2453528488.9000001</v>
      </c>
      <c r="Y8" s="343">
        <f t="shared" ref="Y8:Y11" si="1">SUM(D8:X8)</f>
        <v>61081199688.600014</v>
      </c>
    </row>
    <row r="9" spans="1:25" ht="45" customHeight="1">
      <c r="B9" s="344" t="s">
        <v>1155</v>
      </c>
      <c r="C9" s="315" t="s">
        <v>1599</v>
      </c>
      <c r="D9" s="316"/>
      <c r="E9" s="316"/>
      <c r="F9" s="316"/>
      <c r="G9" s="316">
        <f>+H33</f>
        <v>1527482664.9000001</v>
      </c>
      <c r="H9" s="316">
        <f>+H33</f>
        <v>1527482664.9000001</v>
      </c>
      <c r="I9" s="316">
        <f>+H9</f>
        <v>1527482664.9000001</v>
      </c>
      <c r="J9" s="316">
        <f>+H34</f>
        <v>2644791487.54</v>
      </c>
      <c r="K9" s="316">
        <f t="shared" ref="K9:S9" si="2">+J9</f>
        <v>2644791487.54</v>
      </c>
      <c r="L9" s="316">
        <f t="shared" si="2"/>
        <v>2644791487.54</v>
      </c>
      <c r="M9" s="316">
        <f t="shared" si="2"/>
        <v>2644791487.54</v>
      </c>
      <c r="N9" s="316">
        <f t="shared" si="2"/>
        <v>2644791487.54</v>
      </c>
      <c r="O9" s="316">
        <f t="shared" si="2"/>
        <v>2644791487.54</v>
      </c>
      <c r="P9" s="316">
        <f t="shared" si="2"/>
        <v>2644791487.54</v>
      </c>
      <c r="Q9" s="316">
        <f t="shared" si="2"/>
        <v>2644791487.54</v>
      </c>
      <c r="R9" s="316">
        <f t="shared" si="2"/>
        <v>2644791487.54</v>
      </c>
      <c r="S9" s="316">
        <f t="shared" si="2"/>
        <v>2644791487.54</v>
      </c>
      <c r="T9" s="316">
        <f>+G9</f>
        <v>1527482664.9000001</v>
      </c>
      <c r="U9" s="316">
        <f t="shared" ref="U9:X10" si="3">+T9</f>
        <v>1527482664.9000001</v>
      </c>
      <c r="V9" s="316">
        <f t="shared" si="3"/>
        <v>1527482664.9000001</v>
      </c>
      <c r="W9" s="316">
        <f t="shared" si="3"/>
        <v>1527482664.9000001</v>
      </c>
      <c r="X9" s="316">
        <f t="shared" si="3"/>
        <v>1527482664.9000001</v>
      </c>
      <c r="Y9" s="318">
        <f t="shared" si="1"/>
        <v>38667776194.600014</v>
      </c>
    </row>
    <row r="10" spans="1:25" ht="44.25" customHeight="1">
      <c r="B10" s="344" t="s">
        <v>1167</v>
      </c>
      <c r="C10" s="315" t="s">
        <v>1599</v>
      </c>
      <c r="D10" s="316"/>
      <c r="E10" s="316"/>
      <c r="F10" s="316"/>
      <c r="G10" s="316"/>
      <c r="H10" s="316">
        <f>+H51</f>
        <v>926045824</v>
      </c>
      <c r="I10" s="316">
        <f>+H10</f>
        <v>926045824</v>
      </c>
      <c r="J10" s="316">
        <f>+I10</f>
        <v>926045824</v>
      </c>
      <c r="K10" s="316">
        <f>+H52</f>
        <v>1878995036.2857144</v>
      </c>
      <c r="L10" s="316">
        <f t="shared" ref="L10:Q10" si="4">+K10</f>
        <v>1878995036.2857144</v>
      </c>
      <c r="M10" s="316">
        <f t="shared" si="4"/>
        <v>1878995036.2857144</v>
      </c>
      <c r="N10" s="316">
        <f t="shared" si="4"/>
        <v>1878995036.2857144</v>
      </c>
      <c r="O10" s="316">
        <f t="shared" si="4"/>
        <v>1878995036.2857144</v>
      </c>
      <c r="P10" s="316">
        <f t="shared" si="4"/>
        <v>1878995036.2857144</v>
      </c>
      <c r="Q10" s="316">
        <f t="shared" si="4"/>
        <v>1878995036.2857144</v>
      </c>
      <c r="R10" s="316">
        <f>+I10</f>
        <v>926045824</v>
      </c>
      <c r="S10" s="316">
        <f>+R10</f>
        <v>926045824</v>
      </c>
      <c r="T10" s="316">
        <f>+S10</f>
        <v>926045824</v>
      </c>
      <c r="U10" s="316">
        <f t="shared" si="3"/>
        <v>926045824</v>
      </c>
      <c r="V10" s="316">
        <f t="shared" si="3"/>
        <v>926045824</v>
      </c>
      <c r="W10" s="316">
        <f t="shared" si="3"/>
        <v>926045824</v>
      </c>
      <c r="X10" s="316">
        <f t="shared" si="3"/>
        <v>926045824</v>
      </c>
      <c r="Y10" s="318">
        <f t="shared" si="1"/>
        <v>22413423494</v>
      </c>
    </row>
    <row r="11" spans="1:25">
      <c r="B11" s="324"/>
      <c r="C11" s="324"/>
      <c r="D11" s="343">
        <f>SUM(D9:D10)</f>
        <v>0</v>
      </c>
      <c r="E11" s="343">
        <f t="shared" ref="E11:X11" si="5">SUM(E9:E10)</f>
        <v>0</v>
      </c>
      <c r="F11" s="343">
        <f t="shared" si="5"/>
        <v>0</v>
      </c>
      <c r="G11" s="343">
        <f t="shared" si="5"/>
        <v>1527482664.9000001</v>
      </c>
      <c r="H11" s="343">
        <f t="shared" si="5"/>
        <v>2453528488.9000001</v>
      </c>
      <c r="I11" s="343">
        <f t="shared" si="5"/>
        <v>2453528488.9000001</v>
      </c>
      <c r="J11" s="343">
        <f t="shared" si="5"/>
        <v>3570837311.54</v>
      </c>
      <c r="K11" s="343">
        <f t="shared" si="5"/>
        <v>4523786523.8257141</v>
      </c>
      <c r="L11" s="343">
        <f t="shared" si="5"/>
        <v>4523786523.8257141</v>
      </c>
      <c r="M11" s="343">
        <f t="shared" si="5"/>
        <v>4523786523.8257141</v>
      </c>
      <c r="N11" s="343">
        <f t="shared" si="5"/>
        <v>4523786523.8257141</v>
      </c>
      <c r="O11" s="343">
        <f t="shared" si="5"/>
        <v>4523786523.8257141</v>
      </c>
      <c r="P11" s="343">
        <f t="shared" si="5"/>
        <v>4523786523.8257141</v>
      </c>
      <c r="Q11" s="343">
        <f t="shared" si="5"/>
        <v>4523786523.8257141</v>
      </c>
      <c r="R11" s="343">
        <f t="shared" si="5"/>
        <v>3570837311.54</v>
      </c>
      <c r="S11" s="343">
        <f t="shared" si="5"/>
        <v>3570837311.54</v>
      </c>
      <c r="T11" s="343">
        <f>SUM(T9:T10)</f>
        <v>2453528488.9000001</v>
      </c>
      <c r="U11" s="343">
        <f t="shared" si="5"/>
        <v>2453528488.9000001</v>
      </c>
      <c r="V11" s="343">
        <f t="shared" si="5"/>
        <v>2453528488.9000001</v>
      </c>
      <c r="W11" s="343">
        <f t="shared" si="5"/>
        <v>2453528488.9000001</v>
      </c>
      <c r="X11" s="343">
        <f t="shared" si="5"/>
        <v>2453528488.9000001</v>
      </c>
      <c r="Y11" s="343">
        <f t="shared" si="1"/>
        <v>61081199688.600014</v>
      </c>
    </row>
    <row r="12" spans="1:25">
      <c r="Y12" s="322">
        <f>+Y8-Y11</f>
        <v>0</v>
      </c>
    </row>
    <row r="13" spans="1:25" ht="27.75" customHeight="1">
      <c r="A13" s="345"/>
      <c r="B13" s="696" t="str">
        <f>+B9</f>
        <v>13.1. Fomento del desarrollo de procesos orientados hacia la gestión y conservación del agua, asociada a la actividad productiva</v>
      </c>
      <c r="C13" s="697"/>
      <c r="D13" s="697"/>
      <c r="E13" s="697"/>
      <c r="F13" s="697"/>
      <c r="G13" s="697"/>
      <c r="H13" s="697"/>
    </row>
    <row r="14" spans="1:25">
      <c r="B14" s="324" t="s">
        <v>1338</v>
      </c>
      <c r="C14" s="324" t="s">
        <v>522</v>
      </c>
      <c r="D14" s="324" t="s">
        <v>263</v>
      </c>
      <c r="E14" s="324" t="s">
        <v>262</v>
      </c>
      <c r="F14" s="324" t="s">
        <v>1339</v>
      </c>
      <c r="G14" s="324" t="s">
        <v>711</v>
      </c>
      <c r="H14" s="324" t="s">
        <v>1340</v>
      </c>
    </row>
    <row r="15" spans="1:25" s="305" customFormat="1">
      <c r="B15" s="221" t="s">
        <v>1341</v>
      </c>
      <c r="C15" s="221">
        <v>30</v>
      </c>
      <c r="D15" s="221" t="s">
        <v>1342</v>
      </c>
      <c r="E15" s="222">
        <f>+'Categorias de Costos lácteo '!C143</f>
        <v>1000000</v>
      </c>
      <c r="F15" s="224"/>
      <c r="G15" s="221"/>
      <c r="H15" s="222">
        <f>+C15*E15</f>
        <v>30000000</v>
      </c>
    </row>
    <row r="16" spans="1:25" s="305" customFormat="1">
      <c r="B16" s="221" t="s">
        <v>1343</v>
      </c>
      <c r="C16" s="221">
        <v>30</v>
      </c>
      <c r="D16" s="221" t="s">
        <v>1342</v>
      </c>
      <c r="E16" s="222">
        <f>+'Categorias de Costos lácteo '!C133</f>
        <v>100000</v>
      </c>
      <c r="F16" s="224"/>
      <c r="G16" s="221"/>
      <c r="H16" s="222">
        <f t="shared" ref="H16:H22" si="6">+C16*E16</f>
        <v>3000000</v>
      </c>
    </row>
    <row r="17" spans="2:8" s="305" customFormat="1">
      <c r="B17" s="221" t="s">
        <v>1344</v>
      </c>
      <c r="C17" s="221">
        <v>8</v>
      </c>
      <c r="D17" s="221" t="s">
        <v>1342</v>
      </c>
      <c r="E17" s="222">
        <f>+'Categorias de Costos lácteo '!C123</f>
        <v>5000000</v>
      </c>
      <c r="F17" s="224"/>
      <c r="G17" s="221"/>
      <c r="H17" s="222">
        <f t="shared" si="6"/>
        <v>40000000</v>
      </c>
    </row>
    <row r="18" spans="2:8" s="305" customFormat="1">
      <c r="B18" s="221" t="s">
        <v>1345</v>
      </c>
      <c r="C18" s="221">
        <v>10</v>
      </c>
      <c r="D18" s="221" t="s">
        <v>1342</v>
      </c>
      <c r="E18" s="222">
        <f>+'Categorias de Costos lácteo '!C124</f>
        <v>5700000</v>
      </c>
      <c r="F18" s="222"/>
      <c r="G18" s="221"/>
      <c r="H18" s="222">
        <f t="shared" si="6"/>
        <v>57000000</v>
      </c>
    </row>
    <row r="19" spans="2:8" s="305" customFormat="1">
      <c r="B19" s="221" t="s">
        <v>1346</v>
      </c>
      <c r="C19" s="221">
        <v>30</v>
      </c>
      <c r="D19" s="221" t="s">
        <v>1342</v>
      </c>
      <c r="E19" s="222">
        <f>+'Categorias de Costos lácteo '!C134</f>
        <v>570000</v>
      </c>
      <c r="F19" s="222"/>
      <c r="G19" s="221"/>
      <c r="H19" s="222">
        <f t="shared" si="6"/>
        <v>17100000</v>
      </c>
    </row>
    <row r="20" spans="2:8" s="305" customFormat="1">
      <c r="B20" s="165" t="s">
        <v>1496</v>
      </c>
      <c r="C20" s="221">
        <v>1</v>
      </c>
      <c r="D20" s="221" t="s">
        <v>1342</v>
      </c>
      <c r="E20" s="222">
        <f>+'Categorias de Costos lácteo '!C214</f>
        <v>113300000</v>
      </c>
      <c r="F20" s="237"/>
      <c r="G20" s="221"/>
      <c r="H20" s="222">
        <f t="shared" si="6"/>
        <v>113300000</v>
      </c>
    </row>
    <row r="21" spans="2:8" s="305" customFormat="1">
      <c r="B21" s="165" t="s">
        <v>1348</v>
      </c>
      <c r="C21" s="221">
        <v>1</v>
      </c>
      <c r="D21" s="221" t="s">
        <v>1342</v>
      </c>
      <c r="E21" s="222">
        <v>50000000</v>
      </c>
      <c r="F21" s="237"/>
      <c r="G21" s="221"/>
      <c r="H21" s="222">
        <f t="shared" si="6"/>
        <v>50000000</v>
      </c>
    </row>
    <row r="22" spans="2:8" s="305" customFormat="1">
      <c r="B22" s="165" t="s">
        <v>1428</v>
      </c>
      <c r="C22" s="221">
        <v>20</v>
      </c>
      <c r="D22" s="221" t="s">
        <v>1584</v>
      </c>
      <c r="E22" s="222">
        <f>+'Categorias de Costos lácteo '!C132</f>
        <v>6010000</v>
      </c>
      <c r="F22" s="237"/>
      <c r="G22" s="221"/>
      <c r="H22" s="222">
        <f t="shared" si="6"/>
        <v>120200000</v>
      </c>
    </row>
    <row r="23" spans="2:8" s="305" customFormat="1">
      <c r="B23" s="165" t="s">
        <v>1589</v>
      </c>
      <c r="C23" s="221">
        <v>5</v>
      </c>
      <c r="D23" s="221" t="s">
        <v>1342</v>
      </c>
      <c r="E23" s="222">
        <f>+'Categorias de Costos lácteo '!D50</f>
        <v>6982386</v>
      </c>
      <c r="F23" s="237">
        <v>1</v>
      </c>
      <c r="G23" s="221">
        <v>12</v>
      </c>
      <c r="H23" s="222">
        <f>+G23*C23*E23</f>
        <v>418943160</v>
      </c>
    </row>
    <row r="24" spans="2:8" s="305" customFormat="1">
      <c r="B24" s="165" t="s">
        <v>1600</v>
      </c>
      <c r="C24" s="221">
        <v>10</v>
      </c>
      <c r="D24" s="221" t="s">
        <v>1342</v>
      </c>
      <c r="E24" s="222">
        <f>+'Categorias de Costos lácteo '!D53</f>
        <v>4857310</v>
      </c>
      <c r="F24" s="237">
        <v>1</v>
      </c>
      <c r="G24" s="221">
        <v>6</v>
      </c>
      <c r="H24" s="222">
        <f>+G24*C24*E24</f>
        <v>291438600</v>
      </c>
    </row>
    <row r="25" spans="2:8" s="305" customFormat="1">
      <c r="B25" s="165" t="s">
        <v>1354</v>
      </c>
      <c r="C25" s="221">
        <v>10</v>
      </c>
      <c r="D25" s="221" t="s">
        <v>1342</v>
      </c>
      <c r="E25" s="222">
        <f>+'Categorias de Costos lácteo '!G50+'Categorias de Costos lácteo '!C82</f>
        <v>2098191.5</v>
      </c>
      <c r="F25" s="237"/>
      <c r="G25" s="221"/>
      <c r="H25" s="222">
        <f>C25*E25</f>
        <v>20981915</v>
      </c>
    </row>
    <row r="26" spans="2:8" s="305" customFormat="1">
      <c r="B26" s="336" t="s">
        <v>1601</v>
      </c>
      <c r="C26" s="336">
        <v>25</v>
      </c>
      <c r="D26" s="336" t="s">
        <v>1342</v>
      </c>
      <c r="E26" s="337">
        <f>+'Categorias de Costos lácteo '!H572</f>
        <v>25665762.120000001</v>
      </c>
      <c r="F26" s="328">
        <v>0.15</v>
      </c>
      <c r="G26" s="336"/>
      <c r="H26" s="337">
        <f>+C26*E26*F26</f>
        <v>96246607.950000003</v>
      </c>
    </row>
    <row r="27" spans="2:8" s="305" customFormat="1">
      <c r="B27" s="336" t="s">
        <v>1602</v>
      </c>
      <c r="C27" s="336">
        <v>15</v>
      </c>
      <c r="D27" s="336" t="s">
        <v>1342</v>
      </c>
      <c r="E27" s="337">
        <f>+'Categorias de Costos lácteo '!H573</f>
        <v>74429584.600000009</v>
      </c>
      <c r="F27" s="328">
        <v>0.1</v>
      </c>
      <c r="G27" s="336"/>
      <c r="H27" s="337">
        <f>+C27*E27*F27</f>
        <v>111644376.90000004</v>
      </c>
    </row>
    <row r="28" spans="2:8" s="305" customFormat="1">
      <c r="B28" s="336" t="s">
        <v>1603</v>
      </c>
      <c r="C28" s="336">
        <v>10</v>
      </c>
      <c r="D28" s="336" t="s">
        <v>1342</v>
      </c>
      <c r="E28" s="337">
        <f>+'Categorias de Costos lácteo '!H574</f>
        <v>315256010.10000002</v>
      </c>
      <c r="F28" s="328">
        <v>0.05</v>
      </c>
      <c r="G28" s="336"/>
      <c r="H28" s="337">
        <f>+C28*E28*F28</f>
        <v>157628005.05000001</v>
      </c>
    </row>
    <row r="29" spans="2:8" s="305" customFormat="1">
      <c r="B29" s="336" t="s">
        <v>1604</v>
      </c>
      <c r="C29" s="336">
        <v>2</v>
      </c>
      <c r="D29" s="326" t="s">
        <v>1605</v>
      </c>
      <c r="E29" s="327">
        <v>3500000000</v>
      </c>
      <c r="F29" s="328">
        <v>0.1</v>
      </c>
      <c r="G29" s="346"/>
      <c r="H29" s="327">
        <f>+C29*E29*F29</f>
        <v>700000000</v>
      </c>
    </row>
    <row r="30" spans="2:8" s="305" customFormat="1">
      <c r="B30" s="336" t="s">
        <v>1606</v>
      </c>
      <c r="C30" s="347">
        <v>3485.7142857142858</v>
      </c>
      <c r="D30" s="326" t="s">
        <v>1592</v>
      </c>
      <c r="E30" s="327">
        <f>474*35%*'Categorias de Costos lácteo '!C202</f>
        <v>598598.7209999999</v>
      </c>
      <c r="F30" s="328">
        <v>0.2</v>
      </c>
      <c r="G30" s="346"/>
      <c r="H30" s="327">
        <f>C30*E30*F30</f>
        <v>417308822.63999999</v>
      </c>
    </row>
    <row r="31" spans="2:8" s="305" customFormat="1">
      <c r="B31" s="326" t="s">
        <v>1607</v>
      </c>
      <c r="C31" s="326">
        <v>1</v>
      </c>
      <c r="D31" s="326" t="s">
        <v>1342</v>
      </c>
      <c r="E31" s="327"/>
      <c r="F31" s="328"/>
      <c r="G31" s="326"/>
      <c r="H31" s="327" t="s">
        <v>1331</v>
      </c>
    </row>
    <row r="32" spans="2:8" s="305" customFormat="1">
      <c r="B32" s="326" t="s">
        <v>1608</v>
      </c>
      <c r="C32" s="326"/>
      <c r="D32" s="326"/>
      <c r="E32" s="327"/>
      <c r="F32" s="328"/>
      <c r="G32" s="326"/>
      <c r="H32" s="327" t="s">
        <v>1331</v>
      </c>
    </row>
    <row r="33" spans="1:8">
      <c r="B33" s="281" t="s">
        <v>1508</v>
      </c>
      <c r="C33" s="282"/>
      <c r="D33" s="282"/>
      <c r="E33" s="283"/>
      <c r="F33" s="283"/>
      <c r="G33" s="282"/>
      <c r="H33" s="329">
        <f>SUM(H15:H28)</f>
        <v>1527482664.9000001</v>
      </c>
    </row>
    <row r="34" spans="1:8">
      <c r="B34" s="340" t="s">
        <v>1449</v>
      </c>
      <c r="C34" s="286"/>
      <c r="D34" s="286"/>
      <c r="E34" s="287"/>
      <c r="F34" s="287"/>
      <c r="G34" s="286"/>
      <c r="H34" s="341">
        <f>SUM(H15:H31)</f>
        <v>2644791487.54</v>
      </c>
    </row>
    <row r="35" spans="1:8" ht="284.25" customHeight="1">
      <c r="B35" s="348" t="s">
        <v>1609</v>
      </c>
    </row>
    <row r="37" spans="1:8" ht="31.5" customHeight="1">
      <c r="A37" s="698"/>
      <c r="B37" s="699" t="str">
        <f>+B10</f>
        <v>13.2. Promoción de procesos de conservación de los ecosistemas naturales y los paisajes ganaderos</v>
      </c>
      <c r="C37" s="699"/>
      <c r="D37" s="699"/>
      <c r="E37" s="699"/>
      <c r="F37" s="699"/>
      <c r="G37" s="699"/>
      <c r="H37" s="699"/>
    </row>
    <row r="38" spans="1:8">
      <c r="A38" s="698"/>
      <c r="B38" s="324" t="s">
        <v>1338</v>
      </c>
      <c r="C38" s="324" t="s">
        <v>522</v>
      </c>
      <c r="D38" s="324" t="s">
        <v>263</v>
      </c>
      <c r="E38" s="324" t="s">
        <v>262</v>
      </c>
      <c r="F38" s="324" t="s">
        <v>1339</v>
      </c>
      <c r="G38" s="324" t="s">
        <v>711</v>
      </c>
      <c r="H38" s="324" t="s">
        <v>1340</v>
      </c>
    </row>
    <row r="39" spans="1:8">
      <c r="B39" s="221" t="s">
        <v>1341</v>
      </c>
      <c r="C39" s="221">
        <v>30</v>
      </c>
      <c r="D39" s="221" t="s">
        <v>1342</v>
      </c>
      <c r="E39" s="222">
        <f>+'Categorias de Costos lácteo '!C143</f>
        <v>1000000</v>
      </c>
      <c r="F39" s="224"/>
      <c r="G39" s="221"/>
      <c r="H39" s="222">
        <f>+C39*E39</f>
        <v>30000000</v>
      </c>
    </row>
    <row r="40" spans="1:8">
      <c r="B40" s="221" t="s">
        <v>1343</v>
      </c>
      <c r="C40" s="221">
        <v>30</v>
      </c>
      <c r="D40" s="221" t="s">
        <v>1342</v>
      </c>
      <c r="E40" s="222">
        <f>+'Categorias de Costos lácteo '!C133</f>
        <v>100000</v>
      </c>
      <c r="F40" s="224"/>
      <c r="G40" s="221"/>
      <c r="H40" s="222">
        <f t="shared" ref="H40:H46" si="7">+C40*E40</f>
        <v>3000000</v>
      </c>
    </row>
    <row r="41" spans="1:8">
      <c r="B41" s="221" t="s">
        <v>1344</v>
      </c>
      <c r="C41" s="221">
        <v>8</v>
      </c>
      <c r="D41" s="221" t="s">
        <v>1342</v>
      </c>
      <c r="E41" s="222">
        <f>+'Categorias de Costos lácteo '!C123</f>
        <v>5000000</v>
      </c>
      <c r="F41" s="224"/>
      <c r="G41" s="221"/>
      <c r="H41" s="222">
        <f t="shared" si="7"/>
        <v>40000000</v>
      </c>
    </row>
    <row r="42" spans="1:8">
      <c r="B42" s="221" t="s">
        <v>1345</v>
      </c>
      <c r="C42" s="221">
        <v>10</v>
      </c>
      <c r="D42" s="221" t="s">
        <v>1342</v>
      </c>
      <c r="E42" s="222">
        <f>+'Categorias de Costos lácteo '!C124</f>
        <v>5700000</v>
      </c>
      <c r="F42" s="222"/>
      <c r="G42" s="221"/>
      <c r="H42" s="222">
        <f t="shared" si="7"/>
        <v>57000000</v>
      </c>
    </row>
    <row r="43" spans="1:8">
      <c r="B43" s="221" t="s">
        <v>1346</v>
      </c>
      <c r="C43" s="221">
        <v>30</v>
      </c>
      <c r="D43" s="221" t="s">
        <v>1342</v>
      </c>
      <c r="E43" s="222">
        <f>+'Categorias de Costos lácteo '!C134</f>
        <v>570000</v>
      </c>
      <c r="F43" s="222"/>
      <c r="G43" s="221"/>
      <c r="H43" s="222">
        <f t="shared" si="7"/>
        <v>17100000</v>
      </c>
    </row>
    <row r="44" spans="1:8">
      <c r="B44" s="165" t="s">
        <v>1496</v>
      </c>
      <c r="C44" s="221">
        <v>1</v>
      </c>
      <c r="D44" s="221" t="s">
        <v>1342</v>
      </c>
      <c r="E44" s="222">
        <f>+'Categorias de Costos lácteo '!C214</f>
        <v>113300000</v>
      </c>
      <c r="F44" s="237"/>
      <c r="G44" s="221"/>
      <c r="H44" s="222">
        <f t="shared" si="7"/>
        <v>113300000</v>
      </c>
    </row>
    <row r="45" spans="1:8">
      <c r="B45" s="165" t="s">
        <v>1348</v>
      </c>
      <c r="C45" s="221">
        <v>1</v>
      </c>
      <c r="D45" s="221" t="s">
        <v>1342</v>
      </c>
      <c r="E45" s="222">
        <v>50000000</v>
      </c>
      <c r="F45" s="237"/>
      <c r="G45" s="221"/>
      <c r="H45" s="222">
        <f t="shared" si="7"/>
        <v>50000000</v>
      </c>
    </row>
    <row r="46" spans="1:8">
      <c r="B46" s="165" t="s">
        <v>1428</v>
      </c>
      <c r="C46" s="221">
        <v>20</v>
      </c>
      <c r="D46" s="221" t="s">
        <v>1584</v>
      </c>
      <c r="E46" s="222">
        <f>+'Categorias de Costos lácteo '!C132</f>
        <v>6010000</v>
      </c>
      <c r="F46" s="237"/>
      <c r="G46" s="221"/>
      <c r="H46" s="222">
        <f t="shared" si="7"/>
        <v>120200000</v>
      </c>
    </row>
    <row r="47" spans="1:8">
      <c r="B47" s="165" t="s">
        <v>1589</v>
      </c>
      <c r="C47" s="221">
        <v>2</v>
      </c>
      <c r="D47" s="221" t="s">
        <v>1342</v>
      </c>
      <c r="E47" s="222">
        <f>+'Categorias de Costos lácteo '!D50</f>
        <v>6982386</v>
      </c>
      <c r="F47" s="237">
        <v>1</v>
      </c>
      <c r="G47" s="221">
        <v>12</v>
      </c>
      <c r="H47" s="222">
        <f>+G47*C47*E47</f>
        <v>167577264</v>
      </c>
    </row>
    <row r="48" spans="1:8">
      <c r="B48" s="165" t="s">
        <v>1610</v>
      </c>
      <c r="C48" s="221">
        <v>10</v>
      </c>
      <c r="D48" s="221" t="s">
        <v>1342</v>
      </c>
      <c r="E48" s="222">
        <f>+'Categorias de Costos lácteo '!D52</f>
        <v>5464476</v>
      </c>
      <c r="F48" s="237">
        <v>1</v>
      </c>
      <c r="G48" s="221">
        <v>6</v>
      </c>
      <c r="H48" s="222">
        <f>+G48*C48*E48</f>
        <v>327868560</v>
      </c>
    </row>
    <row r="49" spans="2:8">
      <c r="B49" s="336" t="s">
        <v>1611</v>
      </c>
      <c r="C49" s="349">
        <v>3924.2857142857142</v>
      </c>
      <c r="D49" s="336" t="s">
        <v>1592</v>
      </c>
      <c r="E49" s="350">
        <f>'Categorias de Costos lácteo '!H578</f>
        <v>1214169</v>
      </c>
      <c r="F49" s="237">
        <v>0.2</v>
      </c>
      <c r="G49" s="336"/>
      <c r="H49" s="337">
        <f>C49*E49*F49</f>
        <v>952949212.28571439</v>
      </c>
    </row>
    <row r="50" spans="2:8">
      <c r="B50" s="336" t="s">
        <v>1612</v>
      </c>
      <c r="C50" s="336"/>
      <c r="D50" s="336"/>
      <c r="E50" s="350"/>
      <c r="F50" s="337"/>
      <c r="G50" s="336"/>
      <c r="H50" s="337" t="s">
        <v>1331</v>
      </c>
    </row>
    <row r="51" spans="2:8">
      <c r="B51" s="281" t="s">
        <v>1613</v>
      </c>
      <c r="C51" s="282"/>
      <c r="D51" s="282"/>
      <c r="E51" s="283"/>
      <c r="F51" s="283"/>
      <c r="G51" s="282"/>
      <c r="H51" s="329">
        <f>SUM(H39:H48)</f>
        <v>926045824</v>
      </c>
    </row>
    <row r="52" spans="2:8">
      <c r="B52" s="340" t="s">
        <v>1614</v>
      </c>
      <c r="C52" s="286"/>
      <c r="D52" s="286"/>
      <c r="E52" s="287"/>
      <c r="F52" s="287"/>
      <c r="G52" s="286"/>
      <c r="H52" s="341">
        <f>SUM(H39:H49)</f>
        <v>1878995036.2857144</v>
      </c>
    </row>
    <row r="53" spans="2:8" s="351" customFormat="1" ht="180">
      <c r="B53" s="430" t="s">
        <v>1615</v>
      </c>
    </row>
    <row r="54" spans="2:8" s="351" customFormat="1">
      <c r="B54" s="429"/>
    </row>
    <row r="56" spans="2:8">
      <c r="B56" s="305"/>
      <c r="C56" s="305"/>
      <c r="D56" s="305"/>
      <c r="E56" s="305"/>
      <c r="F56" s="305"/>
      <c r="G56" s="305"/>
      <c r="H56" s="305"/>
    </row>
  </sheetData>
  <mergeCells count="3">
    <mergeCell ref="B13:H13"/>
    <mergeCell ref="A37:A38"/>
    <mergeCell ref="B37:H3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17"/>
  <sheetViews>
    <sheetView windowProtection="1" showGridLines="0" zoomScale="87" zoomScaleNormal="87" workbookViewId="0">
      <selection activeCell="H56" sqref="H56"/>
    </sheetView>
  </sheetViews>
  <sheetFormatPr baseColWidth="10" defaultColWidth="11.42578125" defaultRowHeight="15"/>
  <cols>
    <col min="1" max="1" width="13.42578125" style="305" customWidth="1"/>
    <col min="2" max="2" width="66.7109375" style="305" customWidth="1"/>
    <col min="3" max="3" width="19.85546875" style="305" customWidth="1"/>
    <col min="4" max="4" width="20.42578125" style="305" customWidth="1"/>
    <col min="5" max="5" width="17.42578125" style="305" customWidth="1"/>
    <col min="6" max="6" width="17.85546875" style="305" customWidth="1"/>
    <col min="7" max="7" width="18.42578125" style="305" customWidth="1"/>
    <col min="8" max="8" width="23.42578125" style="305" bestFit="1" customWidth="1"/>
    <col min="9" max="9" width="19.7109375" style="305" customWidth="1"/>
    <col min="10" max="14" width="17.85546875" style="305" bestFit="1" customWidth="1"/>
    <col min="15" max="16" width="18.140625" style="305" bestFit="1" customWidth="1"/>
    <col min="17" max="17" width="17.85546875" style="305" bestFit="1" customWidth="1"/>
    <col min="18" max="18" width="17.85546875" style="305" customWidth="1"/>
    <col min="19" max="21" width="18.140625" style="305" bestFit="1" customWidth="1"/>
    <col min="22" max="22" width="17" style="305" bestFit="1" customWidth="1"/>
    <col min="23" max="23" width="20.28515625" style="305" customWidth="1"/>
    <col min="24" max="24" width="17" style="305" customWidth="1"/>
    <col min="25" max="25" width="19.42578125" style="305" bestFit="1" customWidth="1"/>
    <col min="26" max="16384" width="11.42578125" style="305"/>
  </cols>
  <sheetData>
    <row r="2" spans="1:25">
      <c r="A2" s="304" t="s">
        <v>1334</v>
      </c>
    </row>
    <row r="3" spans="1:25">
      <c r="A3" s="307"/>
      <c r="B3" s="306"/>
    </row>
    <row r="4" spans="1:25">
      <c r="A4" s="308" t="s">
        <v>38</v>
      </c>
      <c r="B4" s="308" t="s">
        <v>1178</v>
      </c>
    </row>
    <row r="5" spans="1:25">
      <c r="A5" s="309"/>
      <c r="B5" s="309"/>
    </row>
    <row r="6" spans="1:25">
      <c r="A6" s="307"/>
      <c r="B6" s="307"/>
    </row>
    <row r="7" spans="1:25" s="352" customFormat="1">
      <c r="B7" s="311"/>
      <c r="C7" s="311"/>
      <c r="D7" s="353">
        <v>0</v>
      </c>
      <c r="E7" s="353">
        <v>1</v>
      </c>
      <c r="F7" s="353">
        <v>2</v>
      </c>
      <c r="G7" s="353">
        <v>3</v>
      </c>
      <c r="H7" s="353">
        <v>4</v>
      </c>
      <c r="I7" s="353">
        <v>5</v>
      </c>
      <c r="J7" s="353">
        <v>6</v>
      </c>
      <c r="K7" s="353">
        <v>7</v>
      </c>
      <c r="L7" s="353">
        <v>8</v>
      </c>
      <c r="M7" s="353">
        <v>9</v>
      </c>
      <c r="N7" s="353">
        <v>10</v>
      </c>
      <c r="O7" s="353">
        <v>11</v>
      </c>
      <c r="P7" s="353">
        <v>12</v>
      </c>
      <c r="Q7" s="353">
        <v>13</v>
      </c>
      <c r="R7" s="353">
        <v>14</v>
      </c>
      <c r="S7" s="353">
        <v>15</v>
      </c>
      <c r="T7" s="353">
        <v>16</v>
      </c>
      <c r="U7" s="353">
        <v>17</v>
      </c>
      <c r="V7" s="353">
        <v>18</v>
      </c>
      <c r="W7" s="353">
        <v>19</v>
      </c>
      <c r="X7" s="353">
        <v>20</v>
      </c>
      <c r="Y7" s="353" t="s">
        <v>46</v>
      </c>
    </row>
    <row r="8" spans="1:25" s="355" customFormat="1">
      <c r="A8" s="701"/>
      <c r="B8" s="312" t="s">
        <v>1336</v>
      </c>
      <c r="C8" s="324" t="s">
        <v>42</v>
      </c>
      <c r="D8" s="354">
        <f t="shared" ref="D8:F8" si="0">SUM(D9:D14)</f>
        <v>0</v>
      </c>
      <c r="E8" s="354">
        <f t="shared" si="0"/>
        <v>0</v>
      </c>
      <c r="F8" s="354">
        <f t="shared" si="0"/>
        <v>0</v>
      </c>
      <c r="G8" s="354">
        <f>SUM(G9:G13)</f>
        <v>4591329813</v>
      </c>
      <c r="H8" s="354">
        <f t="shared" ref="H8:X8" si="1">SUM(H9:H13)</f>
        <v>5362934151.5</v>
      </c>
      <c r="I8" s="354">
        <f t="shared" si="1"/>
        <v>6084134589.5</v>
      </c>
      <c r="J8" s="354">
        <f t="shared" si="1"/>
        <v>23087460052.639999</v>
      </c>
      <c r="K8" s="354">
        <f t="shared" si="1"/>
        <v>25333186391.779999</v>
      </c>
      <c r="L8" s="354">
        <f t="shared" si="1"/>
        <v>41300379925.779999</v>
      </c>
      <c r="M8" s="354">
        <f t="shared" si="1"/>
        <v>42021580363.779999</v>
      </c>
      <c r="N8" s="354">
        <f t="shared" si="1"/>
        <v>41300379925.779999</v>
      </c>
      <c r="O8" s="354">
        <f t="shared" si="1"/>
        <v>42021580363.779999</v>
      </c>
      <c r="P8" s="354">
        <f t="shared" si="1"/>
        <v>41300379925.779999</v>
      </c>
      <c r="Q8" s="354">
        <f t="shared" si="1"/>
        <v>42021580363.779999</v>
      </c>
      <c r="R8" s="354">
        <f t="shared" si="1"/>
        <v>38824823836.139999</v>
      </c>
      <c r="S8" s="354">
        <f t="shared" si="1"/>
        <v>40497054462.639999</v>
      </c>
      <c r="T8" s="354">
        <f t="shared" si="1"/>
        <v>22624823836.139999</v>
      </c>
      <c r="U8" s="354">
        <f t="shared" si="1"/>
        <v>22772528561.5</v>
      </c>
      <c r="V8" s="354">
        <f t="shared" si="1"/>
        <v>4411903963</v>
      </c>
      <c r="W8" s="354">
        <f t="shared" si="1"/>
        <v>6084134589.5</v>
      </c>
      <c r="X8" s="354">
        <f t="shared" si="1"/>
        <v>4411903963</v>
      </c>
      <c r="Y8" s="354">
        <f>SUM(D8:X8)</f>
        <v>454052099079.02002</v>
      </c>
    </row>
    <row r="9" spans="1:25" s="355" customFormat="1">
      <c r="A9" s="701"/>
      <c r="B9" s="428" t="s">
        <v>1179</v>
      </c>
      <c r="C9" s="315" t="s">
        <v>1599</v>
      </c>
      <c r="D9" s="316"/>
      <c r="E9" s="316"/>
      <c r="F9" s="316"/>
      <c r="G9" s="316">
        <f>+H36</f>
        <v>1981198748.5</v>
      </c>
      <c r="H9" s="316">
        <f>+G9</f>
        <v>1981198748.5</v>
      </c>
      <c r="I9" s="316">
        <f>+H9</f>
        <v>1981198748.5</v>
      </c>
      <c r="J9" s="316">
        <f>+H37</f>
        <v>18181198748.5</v>
      </c>
      <c r="K9" s="316">
        <f t="shared" ref="K9:S9" si="2">+J9</f>
        <v>18181198748.5</v>
      </c>
      <c r="L9" s="316">
        <f t="shared" si="2"/>
        <v>18181198748.5</v>
      </c>
      <c r="M9" s="316">
        <f t="shared" si="2"/>
        <v>18181198748.5</v>
      </c>
      <c r="N9" s="316">
        <f t="shared" si="2"/>
        <v>18181198748.5</v>
      </c>
      <c r="O9" s="316">
        <f t="shared" si="2"/>
        <v>18181198748.5</v>
      </c>
      <c r="P9" s="316">
        <f t="shared" si="2"/>
        <v>18181198748.5</v>
      </c>
      <c r="Q9" s="316">
        <f t="shared" si="2"/>
        <v>18181198748.5</v>
      </c>
      <c r="R9" s="316">
        <f t="shared" si="2"/>
        <v>18181198748.5</v>
      </c>
      <c r="S9" s="316">
        <f t="shared" si="2"/>
        <v>18181198748.5</v>
      </c>
      <c r="T9" s="316">
        <f>+I9</f>
        <v>1981198748.5</v>
      </c>
      <c r="U9" s="316">
        <f>+T9</f>
        <v>1981198748.5</v>
      </c>
      <c r="V9" s="316">
        <f>+U9</f>
        <v>1981198748.5</v>
      </c>
      <c r="W9" s="316">
        <f>+V9</f>
        <v>1981198748.5</v>
      </c>
      <c r="X9" s="316">
        <f>+W9</f>
        <v>1981198748.5</v>
      </c>
      <c r="Y9" s="318">
        <f>SUM(D9:X9)</f>
        <v>197661577473</v>
      </c>
    </row>
    <row r="10" spans="1:25" s="355" customFormat="1">
      <c r="A10" s="305"/>
      <c r="B10" s="428" t="s">
        <v>1319</v>
      </c>
      <c r="C10" s="315" t="s">
        <v>1616</v>
      </c>
      <c r="D10" s="316"/>
      <c r="E10" s="316"/>
      <c r="F10" s="316"/>
      <c r="G10" s="316"/>
      <c r="H10" s="316">
        <f>+H59</f>
        <v>1492804776.5</v>
      </c>
      <c r="I10" s="316">
        <f>+H10</f>
        <v>1492804776.5</v>
      </c>
      <c r="J10" s="316">
        <f>+I10</f>
        <v>1492804776.5</v>
      </c>
      <c r="K10" s="316">
        <f>+J10</f>
        <v>1492804776.5</v>
      </c>
      <c r="L10" s="316">
        <f>+H37</f>
        <v>18181198748.5</v>
      </c>
      <c r="M10" s="316">
        <f t="shared" ref="M10:T10" si="3">+L10</f>
        <v>18181198748.5</v>
      </c>
      <c r="N10" s="316">
        <f t="shared" si="3"/>
        <v>18181198748.5</v>
      </c>
      <c r="O10" s="316">
        <f t="shared" si="3"/>
        <v>18181198748.5</v>
      </c>
      <c r="P10" s="316">
        <f t="shared" si="3"/>
        <v>18181198748.5</v>
      </c>
      <c r="Q10" s="316">
        <f t="shared" si="3"/>
        <v>18181198748.5</v>
      </c>
      <c r="R10" s="316">
        <f t="shared" si="3"/>
        <v>18181198748.5</v>
      </c>
      <c r="S10" s="316">
        <f t="shared" si="3"/>
        <v>18181198748.5</v>
      </c>
      <c r="T10" s="316">
        <f t="shared" si="3"/>
        <v>18181198748.5</v>
      </c>
      <c r="U10" s="316">
        <f>+S10</f>
        <v>18181198748.5</v>
      </c>
      <c r="V10" s="316">
        <f>+H10</f>
        <v>1492804776.5</v>
      </c>
      <c r="W10" s="316">
        <f>+V10</f>
        <v>1492804776.5</v>
      </c>
      <c r="X10" s="316">
        <f>+W10</f>
        <v>1492804776.5</v>
      </c>
      <c r="Y10" s="318">
        <f t="shared" ref="Y10:Y13" si="4">SUM(D10:X10)</f>
        <v>192261620920.5</v>
      </c>
    </row>
    <row r="11" spans="1:25" s="355" customFormat="1">
      <c r="A11" s="305"/>
      <c r="B11" s="428" t="s">
        <v>1617</v>
      </c>
      <c r="C11" s="315" t="s">
        <v>1599</v>
      </c>
      <c r="D11" s="316"/>
      <c r="E11" s="316"/>
      <c r="F11" s="316"/>
      <c r="G11" s="316">
        <f>+H82</f>
        <v>951030188.5</v>
      </c>
      <c r="H11" s="316">
        <f>+H82</f>
        <v>951030188.5</v>
      </c>
      <c r="I11" s="316">
        <f>+H82</f>
        <v>951030188.5</v>
      </c>
      <c r="J11" s="316">
        <f>+H83</f>
        <v>2475556089.6400003</v>
      </c>
      <c r="K11" s="316">
        <f t="shared" ref="K11:Q11" si="5">+J11</f>
        <v>2475556089.6400003</v>
      </c>
      <c r="L11" s="316">
        <f t="shared" si="5"/>
        <v>2475556089.6400003</v>
      </c>
      <c r="M11" s="316">
        <f t="shared" si="5"/>
        <v>2475556089.6400003</v>
      </c>
      <c r="N11" s="316">
        <f t="shared" si="5"/>
        <v>2475556089.6400003</v>
      </c>
      <c r="O11" s="316">
        <f t="shared" si="5"/>
        <v>2475556089.6400003</v>
      </c>
      <c r="P11" s="316">
        <f t="shared" si="5"/>
        <v>2475556089.6400003</v>
      </c>
      <c r="Q11" s="316">
        <f t="shared" si="5"/>
        <v>2475556089.6400003</v>
      </c>
      <c r="R11" s="316"/>
      <c r="S11" s="316">
        <f>+I11</f>
        <v>951030188.5</v>
      </c>
      <c r="T11" s="316"/>
      <c r="U11" s="316">
        <f>+S11</f>
        <v>951030188.5</v>
      </c>
      <c r="V11" s="316"/>
      <c r="W11" s="316">
        <f>+U11</f>
        <v>951030188.5</v>
      </c>
      <c r="X11" s="316"/>
      <c r="Y11" s="318">
        <f t="shared" si="4"/>
        <v>25510629848.119999</v>
      </c>
    </row>
    <row r="12" spans="1:25" s="355" customFormat="1" ht="30">
      <c r="A12" s="305"/>
      <c r="B12" s="428" t="s">
        <v>1321</v>
      </c>
      <c r="C12" s="315" t="s">
        <v>1582</v>
      </c>
      <c r="D12" s="316"/>
      <c r="E12" s="316"/>
      <c r="F12" s="316"/>
      <c r="G12" s="316">
        <f>+H102</f>
        <v>937900438</v>
      </c>
      <c r="H12" s="316">
        <f>+H102</f>
        <v>937900438</v>
      </c>
      <c r="I12" s="316">
        <f>+H102</f>
        <v>937900438</v>
      </c>
      <c r="J12" s="316">
        <f>+H102</f>
        <v>937900438</v>
      </c>
      <c r="K12" s="316">
        <f>+H103</f>
        <v>2462426339.1400003</v>
      </c>
      <c r="L12" s="316">
        <f t="shared" ref="L12:T12" si="6">+K12</f>
        <v>2462426339.1400003</v>
      </c>
      <c r="M12" s="316">
        <f t="shared" si="6"/>
        <v>2462426339.1400003</v>
      </c>
      <c r="N12" s="316">
        <f t="shared" si="6"/>
        <v>2462426339.1400003</v>
      </c>
      <c r="O12" s="316">
        <f t="shared" si="6"/>
        <v>2462426339.1400003</v>
      </c>
      <c r="P12" s="316">
        <f t="shared" si="6"/>
        <v>2462426339.1400003</v>
      </c>
      <c r="Q12" s="316">
        <f t="shared" si="6"/>
        <v>2462426339.1400003</v>
      </c>
      <c r="R12" s="316">
        <f t="shared" si="6"/>
        <v>2462426339.1400003</v>
      </c>
      <c r="S12" s="316">
        <f t="shared" si="6"/>
        <v>2462426339.1400003</v>
      </c>
      <c r="T12" s="316">
        <f t="shared" si="6"/>
        <v>2462426339.1400003</v>
      </c>
      <c r="U12" s="316">
        <f>+H12</f>
        <v>937900438</v>
      </c>
      <c r="V12" s="316">
        <f>+U12</f>
        <v>937900438</v>
      </c>
      <c r="W12" s="316">
        <f>+V12</f>
        <v>937900438</v>
      </c>
      <c r="X12" s="316">
        <f>+W12</f>
        <v>937900438</v>
      </c>
      <c r="Y12" s="318">
        <f>SUM(D12:X12)</f>
        <v>32127466895.399998</v>
      </c>
    </row>
    <row r="13" spans="1:25" s="355" customFormat="1" ht="45">
      <c r="A13" s="305"/>
      <c r="B13" s="428" t="s">
        <v>1211</v>
      </c>
      <c r="C13" s="356" t="s">
        <v>1618</v>
      </c>
      <c r="D13" s="316"/>
      <c r="E13" s="316"/>
      <c r="F13" s="316"/>
      <c r="G13" s="316">
        <f>+H116</f>
        <v>721200438</v>
      </c>
      <c r="H13" s="316"/>
      <c r="I13" s="316">
        <f>+G13</f>
        <v>721200438</v>
      </c>
      <c r="J13" s="316"/>
      <c r="K13" s="316">
        <f>+I13</f>
        <v>721200438</v>
      </c>
      <c r="L13" s="316"/>
      <c r="M13" s="316">
        <f>+K13</f>
        <v>721200438</v>
      </c>
      <c r="N13" s="316"/>
      <c r="O13" s="316">
        <f>+M13</f>
        <v>721200438</v>
      </c>
      <c r="P13" s="316"/>
      <c r="Q13" s="316">
        <f>+O13</f>
        <v>721200438</v>
      </c>
      <c r="R13" s="316"/>
      <c r="S13" s="316">
        <f>+Q13</f>
        <v>721200438</v>
      </c>
      <c r="T13" s="316"/>
      <c r="U13" s="316">
        <f>+S13</f>
        <v>721200438</v>
      </c>
      <c r="V13" s="316"/>
      <c r="W13" s="316">
        <f>+U13</f>
        <v>721200438</v>
      </c>
      <c r="X13" s="316"/>
      <c r="Y13" s="318">
        <f t="shared" si="4"/>
        <v>6490803942</v>
      </c>
    </row>
    <row r="14" spans="1:25">
      <c r="B14" s="312"/>
      <c r="C14" s="324"/>
      <c r="D14" s="354">
        <f>SUM(D9:D13)</f>
        <v>0</v>
      </c>
      <c r="E14" s="354">
        <f t="shared" ref="E14:Y14" si="7">SUM(E9:E13)</f>
        <v>0</v>
      </c>
      <c r="F14" s="354">
        <f t="shared" si="7"/>
        <v>0</v>
      </c>
      <c r="G14" s="354">
        <f t="shared" si="7"/>
        <v>4591329813</v>
      </c>
      <c r="H14" s="354">
        <f t="shared" si="7"/>
        <v>5362934151.5</v>
      </c>
      <c r="I14" s="354">
        <f t="shared" si="7"/>
        <v>6084134589.5</v>
      </c>
      <c r="J14" s="354">
        <f t="shared" si="7"/>
        <v>23087460052.639999</v>
      </c>
      <c r="K14" s="354">
        <f t="shared" si="7"/>
        <v>25333186391.779999</v>
      </c>
      <c r="L14" s="354">
        <f t="shared" si="7"/>
        <v>41300379925.779999</v>
      </c>
      <c r="M14" s="354">
        <f t="shared" si="7"/>
        <v>42021580363.779999</v>
      </c>
      <c r="N14" s="354">
        <f t="shared" si="7"/>
        <v>41300379925.779999</v>
      </c>
      <c r="O14" s="354">
        <f t="shared" si="7"/>
        <v>42021580363.779999</v>
      </c>
      <c r="P14" s="354">
        <f t="shared" si="7"/>
        <v>41300379925.779999</v>
      </c>
      <c r="Q14" s="354">
        <f t="shared" si="7"/>
        <v>42021580363.779999</v>
      </c>
      <c r="R14" s="354">
        <f t="shared" si="7"/>
        <v>38824823836.139999</v>
      </c>
      <c r="S14" s="354">
        <f t="shared" si="7"/>
        <v>40497054462.639999</v>
      </c>
      <c r="T14" s="354">
        <f t="shared" si="7"/>
        <v>22624823836.139999</v>
      </c>
      <c r="U14" s="354">
        <f t="shared" si="7"/>
        <v>22772528561.5</v>
      </c>
      <c r="V14" s="354">
        <f t="shared" si="7"/>
        <v>4411903963</v>
      </c>
      <c r="W14" s="354">
        <f t="shared" si="7"/>
        <v>6084134589.5</v>
      </c>
      <c r="X14" s="354">
        <f t="shared" si="7"/>
        <v>4411903963</v>
      </c>
      <c r="Y14" s="354">
        <f t="shared" si="7"/>
        <v>454052099079.02002</v>
      </c>
    </row>
    <row r="15" spans="1:25">
      <c r="B15" s="357"/>
      <c r="C15" s="357"/>
      <c r="D15" s="357"/>
      <c r="E15" s="357"/>
      <c r="F15" s="357"/>
      <c r="G15" s="357"/>
      <c r="H15" s="357"/>
      <c r="Y15" s="358"/>
    </row>
    <row r="16" spans="1:25" ht="32.25" customHeight="1">
      <c r="A16" s="702"/>
      <c r="B16" s="696" t="str">
        <f>+B9</f>
        <v>14.1. Mejora de la gestión de residuos, en la producción de leche</v>
      </c>
      <c r="C16" s="696"/>
      <c r="D16" s="696"/>
      <c r="E16" s="696"/>
      <c r="F16" s="696"/>
      <c r="G16" s="696"/>
      <c r="H16" s="696"/>
    </row>
    <row r="17" spans="1:8">
      <c r="A17" s="702"/>
      <c r="B17" s="324" t="s">
        <v>1338</v>
      </c>
      <c r="C17" s="324" t="s">
        <v>522</v>
      </c>
      <c r="D17" s="324" t="s">
        <v>263</v>
      </c>
      <c r="E17" s="324" t="s">
        <v>262</v>
      </c>
      <c r="F17" s="324" t="s">
        <v>1339</v>
      </c>
      <c r="G17" s="324" t="s">
        <v>711</v>
      </c>
      <c r="H17" s="324" t="s">
        <v>1340</v>
      </c>
    </row>
    <row r="18" spans="1:8">
      <c r="A18" s="359"/>
      <c r="B18" s="221" t="s">
        <v>1341</v>
      </c>
      <c r="C18" s="221">
        <v>30</v>
      </c>
      <c r="D18" s="221" t="s">
        <v>1342</v>
      </c>
      <c r="E18" s="222">
        <f>+'Categorias de Costos lácteo '!C143</f>
        <v>1000000</v>
      </c>
      <c r="F18" s="224"/>
      <c r="G18" s="221"/>
      <c r="H18" s="222">
        <f>+C18*E18</f>
        <v>30000000</v>
      </c>
    </row>
    <row r="19" spans="1:8">
      <c r="A19" s="359"/>
      <c r="B19" s="221" t="s">
        <v>1343</v>
      </c>
      <c r="C19" s="221">
        <v>30</v>
      </c>
      <c r="D19" s="221" t="s">
        <v>1342</v>
      </c>
      <c r="E19" s="222">
        <f>+'Categorias de Costos lácteo '!C133</f>
        <v>100000</v>
      </c>
      <c r="F19" s="224"/>
      <c r="G19" s="221"/>
      <c r="H19" s="222">
        <f t="shared" ref="H19:H34" si="8">+C19*E19</f>
        <v>3000000</v>
      </c>
    </row>
    <row r="20" spans="1:8">
      <c r="A20" s="359"/>
      <c r="B20" s="221" t="s">
        <v>1349</v>
      </c>
      <c r="C20" s="221">
        <v>3</v>
      </c>
      <c r="D20" s="221" t="s">
        <v>1350</v>
      </c>
      <c r="E20" s="222">
        <f>+'Categorias de Costos lácteo '!C85</f>
        <v>3875000</v>
      </c>
      <c r="F20" s="223"/>
      <c r="G20" s="221"/>
      <c r="H20" s="222">
        <f>+C20*E20</f>
        <v>11625000</v>
      </c>
    </row>
    <row r="21" spans="1:8">
      <c r="A21" s="359"/>
      <c r="B21" s="221" t="s">
        <v>1351</v>
      </c>
      <c r="C21" s="221">
        <v>3</v>
      </c>
      <c r="D21" s="221" t="s">
        <v>1352</v>
      </c>
      <c r="E21" s="222">
        <f>+'Categorias de Costos lácteo '!G41</f>
        <v>2743387.5</v>
      </c>
      <c r="F21" s="223"/>
      <c r="G21" s="221"/>
      <c r="H21" s="222">
        <f>+C21*E21</f>
        <v>8230162.5</v>
      </c>
    </row>
    <row r="22" spans="1:8">
      <c r="A22" s="359"/>
      <c r="B22" s="221" t="s">
        <v>1344</v>
      </c>
      <c r="C22" s="221">
        <v>10</v>
      </c>
      <c r="D22" s="221" t="s">
        <v>1342</v>
      </c>
      <c r="E22" s="222">
        <f>+'Categorias de Costos lácteo '!C123</f>
        <v>5000000</v>
      </c>
      <c r="F22" s="224"/>
      <c r="G22" s="221"/>
      <c r="H22" s="222">
        <f t="shared" si="8"/>
        <v>50000000</v>
      </c>
    </row>
    <row r="23" spans="1:8">
      <c r="A23" s="359"/>
      <c r="B23" s="221" t="s">
        <v>1345</v>
      </c>
      <c r="C23" s="221">
        <v>30</v>
      </c>
      <c r="D23" s="221" t="s">
        <v>1342</v>
      </c>
      <c r="E23" s="222">
        <f>+'Categorias de Costos lácteo '!C124</f>
        <v>5700000</v>
      </c>
      <c r="F23" s="222"/>
      <c r="G23" s="221"/>
      <c r="H23" s="222">
        <f t="shared" si="8"/>
        <v>171000000</v>
      </c>
    </row>
    <row r="24" spans="1:8">
      <c r="A24" s="359"/>
      <c r="B24" s="221" t="s">
        <v>1346</v>
      </c>
      <c r="C24" s="221">
        <v>30</v>
      </c>
      <c r="D24" s="221" t="s">
        <v>1342</v>
      </c>
      <c r="E24" s="222">
        <f>+'Categorias de Costos lácteo '!C134</f>
        <v>570000</v>
      </c>
      <c r="F24" s="222"/>
      <c r="G24" s="221"/>
      <c r="H24" s="222">
        <f t="shared" si="8"/>
        <v>17100000</v>
      </c>
    </row>
    <row r="25" spans="1:8">
      <c r="A25" s="359"/>
      <c r="B25" s="165" t="s">
        <v>1588</v>
      </c>
      <c r="C25" s="221">
        <v>2</v>
      </c>
      <c r="D25" s="221" t="s">
        <v>1342</v>
      </c>
      <c r="E25" s="222">
        <f>+'Categorias de Costos lácteo '!C216</f>
        <v>87500000</v>
      </c>
      <c r="F25" s="237"/>
      <c r="G25" s="221"/>
      <c r="H25" s="222">
        <f t="shared" si="8"/>
        <v>175000000</v>
      </c>
    </row>
    <row r="26" spans="1:8">
      <c r="A26" s="359"/>
      <c r="B26" s="165" t="s">
        <v>1348</v>
      </c>
      <c r="C26" s="221">
        <v>1</v>
      </c>
      <c r="D26" s="221" t="s">
        <v>1342</v>
      </c>
      <c r="E26" s="222">
        <v>50000000</v>
      </c>
      <c r="F26" s="237"/>
      <c r="G26" s="221"/>
      <c r="H26" s="222">
        <f t="shared" si="8"/>
        <v>50000000</v>
      </c>
    </row>
    <row r="27" spans="1:8">
      <c r="A27" s="359"/>
      <c r="B27" s="165" t="s">
        <v>1589</v>
      </c>
      <c r="C27" s="221">
        <v>2</v>
      </c>
      <c r="D27" s="221" t="s">
        <v>1342</v>
      </c>
      <c r="E27" s="222">
        <f>+'Categorias de Costos lácteo '!D49</f>
        <v>7589549</v>
      </c>
      <c r="F27" s="237">
        <v>1</v>
      </c>
      <c r="G27" s="221">
        <v>12</v>
      </c>
      <c r="H27" s="222">
        <f>C27*E27*G27</f>
        <v>182149176</v>
      </c>
    </row>
    <row r="28" spans="1:8">
      <c r="A28" s="359"/>
      <c r="B28" s="165" t="s">
        <v>1590</v>
      </c>
      <c r="C28" s="221">
        <v>10</v>
      </c>
      <c r="D28" s="221" t="s">
        <v>1342</v>
      </c>
      <c r="E28" s="222">
        <f>+'Categorias de Costos lácteo '!D52</f>
        <v>5464476</v>
      </c>
      <c r="F28" s="237">
        <v>1</v>
      </c>
      <c r="G28" s="221">
        <v>6</v>
      </c>
      <c r="H28" s="222">
        <f t="shared" ref="H28" si="9">C28*E28*G28</f>
        <v>327868560</v>
      </c>
    </row>
    <row r="29" spans="1:8">
      <c r="A29" s="359"/>
      <c r="B29" s="165" t="s">
        <v>1354</v>
      </c>
      <c r="C29" s="221">
        <v>4</v>
      </c>
      <c r="D29" s="221" t="s">
        <v>1342</v>
      </c>
      <c r="E29" s="222">
        <f>+'Categorias de Costos lácteo '!G49+'Categorias de Costos lácteo '!C82</f>
        <v>2481462.5</v>
      </c>
      <c r="F29" s="237"/>
      <c r="G29" s="221"/>
      <c r="H29" s="222">
        <f>C29*E29</f>
        <v>9925850</v>
      </c>
    </row>
    <row r="30" spans="1:8">
      <c r="A30" s="359"/>
      <c r="B30" s="326" t="s">
        <v>1428</v>
      </c>
      <c r="C30" s="326">
        <v>30</v>
      </c>
      <c r="D30" s="326" t="s">
        <v>1342</v>
      </c>
      <c r="E30" s="327">
        <f>+'Categorias de Costos lácteo '!C132</f>
        <v>6010000</v>
      </c>
      <c r="F30" s="326"/>
      <c r="G30" s="326"/>
      <c r="H30" s="222">
        <f>+C30*E30</f>
        <v>180300000</v>
      </c>
    </row>
    <row r="31" spans="1:8">
      <c r="A31" s="359"/>
      <c r="B31" s="360" t="s">
        <v>1619</v>
      </c>
      <c r="C31" s="360">
        <v>3500</v>
      </c>
      <c r="D31" s="360" t="s">
        <v>1342</v>
      </c>
      <c r="E31" s="337">
        <f>+'Categorias de Costos lácteo '!F582</f>
        <v>3000000</v>
      </c>
      <c r="F31" s="328"/>
      <c r="G31" s="336"/>
      <c r="H31" s="222">
        <f t="shared" si="8"/>
        <v>10500000000</v>
      </c>
    </row>
    <row r="32" spans="1:8">
      <c r="A32" s="359"/>
      <c r="B32" s="360" t="s">
        <v>1620</v>
      </c>
      <c r="C32" s="360">
        <v>1500</v>
      </c>
      <c r="D32" s="360" t="s">
        <v>1342</v>
      </c>
      <c r="E32" s="337">
        <f>+'Categorias de Costos lácteo '!F583</f>
        <v>2500000</v>
      </c>
      <c r="F32" s="328"/>
      <c r="G32" s="336"/>
      <c r="H32" s="222">
        <f t="shared" si="8"/>
        <v>3750000000</v>
      </c>
    </row>
    <row r="33" spans="1:15">
      <c r="A33" s="359"/>
      <c r="B33" s="326" t="s">
        <v>1368</v>
      </c>
      <c r="C33" s="326">
        <f>3*50</f>
        <v>150</v>
      </c>
      <c r="D33" s="326" t="s">
        <v>1342</v>
      </c>
      <c r="E33" s="327">
        <f>+'Categorias de Costos lácteo '!C131</f>
        <v>13000000</v>
      </c>
      <c r="F33" s="326"/>
      <c r="G33" s="326"/>
      <c r="H33" s="222">
        <f t="shared" si="8"/>
        <v>1950000000</v>
      </c>
    </row>
    <row r="34" spans="1:15">
      <c r="A34" s="359"/>
      <c r="B34" s="361" t="s">
        <v>1502</v>
      </c>
      <c r="C34" s="326">
        <f>3*50</f>
        <v>150</v>
      </c>
      <c r="D34" s="326" t="s">
        <v>1342</v>
      </c>
      <c r="E34" s="327">
        <f>+'Categorias de Costos lácteo '!C130</f>
        <v>5100000</v>
      </c>
      <c r="F34" s="326"/>
      <c r="G34" s="326"/>
      <c r="H34" s="222">
        <f t="shared" si="8"/>
        <v>765000000</v>
      </c>
    </row>
    <row r="35" spans="1:15">
      <c r="B35" s="336" t="s">
        <v>1621</v>
      </c>
      <c r="C35" s="326"/>
      <c r="D35" s="326"/>
      <c r="E35" s="327"/>
      <c r="F35" s="328"/>
      <c r="G35" s="326"/>
      <c r="H35" s="327" t="s">
        <v>1331</v>
      </c>
    </row>
    <row r="36" spans="1:15">
      <c r="B36" s="281" t="s">
        <v>1508</v>
      </c>
      <c r="C36" s="282"/>
      <c r="D36" s="282"/>
      <c r="E36" s="283"/>
      <c r="F36" s="283"/>
      <c r="G36" s="282"/>
      <c r="H36" s="284">
        <f>SUM(H18:H35)-H31-H32-H33</f>
        <v>1981198748.5</v>
      </c>
    </row>
    <row r="37" spans="1:15">
      <c r="B37" s="340" t="s">
        <v>1449</v>
      </c>
      <c r="C37" s="362"/>
      <c r="D37" s="362"/>
      <c r="E37" s="363"/>
      <c r="F37" s="363"/>
      <c r="G37" s="362"/>
      <c r="H37" s="364">
        <f>SUM(H18:H35)</f>
        <v>18181198748.5</v>
      </c>
    </row>
    <row r="38" spans="1:15" s="365" customFormat="1" ht="250.5" customHeight="1">
      <c r="B38" s="348" t="s">
        <v>1622</v>
      </c>
      <c r="C38" s="366"/>
      <c r="D38" s="366"/>
      <c r="E38" s="366"/>
      <c r="F38" s="366"/>
      <c r="G38" s="366"/>
      <c r="H38" s="366"/>
    </row>
    <row r="40" spans="1:15">
      <c r="B40" s="703" t="str">
        <f>+B10</f>
        <v>14.2. Mejora de la gestión de los residuos en el procesamiento de leche</v>
      </c>
      <c r="C40" s="703"/>
      <c r="D40" s="703"/>
      <c r="E40" s="703"/>
      <c r="F40" s="703"/>
      <c r="G40" s="703"/>
      <c r="H40" s="703"/>
    </row>
    <row r="41" spans="1:15">
      <c r="B41" s="324" t="s">
        <v>1338</v>
      </c>
      <c r="C41" s="324" t="s">
        <v>522</v>
      </c>
      <c r="D41" s="324" t="s">
        <v>263</v>
      </c>
      <c r="E41" s="324" t="s">
        <v>262</v>
      </c>
      <c r="F41" s="324" t="s">
        <v>1339</v>
      </c>
      <c r="G41" s="324" t="s">
        <v>711</v>
      </c>
      <c r="H41" s="324" t="s">
        <v>1340</v>
      </c>
    </row>
    <row r="42" spans="1:15" s="306" customFormat="1">
      <c r="B42" s="221" t="s">
        <v>1341</v>
      </c>
      <c r="C42" s="221">
        <v>10</v>
      </c>
      <c r="D42" s="221" t="s">
        <v>1342</v>
      </c>
      <c r="E42" s="222">
        <f>+'Categorias de Costos lácteo '!C125</f>
        <v>1000000</v>
      </c>
      <c r="F42" s="224"/>
      <c r="G42" s="221"/>
      <c r="H42" s="222">
        <f>+C42*E42</f>
        <v>10000000</v>
      </c>
      <c r="I42" s="305"/>
      <c r="J42" s="305"/>
      <c r="K42" s="305"/>
      <c r="L42" s="305"/>
      <c r="M42" s="305"/>
      <c r="N42" s="305"/>
      <c r="O42" s="305"/>
    </row>
    <row r="43" spans="1:15" s="306" customFormat="1">
      <c r="B43" s="221" t="s">
        <v>1343</v>
      </c>
      <c r="C43" s="221">
        <v>30</v>
      </c>
      <c r="D43" s="221" t="s">
        <v>1342</v>
      </c>
      <c r="E43" s="222">
        <f>+'Categorias de Costos lácteo '!C133</f>
        <v>100000</v>
      </c>
      <c r="F43" s="224"/>
      <c r="G43" s="221"/>
      <c r="H43" s="222">
        <f t="shared" ref="H43" si="10">+C43*E43</f>
        <v>3000000</v>
      </c>
      <c r="J43" s="305"/>
      <c r="K43" s="305"/>
      <c r="L43" s="305"/>
      <c r="M43" s="305"/>
      <c r="N43" s="305"/>
      <c r="O43" s="305"/>
    </row>
    <row r="44" spans="1:15" s="306" customFormat="1">
      <c r="B44" s="221" t="s">
        <v>1349</v>
      </c>
      <c r="C44" s="221">
        <v>3</v>
      </c>
      <c r="D44" s="221" t="s">
        <v>1350</v>
      </c>
      <c r="E44" s="222">
        <f>+'Categorias de Costos lácteo '!C85</f>
        <v>3875000</v>
      </c>
      <c r="F44" s="223"/>
      <c r="G44" s="221"/>
      <c r="H44" s="222">
        <f>+C44*E44</f>
        <v>11625000</v>
      </c>
      <c r="I44" s="305"/>
      <c r="J44" s="305"/>
      <c r="K44" s="305"/>
      <c r="L44" s="305"/>
      <c r="M44" s="305"/>
      <c r="N44" s="305"/>
      <c r="O44" s="305"/>
    </row>
    <row r="45" spans="1:15" s="306" customFormat="1">
      <c r="B45" s="221" t="s">
        <v>1351</v>
      </c>
      <c r="C45" s="221">
        <v>3</v>
      </c>
      <c r="D45" s="221" t="s">
        <v>1352</v>
      </c>
      <c r="E45" s="222">
        <f>+'Categorias de Costos lácteo '!G41</f>
        <v>2743387.5</v>
      </c>
      <c r="F45" s="223"/>
      <c r="G45" s="221"/>
      <c r="H45" s="222">
        <f>+C45*E45</f>
        <v>8230162.5</v>
      </c>
      <c r="I45" s="305"/>
      <c r="J45" s="305"/>
      <c r="K45" s="305"/>
      <c r="L45" s="305"/>
      <c r="M45" s="305"/>
      <c r="N45" s="305"/>
      <c r="O45" s="305"/>
    </row>
    <row r="46" spans="1:15" s="306" customFormat="1">
      <c r="B46" s="221" t="s">
        <v>1344</v>
      </c>
      <c r="C46" s="221">
        <v>10</v>
      </c>
      <c r="D46" s="221" t="s">
        <v>1342</v>
      </c>
      <c r="E46" s="222">
        <f>+'Categorias de Costos lácteo '!C123</f>
        <v>5000000</v>
      </c>
      <c r="F46" s="224"/>
      <c r="G46" s="221"/>
      <c r="H46" s="222">
        <f t="shared" ref="H46:H49" si="11">+C46*E46</f>
        <v>50000000</v>
      </c>
      <c r="I46" s="305"/>
      <c r="J46" s="305"/>
      <c r="K46" s="305"/>
      <c r="L46" s="305"/>
      <c r="M46" s="305"/>
      <c r="N46" s="305"/>
      <c r="O46" s="305"/>
    </row>
    <row r="47" spans="1:15" s="306" customFormat="1">
      <c r="B47" s="221" t="s">
        <v>1345</v>
      </c>
      <c r="C47" s="221">
        <v>30</v>
      </c>
      <c r="D47" s="221" t="s">
        <v>1342</v>
      </c>
      <c r="E47" s="222">
        <f>+'Categorias de Costos lácteo '!C124</f>
        <v>5700000</v>
      </c>
      <c r="F47" s="222"/>
      <c r="G47" s="221"/>
      <c r="H47" s="222">
        <f t="shared" si="11"/>
        <v>171000000</v>
      </c>
      <c r="I47" s="305"/>
      <c r="J47" s="305"/>
      <c r="K47" s="305"/>
      <c r="L47" s="305"/>
      <c r="M47" s="305"/>
      <c r="N47" s="305"/>
      <c r="O47" s="305"/>
    </row>
    <row r="48" spans="1:15" s="306" customFormat="1">
      <c r="B48" s="221" t="s">
        <v>1346</v>
      </c>
      <c r="C48" s="221">
        <v>60</v>
      </c>
      <c r="D48" s="221" t="s">
        <v>1342</v>
      </c>
      <c r="E48" s="222">
        <f>+'Categorias de Costos lácteo '!C134</f>
        <v>570000</v>
      </c>
      <c r="F48" s="222"/>
      <c r="G48" s="221"/>
      <c r="H48" s="222">
        <f t="shared" si="11"/>
        <v>34200000</v>
      </c>
      <c r="I48" s="305"/>
      <c r="J48" s="305"/>
      <c r="K48" s="305"/>
      <c r="L48" s="305"/>
      <c r="M48" s="305"/>
      <c r="N48" s="305"/>
      <c r="O48" s="305"/>
    </row>
    <row r="49" spans="2:15" s="306" customFormat="1">
      <c r="B49" s="165" t="s">
        <v>1623</v>
      </c>
      <c r="C49" s="221">
        <v>2</v>
      </c>
      <c r="D49" s="221" t="s">
        <v>1342</v>
      </c>
      <c r="E49" s="222">
        <f>+'Categorias de Costos lácteo '!C214</f>
        <v>113300000</v>
      </c>
      <c r="F49" s="237"/>
      <c r="G49" s="221"/>
      <c r="H49" s="222">
        <f t="shared" si="11"/>
        <v>226600000</v>
      </c>
      <c r="I49" s="305"/>
      <c r="J49" s="305"/>
      <c r="K49" s="305"/>
      <c r="L49" s="305"/>
      <c r="M49" s="305"/>
      <c r="N49" s="305"/>
      <c r="O49" s="305"/>
    </row>
    <row r="50" spans="2:15" s="306" customFormat="1">
      <c r="B50" s="165" t="s">
        <v>1589</v>
      </c>
      <c r="C50" s="221">
        <v>3</v>
      </c>
      <c r="D50" s="221" t="s">
        <v>1342</v>
      </c>
      <c r="E50" s="222">
        <f>+'Categorias de Costos lácteo '!D49</f>
        <v>7589549</v>
      </c>
      <c r="F50" s="237">
        <v>1</v>
      </c>
      <c r="G50" s="221">
        <v>12</v>
      </c>
      <c r="H50" s="222">
        <f>C50*E50*G50</f>
        <v>273223764</v>
      </c>
      <c r="I50" s="305"/>
      <c r="J50" s="305"/>
      <c r="K50" s="305"/>
      <c r="L50" s="305"/>
      <c r="M50" s="305"/>
      <c r="N50" s="305"/>
      <c r="O50" s="305"/>
    </row>
    <row r="51" spans="2:15" s="306" customFormat="1">
      <c r="B51" s="165" t="s">
        <v>1354</v>
      </c>
      <c r="C51" s="221">
        <v>4</v>
      </c>
      <c r="D51" s="221" t="s">
        <v>1342</v>
      </c>
      <c r="E51" s="222">
        <f>+'Categorias de Costos lácteo '!G49+'Categorias de Costos lácteo '!C82</f>
        <v>2481462.5</v>
      </c>
      <c r="F51" s="237"/>
      <c r="G51" s="221"/>
      <c r="H51" s="222">
        <f>C51*E51</f>
        <v>9925850</v>
      </c>
      <c r="I51" s="305"/>
      <c r="J51" s="305"/>
      <c r="K51" s="305"/>
      <c r="L51" s="305"/>
      <c r="M51" s="305"/>
      <c r="N51" s="305"/>
      <c r="O51" s="305"/>
    </row>
    <row r="52" spans="2:15" s="306" customFormat="1">
      <c r="B52" s="165" t="s">
        <v>1522</v>
      </c>
      <c r="C52" s="221">
        <v>50</v>
      </c>
      <c r="D52" s="221" t="s">
        <v>1342</v>
      </c>
      <c r="E52" s="222">
        <f>+'Categorias de Costos lácteo '!D277</f>
        <v>3000000</v>
      </c>
      <c r="F52" s="221"/>
      <c r="G52" s="221"/>
      <c r="H52" s="222">
        <f>+C52*E52</f>
        <v>150000000</v>
      </c>
      <c r="I52" s="305"/>
      <c r="J52" s="305"/>
      <c r="K52" s="305"/>
      <c r="L52" s="305"/>
      <c r="M52" s="305"/>
      <c r="N52" s="305"/>
      <c r="O52" s="305"/>
    </row>
    <row r="53" spans="2:15" s="306" customFormat="1">
      <c r="B53" s="165" t="s">
        <v>1624</v>
      </c>
      <c r="C53" s="221">
        <v>50</v>
      </c>
      <c r="D53" s="221" t="s">
        <v>1342</v>
      </c>
      <c r="E53" s="222">
        <f>+'Categorias de Costos lácteo '!D280</f>
        <v>150000</v>
      </c>
      <c r="F53" s="221"/>
      <c r="G53" s="221"/>
      <c r="H53" s="222">
        <f>+C53*E53</f>
        <v>7500000</v>
      </c>
      <c r="I53" s="305"/>
      <c r="J53" s="305"/>
      <c r="K53" s="305"/>
      <c r="L53" s="305"/>
      <c r="M53" s="305"/>
      <c r="N53" s="305"/>
      <c r="O53" s="305"/>
    </row>
    <row r="54" spans="2:15" s="306" customFormat="1">
      <c r="B54" s="165" t="s">
        <v>1625</v>
      </c>
      <c r="C54" s="221">
        <v>25</v>
      </c>
      <c r="D54" s="221" t="s">
        <v>1342</v>
      </c>
      <c r="E54" s="222">
        <f>+'Categorias de Costos lácteo '!C295</f>
        <v>43000000</v>
      </c>
      <c r="F54" s="224">
        <v>0.5</v>
      </c>
      <c r="G54" s="221"/>
      <c r="H54" s="222">
        <f>+C54*E54*F54</f>
        <v>537500000</v>
      </c>
      <c r="I54" s="305"/>
      <c r="J54" s="305"/>
      <c r="K54" s="305"/>
      <c r="L54" s="305"/>
      <c r="M54" s="305"/>
      <c r="N54" s="305"/>
      <c r="O54" s="305"/>
    </row>
    <row r="55" spans="2:15" s="306" customFormat="1">
      <c r="B55" s="258" t="s">
        <v>1626</v>
      </c>
      <c r="C55" s="258">
        <v>25</v>
      </c>
      <c r="D55" s="258" t="s">
        <v>1342</v>
      </c>
      <c r="E55" s="259">
        <f>+'Categorias de Costos lácteo '!C287</f>
        <v>191000000</v>
      </c>
      <c r="F55" s="224">
        <v>0.2</v>
      </c>
      <c r="G55" s="258"/>
      <c r="H55" s="222">
        <f>+C55*E55*F55</f>
        <v>955000000</v>
      </c>
      <c r="I55" s="305"/>
      <c r="J55" s="305"/>
      <c r="K55" s="305"/>
      <c r="L55" s="305"/>
      <c r="M55" s="305"/>
      <c r="N55" s="305"/>
      <c r="O55" s="305"/>
    </row>
    <row r="56" spans="2:15" s="306" customFormat="1">
      <c r="B56" s="258" t="s">
        <v>1627</v>
      </c>
      <c r="C56" s="258">
        <v>15</v>
      </c>
      <c r="D56" s="258" t="s">
        <v>1342</v>
      </c>
      <c r="E56" s="259">
        <f>+'Categorias de Costos lácteo '!C288</f>
        <v>350000000</v>
      </c>
      <c r="F56" s="224">
        <v>0.15</v>
      </c>
      <c r="G56" s="258"/>
      <c r="H56" s="222">
        <f t="shared" ref="H56:H57" si="12">+C56*E56*F56</f>
        <v>787500000</v>
      </c>
      <c r="I56" s="305"/>
      <c r="J56" s="305"/>
      <c r="K56" s="305"/>
      <c r="L56" s="305"/>
      <c r="M56" s="305"/>
      <c r="N56" s="305"/>
      <c r="O56" s="305"/>
    </row>
    <row r="57" spans="2:15" s="306" customFormat="1">
      <c r="B57" s="258" t="s">
        <v>1628</v>
      </c>
      <c r="C57" s="258">
        <v>10</v>
      </c>
      <c r="D57" s="258" t="s">
        <v>1342</v>
      </c>
      <c r="E57" s="259">
        <f>+'Categorias de Costos lácteo '!C289</f>
        <v>700000000</v>
      </c>
      <c r="F57" s="224">
        <v>0.1</v>
      </c>
      <c r="G57" s="258"/>
      <c r="H57" s="222">
        <f t="shared" si="12"/>
        <v>700000000</v>
      </c>
      <c r="I57" s="305"/>
      <c r="J57" s="305"/>
      <c r="K57" s="305"/>
      <c r="L57" s="305"/>
      <c r="M57" s="305"/>
      <c r="N57" s="305"/>
      <c r="O57" s="305"/>
    </row>
    <row r="58" spans="2:15" s="306" customFormat="1">
      <c r="B58" s="258" t="s">
        <v>1629</v>
      </c>
      <c r="C58" s="258"/>
      <c r="D58" s="258"/>
      <c r="E58" s="259"/>
      <c r="F58" s="224"/>
      <c r="G58" s="258"/>
      <c r="H58" s="222" t="s">
        <v>1331</v>
      </c>
      <c r="I58" s="305"/>
      <c r="J58" s="305"/>
      <c r="K58" s="305"/>
      <c r="L58" s="305"/>
      <c r="M58" s="305"/>
      <c r="N58" s="305"/>
      <c r="O58" s="305"/>
    </row>
    <row r="59" spans="2:15" s="306" customFormat="1">
      <c r="B59" s="281" t="s">
        <v>1630</v>
      </c>
      <c r="C59" s="282"/>
      <c r="D59" s="282"/>
      <c r="E59" s="283"/>
      <c r="F59" s="283"/>
      <c r="G59" s="282"/>
      <c r="H59" s="284">
        <f>SUM(H42:H54)</f>
        <v>1492804776.5</v>
      </c>
      <c r="I59" s="305"/>
      <c r="J59" s="305"/>
      <c r="K59" s="305"/>
      <c r="L59" s="305"/>
      <c r="M59" s="305"/>
      <c r="N59" s="305"/>
      <c r="O59" s="305"/>
    </row>
    <row r="60" spans="2:15">
      <c r="B60" s="281" t="s">
        <v>1631</v>
      </c>
      <c r="C60" s="282"/>
      <c r="D60" s="282"/>
      <c r="E60" s="283"/>
      <c r="F60" s="283"/>
      <c r="G60" s="282"/>
      <c r="H60" s="284">
        <f>SUM(H42:H57)</f>
        <v>3935304776.5</v>
      </c>
    </row>
    <row r="61" spans="2:15" s="365" customFormat="1" ht="222.75" customHeight="1">
      <c r="B61" s="366" t="s">
        <v>1632</v>
      </c>
      <c r="C61" s="366"/>
      <c r="D61" s="366"/>
      <c r="E61" s="366"/>
      <c r="F61" s="366"/>
      <c r="G61" s="366"/>
      <c r="H61" s="366"/>
    </row>
    <row r="62" spans="2:15" s="306" customFormat="1">
      <c r="B62" s="357"/>
      <c r="C62" s="351"/>
      <c r="D62" s="351"/>
      <c r="E62" s="367"/>
      <c r="F62" s="367"/>
      <c r="G62" s="351"/>
      <c r="H62" s="368"/>
    </row>
    <row r="63" spans="2:15" ht="14.45" customHeight="1">
      <c r="B63" s="704" t="str">
        <f>+B11</f>
        <v xml:space="preserve">14.3. Promoción del aprovechamiento y valorización del lactosuero </v>
      </c>
      <c r="C63" s="705"/>
      <c r="D63" s="705"/>
      <c r="E63" s="705"/>
      <c r="F63" s="705"/>
      <c r="G63" s="705"/>
      <c r="H63" s="705"/>
    </row>
    <row r="64" spans="2:15">
      <c r="B64" s="324" t="s">
        <v>1338</v>
      </c>
      <c r="C64" s="324" t="s">
        <v>522</v>
      </c>
      <c r="D64" s="324" t="s">
        <v>263</v>
      </c>
      <c r="E64" s="324" t="s">
        <v>262</v>
      </c>
      <c r="F64" s="324" t="s">
        <v>1339</v>
      </c>
      <c r="G64" s="324" t="s">
        <v>711</v>
      </c>
      <c r="H64" s="324" t="s">
        <v>1340</v>
      </c>
    </row>
    <row r="65" spans="2:8" s="369" customFormat="1">
      <c r="B65" s="221" t="s">
        <v>1341</v>
      </c>
      <c r="C65" s="221">
        <v>30</v>
      </c>
      <c r="D65" s="221" t="s">
        <v>1342</v>
      </c>
      <c r="E65" s="222">
        <f>+'Categorias de Costos lácteo '!C125</f>
        <v>1000000</v>
      </c>
      <c r="F65" s="224"/>
      <c r="G65" s="221"/>
      <c r="H65" s="222">
        <f>+C65*E65</f>
        <v>30000000</v>
      </c>
    </row>
    <row r="66" spans="2:8" s="369" customFormat="1">
      <c r="B66" s="221" t="s">
        <v>1343</v>
      </c>
      <c r="C66" s="221">
        <v>10</v>
      </c>
      <c r="D66" s="221" t="s">
        <v>1342</v>
      </c>
      <c r="E66" s="222">
        <f>+'Categorias de Costos lácteo '!C133</f>
        <v>100000</v>
      </c>
      <c r="F66" s="224"/>
      <c r="G66" s="221"/>
      <c r="H66" s="222">
        <f t="shared" ref="H66" si="13">+C66*E66</f>
        <v>1000000</v>
      </c>
    </row>
    <row r="67" spans="2:8" s="369" customFormat="1">
      <c r="B67" s="221" t="s">
        <v>1349</v>
      </c>
      <c r="C67" s="221">
        <v>3</v>
      </c>
      <c r="D67" s="221" t="s">
        <v>1350</v>
      </c>
      <c r="E67" s="222">
        <f>+'Categorias de Costos lácteo '!C85</f>
        <v>3875000</v>
      </c>
      <c r="F67" s="223"/>
      <c r="G67" s="221"/>
      <c r="H67" s="222">
        <f>+C67*E67</f>
        <v>11625000</v>
      </c>
    </row>
    <row r="68" spans="2:8" s="369" customFormat="1">
      <c r="B68" s="221" t="s">
        <v>1351</v>
      </c>
      <c r="C68" s="221">
        <v>3</v>
      </c>
      <c r="D68" s="221" t="s">
        <v>1352</v>
      </c>
      <c r="E68" s="222">
        <f>+'Categorias de Costos lácteo '!G41</f>
        <v>2743387.5</v>
      </c>
      <c r="F68" s="223"/>
      <c r="G68" s="221"/>
      <c r="H68" s="222">
        <f>+C68*E68</f>
        <v>8230162.5</v>
      </c>
    </row>
    <row r="69" spans="2:8" s="369" customFormat="1">
      <c r="B69" s="221" t="s">
        <v>1344</v>
      </c>
      <c r="C69" s="221">
        <v>10</v>
      </c>
      <c r="D69" s="221" t="s">
        <v>1342</v>
      </c>
      <c r="E69" s="222">
        <f>+'Categorias de Costos lácteo '!C123</f>
        <v>5000000</v>
      </c>
      <c r="F69" s="224"/>
      <c r="G69" s="221"/>
      <c r="H69" s="222">
        <f t="shared" ref="H69:H72" si="14">+C69*E69</f>
        <v>50000000</v>
      </c>
    </row>
    <row r="70" spans="2:8" s="369" customFormat="1">
      <c r="B70" s="221" t="s">
        <v>1345</v>
      </c>
      <c r="C70" s="221">
        <v>30</v>
      </c>
      <c r="D70" s="221" t="s">
        <v>1342</v>
      </c>
      <c r="E70" s="222">
        <f>+'Categorias de Costos lácteo '!C124</f>
        <v>5700000</v>
      </c>
      <c r="F70" s="222"/>
      <c r="G70" s="221"/>
      <c r="H70" s="222">
        <f t="shared" si="14"/>
        <v>171000000</v>
      </c>
    </row>
    <row r="71" spans="2:8" s="369" customFormat="1">
      <c r="B71" s="221" t="s">
        <v>1346</v>
      </c>
      <c r="C71" s="221">
        <v>30</v>
      </c>
      <c r="D71" s="221" t="s">
        <v>1342</v>
      </c>
      <c r="E71" s="222">
        <f>+'Categorias de Costos lácteo '!C134</f>
        <v>570000</v>
      </c>
      <c r="F71" s="222"/>
      <c r="G71" s="221"/>
      <c r="H71" s="222">
        <f t="shared" si="14"/>
        <v>17100000</v>
      </c>
    </row>
    <row r="72" spans="2:8" s="369" customFormat="1">
      <c r="B72" s="165" t="s">
        <v>1633</v>
      </c>
      <c r="C72" s="221">
        <v>1</v>
      </c>
      <c r="D72" s="221" t="s">
        <v>1342</v>
      </c>
      <c r="E72" s="222">
        <f>+'Categorias de Costos lácteo '!C214</f>
        <v>113300000</v>
      </c>
      <c r="F72" s="237"/>
      <c r="G72" s="221"/>
      <c r="H72" s="222">
        <f t="shared" si="14"/>
        <v>113300000</v>
      </c>
    </row>
    <row r="73" spans="2:8" s="369" customFormat="1">
      <c r="B73" s="326" t="s">
        <v>1408</v>
      </c>
      <c r="C73" s="326">
        <v>50</v>
      </c>
      <c r="D73" s="326" t="s">
        <v>1342</v>
      </c>
      <c r="E73" s="370">
        <f>+'Categorias de Costos lácteo '!D276</f>
        <v>1500000</v>
      </c>
      <c r="F73" s="326"/>
      <c r="G73" s="326"/>
      <c r="H73" s="327">
        <f>+C73*E73</f>
        <v>75000000</v>
      </c>
    </row>
    <row r="74" spans="2:8" s="369" customFormat="1">
      <c r="B74" s="326" t="s">
        <v>1390</v>
      </c>
      <c r="C74" s="326">
        <v>50</v>
      </c>
      <c r="D74" s="326" t="s">
        <v>1342</v>
      </c>
      <c r="E74" s="370">
        <f>+'Categorias de Costos lácteo '!D277</f>
        <v>3000000</v>
      </c>
      <c r="F74" s="326"/>
      <c r="G74" s="326"/>
      <c r="H74" s="327">
        <f>+C74*E74</f>
        <v>150000000</v>
      </c>
    </row>
    <row r="75" spans="2:8" s="369" customFormat="1">
      <c r="B75" s="165" t="s">
        <v>1589</v>
      </c>
      <c r="C75" s="221">
        <v>2</v>
      </c>
      <c r="D75" s="221" t="s">
        <v>1342</v>
      </c>
      <c r="E75" s="222">
        <f>+'Categorias de Costos lácteo '!D49</f>
        <v>7589549</v>
      </c>
      <c r="F75" s="237">
        <v>1</v>
      </c>
      <c r="G75" s="221">
        <v>12</v>
      </c>
      <c r="H75" s="222">
        <f>C75*E75*G75</f>
        <v>182149176</v>
      </c>
    </row>
    <row r="76" spans="2:8" s="369" customFormat="1">
      <c r="B76" s="165" t="s">
        <v>1354</v>
      </c>
      <c r="C76" s="221">
        <v>4</v>
      </c>
      <c r="D76" s="221" t="s">
        <v>1342</v>
      </c>
      <c r="E76" s="222">
        <f>+'Categorias de Costos lácteo '!G49+'Categorias de Costos lácteo '!C85</f>
        <v>5356462.5</v>
      </c>
      <c r="F76" s="237"/>
      <c r="G76" s="221"/>
      <c r="H76" s="222">
        <f>C76*E76</f>
        <v>21425850</v>
      </c>
    </row>
    <row r="77" spans="2:8">
      <c r="B77" s="326" t="s">
        <v>1634</v>
      </c>
      <c r="C77" s="326">
        <v>20</v>
      </c>
      <c r="D77" s="326" t="s">
        <v>1584</v>
      </c>
      <c r="E77" s="370">
        <f>+'Categorias de Costos lácteo '!C132</f>
        <v>6010000</v>
      </c>
      <c r="F77" s="326"/>
      <c r="G77" s="326"/>
      <c r="H77" s="327">
        <f t="shared" ref="H77" si="15">+C77*E77</f>
        <v>120200000</v>
      </c>
    </row>
    <row r="78" spans="2:8">
      <c r="B78" s="336" t="s">
        <v>1635</v>
      </c>
      <c r="C78" s="336">
        <v>19</v>
      </c>
      <c r="D78" s="336" t="s">
        <v>1342</v>
      </c>
      <c r="E78" s="337">
        <f>+'Categorias de Costos lácteo '!H588</f>
        <v>12832881.060000001</v>
      </c>
      <c r="F78" s="328"/>
      <c r="G78" s="336"/>
      <c r="H78" s="337">
        <f>+C78*E78</f>
        <v>243824740.14000002</v>
      </c>
    </row>
    <row r="79" spans="2:8">
      <c r="B79" s="336" t="s">
        <v>1636</v>
      </c>
      <c r="C79" s="336">
        <v>9</v>
      </c>
      <c r="D79" s="336" t="s">
        <v>1342</v>
      </c>
      <c r="E79" s="337">
        <f>+'Categorias de Costos lácteo '!H589</f>
        <v>37214792.300000004</v>
      </c>
      <c r="F79" s="328"/>
      <c r="G79" s="336"/>
      <c r="H79" s="337">
        <f>+C79*E79</f>
        <v>334933130.70000005</v>
      </c>
    </row>
    <row r="80" spans="2:8">
      <c r="B80" s="336" t="s">
        <v>1637</v>
      </c>
      <c r="C80" s="336">
        <v>3</v>
      </c>
      <c r="D80" s="336" t="s">
        <v>1342</v>
      </c>
      <c r="E80" s="337">
        <f>+'Categorias de Costos lácteo '!H590</f>
        <v>315256010.10000002</v>
      </c>
      <c r="F80" s="328"/>
      <c r="G80" s="336"/>
      <c r="H80" s="337">
        <f t="shared" ref="H80" si="16">+C80*E80</f>
        <v>945768030.30000007</v>
      </c>
    </row>
    <row r="81" spans="1:8">
      <c r="B81" s="336" t="s">
        <v>1638</v>
      </c>
      <c r="C81" s="336"/>
      <c r="D81" s="336"/>
      <c r="E81" s="337"/>
      <c r="F81" s="328"/>
      <c r="G81" s="336"/>
      <c r="H81" s="337" t="s">
        <v>1331</v>
      </c>
    </row>
    <row r="82" spans="1:8">
      <c r="B82" s="281" t="s">
        <v>1639</v>
      </c>
      <c r="C82" s="282"/>
      <c r="D82" s="282"/>
      <c r="E82" s="283"/>
      <c r="F82" s="283"/>
      <c r="G82" s="282"/>
      <c r="H82" s="284">
        <f>SUM(H65:H77)</f>
        <v>951030188.5</v>
      </c>
    </row>
    <row r="83" spans="1:8">
      <c r="B83" s="281" t="s">
        <v>1640</v>
      </c>
      <c r="C83" s="282"/>
      <c r="D83" s="282"/>
      <c r="E83" s="283"/>
      <c r="F83" s="283"/>
      <c r="G83" s="282"/>
      <c r="H83" s="284">
        <f>SUM(H65:H80)</f>
        <v>2475556089.6400003</v>
      </c>
    </row>
    <row r="84" spans="1:8" s="365" customFormat="1" ht="244.5" customHeight="1">
      <c r="B84" s="348" t="s">
        <v>1641</v>
      </c>
      <c r="C84" s="366"/>
      <c r="D84" s="366"/>
      <c r="E84" s="366"/>
      <c r="F84" s="366"/>
      <c r="G84" s="366"/>
      <c r="H84" s="366"/>
    </row>
    <row r="85" spans="1:8" s="365" customFormat="1" ht="14.25" customHeight="1">
      <c r="B85" s="371"/>
      <c r="C85" s="371"/>
      <c r="D85" s="371"/>
      <c r="E85" s="371"/>
      <c r="F85" s="371"/>
      <c r="G85" s="371"/>
      <c r="H85" s="371"/>
    </row>
    <row r="86" spans="1:8" ht="15" customHeight="1">
      <c r="B86" s="700" t="str">
        <f>+B12</f>
        <v xml:space="preserve">14.4. Promoción de la gestión integral de residuos de envases y empaques </v>
      </c>
      <c r="C86" s="700"/>
      <c r="D86" s="700"/>
      <c r="E86" s="700"/>
      <c r="F86" s="700"/>
      <c r="G86" s="700"/>
      <c r="H86" s="700"/>
    </row>
    <row r="87" spans="1:8">
      <c r="A87" s="306"/>
      <c r="B87" s="324" t="s">
        <v>1338</v>
      </c>
      <c r="C87" s="324" t="s">
        <v>522</v>
      </c>
      <c r="D87" s="324" t="s">
        <v>263</v>
      </c>
      <c r="E87" s="324" t="s">
        <v>262</v>
      </c>
      <c r="F87" s="324" t="s">
        <v>1339</v>
      </c>
      <c r="G87" s="324" t="s">
        <v>711</v>
      </c>
      <c r="H87" s="324" t="s">
        <v>1340</v>
      </c>
    </row>
    <row r="88" spans="1:8">
      <c r="B88" s="221" t="s">
        <v>1341</v>
      </c>
      <c r="C88" s="221">
        <v>30</v>
      </c>
      <c r="D88" s="221" t="s">
        <v>1342</v>
      </c>
      <c r="E88" s="222">
        <f>+'Categorias de Costos lácteo '!C125</f>
        <v>1000000</v>
      </c>
      <c r="F88" s="224"/>
      <c r="G88" s="221"/>
      <c r="H88" s="222">
        <f>+C88*E88</f>
        <v>30000000</v>
      </c>
    </row>
    <row r="89" spans="1:8">
      <c r="B89" s="221" t="s">
        <v>1343</v>
      </c>
      <c r="C89" s="221">
        <v>10</v>
      </c>
      <c r="D89" s="221" t="s">
        <v>1342</v>
      </c>
      <c r="E89" s="222">
        <f>+'Categorias de Costos lácteo '!C133</f>
        <v>100000</v>
      </c>
      <c r="F89" s="224"/>
      <c r="G89" s="221"/>
      <c r="H89" s="222">
        <f t="shared" ref="H89:H93" si="17">+C89*E89</f>
        <v>1000000</v>
      </c>
    </row>
    <row r="90" spans="1:8">
      <c r="B90" s="221" t="s">
        <v>1344</v>
      </c>
      <c r="C90" s="221">
        <v>10</v>
      </c>
      <c r="D90" s="221" t="s">
        <v>1342</v>
      </c>
      <c r="E90" s="222">
        <f>+'Categorias de Costos lácteo '!C123</f>
        <v>5000000</v>
      </c>
      <c r="F90" s="224"/>
      <c r="G90" s="221"/>
      <c r="H90" s="222">
        <f t="shared" si="17"/>
        <v>50000000</v>
      </c>
    </row>
    <row r="91" spans="1:8">
      <c r="B91" s="221" t="s">
        <v>1345</v>
      </c>
      <c r="C91" s="221">
        <v>30</v>
      </c>
      <c r="D91" s="221" t="s">
        <v>1342</v>
      </c>
      <c r="E91" s="222">
        <f>+'Categorias de Costos lácteo '!C124</f>
        <v>5700000</v>
      </c>
      <c r="F91" s="222"/>
      <c r="G91" s="221"/>
      <c r="H91" s="222">
        <f t="shared" si="17"/>
        <v>171000000</v>
      </c>
    </row>
    <row r="92" spans="1:8">
      <c r="B92" s="221" t="s">
        <v>1346</v>
      </c>
      <c r="C92" s="221">
        <v>30</v>
      </c>
      <c r="D92" s="221" t="s">
        <v>1342</v>
      </c>
      <c r="E92" s="222">
        <f>+'Categorias de Costos lácteo '!C134</f>
        <v>570000</v>
      </c>
      <c r="F92" s="222"/>
      <c r="G92" s="221"/>
      <c r="H92" s="222">
        <f t="shared" si="17"/>
        <v>17100000</v>
      </c>
    </row>
    <row r="93" spans="1:8">
      <c r="B93" s="165" t="s">
        <v>1633</v>
      </c>
      <c r="C93" s="221">
        <v>1</v>
      </c>
      <c r="D93" s="221" t="s">
        <v>1342</v>
      </c>
      <c r="E93" s="222">
        <f>+'Categorias de Costos lácteo '!C214</f>
        <v>113300000</v>
      </c>
      <c r="F93" s="237"/>
      <c r="G93" s="221"/>
      <c r="H93" s="222">
        <f t="shared" si="17"/>
        <v>113300000</v>
      </c>
    </row>
    <row r="94" spans="1:8">
      <c r="B94" s="326" t="s">
        <v>1499</v>
      </c>
      <c r="C94" s="326">
        <v>50</v>
      </c>
      <c r="D94" s="326" t="s">
        <v>1584</v>
      </c>
      <c r="E94" s="370">
        <f>+'Categorias de Costos lácteo '!D275</f>
        <v>9000000</v>
      </c>
      <c r="F94" s="326"/>
      <c r="G94" s="326"/>
      <c r="H94" s="327">
        <f>+C94*E94</f>
        <v>450000000</v>
      </c>
    </row>
    <row r="95" spans="1:8">
      <c r="B95" s="326" t="s">
        <v>1409</v>
      </c>
      <c r="C95" s="326">
        <v>30</v>
      </c>
      <c r="D95" s="326" t="s">
        <v>1584</v>
      </c>
      <c r="E95" s="370">
        <f>+'Categorias de Costos lácteo '!D280</f>
        <v>150000</v>
      </c>
      <c r="F95" s="326"/>
      <c r="G95" s="326"/>
      <c r="H95" s="327">
        <f>+C95*E95</f>
        <v>4500000</v>
      </c>
    </row>
    <row r="96" spans="1:8">
      <c r="B96" s="165" t="s">
        <v>1589</v>
      </c>
      <c r="C96" s="221">
        <v>2</v>
      </c>
      <c r="D96" s="221" t="s">
        <v>1342</v>
      </c>
      <c r="E96" s="222">
        <f>+'Categorias de Costos lácteo '!D49</f>
        <v>7589549</v>
      </c>
      <c r="F96" s="237">
        <v>1</v>
      </c>
      <c r="G96" s="221">
        <v>6</v>
      </c>
      <c r="H96" s="222">
        <f>C96*E96*G96</f>
        <v>91074588</v>
      </c>
    </row>
    <row r="97" spans="2:8">
      <c r="B97" s="165" t="s">
        <v>1354</v>
      </c>
      <c r="C97" s="221">
        <v>4</v>
      </c>
      <c r="D97" s="221" t="s">
        <v>1342</v>
      </c>
      <c r="E97" s="222">
        <f>+'Categorias de Costos lácteo '!G49+'Categorias de Costos lácteo '!C82</f>
        <v>2481462.5</v>
      </c>
      <c r="F97" s="237"/>
      <c r="G97" s="221"/>
      <c r="H97" s="222">
        <f>C97*E97</f>
        <v>9925850</v>
      </c>
    </row>
    <row r="98" spans="2:8">
      <c r="B98" s="336" t="s">
        <v>1642</v>
      </c>
      <c r="C98" s="336">
        <v>19</v>
      </c>
      <c r="D98" s="336" t="s">
        <v>1342</v>
      </c>
      <c r="E98" s="337">
        <f>+'Categorias de Costos lácteo '!H588</f>
        <v>12832881.060000001</v>
      </c>
      <c r="F98" s="328"/>
      <c r="G98" s="336"/>
      <c r="H98" s="327">
        <f>+C98*E98</f>
        <v>243824740.14000002</v>
      </c>
    </row>
    <row r="99" spans="2:8">
      <c r="B99" s="336" t="s">
        <v>1643</v>
      </c>
      <c r="C99" s="336">
        <v>9</v>
      </c>
      <c r="D99" s="336" t="s">
        <v>1342</v>
      </c>
      <c r="E99" s="337">
        <f>+'Categorias de Costos lácteo '!H589</f>
        <v>37214792.300000004</v>
      </c>
      <c r="F99" s="328"/>
      <c r="G99" s="336"/>
      <c r="H99" s="327">
        <f t="shared" ref="H99:H100" si="18">+C99*E99</f>
        <v>334933130.70000005</v>
      </c>
    </row>
    <row r="100" spans="2:8">
      <c r="B100" s="336" t="s">
        <v>1644</v>
      </c>
      <c r="C100" s="336">
        <v>3</v>
      </c>
      <c r="D100" s="336" t="s">
        <v>1342</v>
      </c>
      <c r="E100" s="337">
        <f>+'Categorias de Costos lácteo '!H590</f>
        <v>315256010.10000002</v>
      </c>
      <c r="F100" s="328"/>
      <c r="G100" s="336"/>
      <c r="H100" s="327">
        <f t="shared" si="18"/>
        <v>945768030.30000007</v>
      </c>
    </row>
    <row r="101" spans="2:8">
      <c r="B101" s="336" t="s">
        <v>1645</v>
      </c>
      <c r="C101" s="326"/>
      <c r="D101" s="326"/>
      <c r="E101" s="327"/>
      <c r="F101" s="328"/>
      <c r="G101" s="326"/>
      <c r="H101" s="327" t="s">
        <v>1331</v>
      </c>
    </row>
    <row r="102" spans="2:8">
      <c r="B102" s="281" t="s">
        <v>1646</v>
      </c>
      <c r="C102" s="282"/>
      <c r="D102" s="282"/>
      <c r="E102" s="283"/>
      <c r="F102" s="283"/>
      <c r="G102" s="282"/>
      <c r="H102" s="284">
        <f>SUM(H88:H97)</f>
        <v>937900438</v>
      </c>
    </row>
    <row r="103" spans="2:8">
      <c r="B103" s="340" t="s">
        <v>1647</v>
      </c>
      <c r="C103" s="362"/>
      <c r="D103" s="362"/>
      <c r="E103" s="363"/>
      <c r="F103" s="363"/>
      <c r="G103" s="362"/>
      <c r="H103" s="364">
        <f>SUM(H88:H100)</f>
        <v>2462426339.1400003</v>
      </c>
    </row>
    <row r="104" spans="2:8" s="365" customFormat="1" ht="210">
      <c r="B104" s="366" t="s">
        <v>1648</v>
      </c>
      <c r="C104" s="366"/>
      <c r="D104" s="366"/>
      <c r="E104" s="366"/>
      <c r="F104" s="366"/>
      <c r="G104" s="366"/>
      <c r="H104" s="366"/>
    </row>
    <row r="106" spans="2:8" ht="48.75" customHeight="1">
      <c r="B106" s="700" t="str">
        <f>+B13</f>
        <v xml:space="preserve">
14.5. Promoción de la utilización de energías alternativas en la cadena láctea</v>
      </c>
      <c r="C106" s="700"/>
      <c r="D106" s="700"/>
      <c r="E106" s="700"/>
      <c r="F106" s="700"/>
      <c r="G106" s="700"/>
      <c r="H106" s="700"/>
    </row>
    <row r="107" spans="2:8">
      <c r="B107" s="324" t="s">
        <v>1338</v>
      </c>
      <c r="C107" s="324" t="s">
        <v>522</v>
      </c>
      <c r="D107" s="324" t="s">
        <v>263</v>
      </c>
      <c r="E107" s="324" t="s">
        <v>262</v>
      </c>
      <c r="F107" s="324" t="s">
        <v>1339</v>
      </c>
      <c r="G107" s="324" t="s">
        <v>711</v>
      </c>
      <c r="H107" s="324" t="s">
        <v>1340</v>
      </c>
    </row>
    <row r="108" spans="2:8">
      <c r="B108" s="221" t="s">
        <v>1344</v>
      </c>
      <c r="C108" s="221">
        <v>10</v>
      </c>
      <c r="D108" s="221" t="s">
        <v>1342</v>
      </c>
      <c r="E108" s="222">
        <f>+'Categorias de Costos lácteo '!C123</f>
        <v>5000000</v>
      </c>
      <c r="F108" s="224"/>
      <c r="G108" s="221"/>
      <c r="H108" s="222">
        <f>+C108*E108</f>
        <v>50000000</v>
      </c>
    </row>
    <row r="109" spans="2:8">
      <c r="B109" s="221" t="s">
        <v>1345</v>
      </c>
      <c r="C109" s="221">
        <v>30</v>
      </c>
      <c r="D109" s="221" t="s">
        <v>1342</v>
      </c>
      <c r="E109" s="222">
        <f>+'Categorias de Costos lácteo '!C124</f>
        <v>5700000</v>
      </c>
      <c r="F109" s="222"/>
      <c r="G109" s="221"/>
      <c r="H109" s="222">
        <f t="shared" ref="H109:H113" si="19">+C109*E109</f>
        <v>171000000</v>
      </c>
    </row>
    <row r="110" spans="2:8">
      <c r="B110" s="221" t="s">
        <v>1346</v>
      </c>
      <c r="C110" s="221">
        <v>20</v>
      </c>
      <c r="D110" s="221" t="s">
        <v>1342</v>
      </c>
      <c r="E110" s="222">
        <f>+'Categorias de Costos lácteo '!C134</f>
        <v>570000</v>
      </c>
      <c r="F110" s="222"/>
      <c r="G110" s="221"/>
      <c r="H110" s="222">
        <f t="shared" si="19"/>
        <v>11400000</v>
      </c>
    </row>
    <row r="111" spans="2:8">
      <c r="B111" s="165" t="s">
        <v>1633</v>
      </c>
      <c r="C111" s="221">
        <v>1</v>
      </c>
      <c r="D111" s="221" t="s">
        <v>1342</v>
      </c>
      <c r="E111" s="222">
        <f>+'Categorias de Costos lácteo '!C214</f>
        <v>113300000</v>
      </c>
      <c r="F111" s="237"/>
      <c r="G111" s="221"/>
      <c r="H111" s="222">
        <f t="shared" si="19"/>
        <v>113300000</v>
      </c>
    </row>
    <row r="112" spans="2:8">
      <c r="B112" s="326" t="s">
        <v>1499</v>
      </c>
      <c r="C112" s="326">
        <v>30</v>
      </c>
      <c r="D112" s="326" t="s">
        <v>1584</v>
      </c>
      <c r="E112" s="370">
        <f>+'Categorias de Costos lácteo '!D275</f>
        <v>9000000</v>
      </c>
      <c r="F112" s="326"/>
      <c r="G112" s="326"/>
      <c r="H112" s="222">
        <f t="shared" si="19"/>
        <v>270000000</v>
      </c>
    </row>
    <row r="113" spans="2:8">
      <c r="B113" s="326" t="s">
        <v>1409</v>
      </c>
      <c r="C113" s="326">
        <v>30</v>
      </c>
      <c r="D113" s="326" t="s">
        <v>1584</v>
      </c>
      <c r="E113" s="370">
        <f>+'Categorias de Costos lácteo '!D280</f>
        <v>150000</v>
      </c>
      <c r="F113" s="326"/>
      <c r="G113" s="326"/>
      <c r="H113" s="222">
        <f t="shared" si="19"/>
        <v>4500000</v>
      </c>
    </row>
    <row r="114" spans="2:8">
      <c r="B114" s="165" t="s">
        <v>1589</v>
      </c>
      <c r="C114" s="221">
        <v>2</v>
      </c>
      <c r="D114" s="221" t="s">
        <v>1342</v>
      </c>
      <c r="E114" s="222">
        <f>+'Categorias de Costos lácteo '!D49</f>
        <v>7589549</v>
      </c>
      <c r="F114" s="237">
        <v>1</v>
      </c>
      <c r="G114" s="221">
        <v>6</v>
      </c>
      <c r="H114" s="222">
        <f>C114*E114*G114</f>
        <v>91074588</v>
      </c>
    </row>
    <row r="115" spans="2:8">
      <c r="B115" s="165" t="s">
        <v>1354</v>
      </c>
      <c r="C115" s="221">
        <v>4</v>
      </c>
      <c r="D115" s="221" t="s">
        <v>1342</v>
      </c>
      <c r="E115" s="222">
        <f>+'Categorias de Costos lácteo '!G49+'Categorias de Costos lácteo '!C82</f>
        <v>2481462.5</v>
      </c>
      <c r="F115" s="237"/>
      <c r="G115" s="221"/>
      <c r="H115" s="222">
        <f>C115*E115</f>
        <v>9925850</v>
      </c>
    </row>
    <row r="116" spans="2:8">
      <c r="B116" s="281" t="s">
        <v>1649</v>
      </c>
      <c r="C116" s="282"/>
      <c r="D116" s="282"/>
      <c r="E116" s="283"/>
      <c r="F116" s="283"/>
      <c r="G116" s="282"/>
      <c r="H116" s="284">
        <f>SUM(H108:H115)</f>
        <v>721200438</v>
      </c>
    </row>
    <row r="117" spans="2:8" ht="120">
      <c r="B117" s="372" t="s">
        <v>1650</v>
      </c>
    </row>
  </sheetData>
  <mergeCells count="7">
    <mergeCell ref="B106:H106"/>
    <mergeCell ref="A8:A9"/>
    <mergeCell ref="A16:A17"/>
    <mergeCell ref="B16:H16"/>
    <mergeCell ref="B40:H40"/>
    <mergeCell ref="B63:H63"/>
    <mergeCell ref="B86:H8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windowProtection="1" showGridLines="0" topLeftCell="T1" zoomScale="110" zoomScaleNormal="110" workbookViewId="0">
      <selection activeCell="C8" sqref="C8"/>
    </sheetView>
  </sheetViews>
  <sheetFormatPr baseColWidth="10" defaultColWidth="11.42578125" defaultRowHeight="15"/>
  <cols>
    <col min="1" max="1" width="16.85546875" customWidth="1"/>
    <col min="2" max="2" width="57.42578125" customWidth="1"/>
    <col min="3" max="3" width="19.85546875" customWidth="1"/>
    <col min="4" max="4" width="20.42578125" customWidth="1"/>
    <col min="5" max="5" width="25.42578125" customWidth="1"/>
    <col min="6" max="6" width="17.85546875" customWidth="1"/>
    <col min="7" max="7" width="18.42578125" customWidth="1"/>
    <col min="8" max="8" width="20.42578125" bestFit="1" customWidth="1"/>
    <col min="9" max="9" width="23.140625" customWidth="1"/>
    <col min="10" max="12" width="18.7109375" bestFit="1" customWidth="1"/>
    <col min="13" max="13" width="16.28515625" bestFit="1" customWidth="1"/>
    <col min="14" max="14" width="15.42578125" bestFit="1" customWidth="1"/>
    <col min="15" max="15" width="17.42578125" customWidth="1"/>
    <col min="16" max="16" width="17.42578125" bestFit="1" customWidth="1"/>
    <col min="17" max="22" width="15" bestFit="1" customWidth="1"/>
    <col min="23" max="23" width="15.140625" bestFit="1" customWidth="1"/>
    <col min="24" max="24" width="17" customWidth="1"/>
    <col min="25" max="25" width="17.85546875" bestFit="1" customWidth="1"/>
  </cols>
  <sheetData>
    <row r="2" spans="1:25" ht="15.75">
      <c r="A2" s="203" t="s">
        <v>1334</v>
      </c>
    </row>
    <row r="3" spans="1:25" s="205" customFormat="1">
      <c r="A3" s="204"/>
    </row>
    <row r="4" spans="1:25" ht="15.75">
      <c r="A4" s="264" t="s">
        <v>1335</v>
      </c>
      <c r="B4" s="264" t="str">
        <f>Portafolio_Cadena_Láctea!C214</f>
        <v>15. Mejora de la gestión de la información</v>
      </c>
      <c r="C4" s="207"/>
    </row>
    <row r="5" spans="1:25" ht="26.1" customHeight="1"/>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65">
        <f t="shared" ref="D7:X7" si="0">SUM(D8:D9)</f>
        <v>0</v>
      </c>
      <c r="E7" s="265">
        <f t="shared" si="0"/>
        <v>457623429</v>
      </c>
      <c r="F7" s="265">
        <f t="shared" si="0"/>
        <v>1379474268</v>
      </c>
      <c r="G7" s="265">
        <f t="shared" si="0"/>
        <v>1379474268</v>
      </c>
      <c r="H7" s="265">
        <f t="shared" si="0"/>
        <v>1379474268</v>
      </c>
      <c r="I7" s="265">
        <f t="shared" si="0"/>
        <v>1379474268</v>
      </c>
      <c r="J7" s="265">
        <f t="shared" si="0"/>
        <v>1106350839</v>
      </c>
      <c r="K7" s="265">
        <f t="shared" si="0"/>
        <v>1106350839</v>
      </c>
      <c r="L7" s="265">
        <f t="shared" si="0"/>
        <v>1563974268</v>
      </c>
      <c r="M7" s="265">
        <f t="shared" si="0"/>
        <v>1106350839</v>
      </c>
      <c r="N7" s="265">
        <f t="shared" si="0"/>
        <v>1106350839</v>
      </c>
      <c r="O7" s="265">
        <f t="shared" si="0"/>
        <v>457623429</v>
      </c>
      <c r="P7" s="265">
        <f t="shared" si="0"/>
        <v>0</v>
      </c>
      <c r="Q7" s="265">
        <f t="shared" si="0"/>
        <v>0</v>
      </c>
      <c r="R7" s="265">
        <f t="shared" si="0"/>
        <v>457623429</v>
      </c>
      <c r="S7" s="265">
        <f t="shared" si="0"/>
        <v>921850839</v>
      </c>
      <c r="T7" s="265">
        <f t="shared" si="0"/>
        <v>0</v>
      </c>
      <c r="U7" s="265">
        <f t="shared" si="0"/>
        <v>457623429</v>
      </c>
      <c r="V7" s="265">
        <f t="shared" si="0"/>
        <v>0</v>
      </c>
      <c r="W7" s="265">
        <f t="shared" si="0"/>
        <v>0</v>
      </c>
      <c r="X7" s="265">
        <f t="shared" si="0"/>
        <v>1379474268</v>
      </c>
      <c r="Y7" s="265">
        <f>SUM(D7:X7)</f>
        <v>15639093519</v>
      </c>
    </row>
    <row r="8" spans="1:25" s="269" customFormat="1" ht="45">
      <c r="A8"/>
      <c r="B8" s="266" t="str">
        <f>Portafolio_Cadena_Láctea!D214</f>
        <v xml:space="preserve">15.1. Diseño y operación del observatorio de la cadena láctea
</v>
      </c>
      <c r="C8" s="267" t="s">
        <v>1651</v>
      </c>
      <c r="D8" s="253"/>
      <c r="E8" s="268">
        <f>H25</f>
        <v>457623429</v>
      </c>
      <c r="F8" s="268">
        <f>+E8</f>
        <v>457623429</v>
      </c>
      <c r="G8" s="268">
        <f>+F8</f>
        <v>457623429</v>
      </c>
      <c r="H8" s="268">
        <f>+G8</f>
        <v>457623429</v>
      </c>
      <c r="I8" s="268">
        <f>+H8</f>
        <v>457623429</v>
      </c>
      <c r="J8" s="268"/>
      <c r="K8" s="268"/>
      <c r="L8" s="268">
        <f>+I8</f>
        <v>457623429</v>
      </c>
      <c r="M8" s="268"/>
      <c r="N8" s="268"/>
      <c r="O8" s="268">
        <f>+L8</f>
        <v>457623429</v>
      </c>
      <c r="P8" s="268"/>
      <c r="Q8" s="268"/>
      <c r="R8" s="268">
        <f>+O8</f>
        <v>457623429</v>
      </c>
      <c r="S8" s="268"/>
      <c r="T8" s="268"/>
      <c r="U8" s="268">
        <f>+R8</f>
        <v>457623429</v>
      </c>
      <c r="V8" s="268"/>
      <c r="W8" s="268"/>
      <c r="X8" s="268">
        <f>+U8</f>
        <v>457623429</v>
      </c>
      <c r="Y8" s="268">
        <f>SUM(D8:X8)</f>
        <v>4576234290</v>
      </c>
    </row>
    <row r="9" spans="1:25" s="269" customFormat="1" ht="45">
      <c r="A9"/>
      <c r="B9" s="266" t="str">
        <f>Portafolio_Cadena_Láctea!D219</f>
        <v>15.2. Desarrollo de estudios y caracterizaciones para la formulación y seguimiento de los instrumentos de política</v>
      </c>
      <c r="C9" s="267" t="s">
        <v>1691</v>
      </c>
      <c r="D9" s="270"/>
      <c r="E9" s="271"/>
      <c r="F9" s="271">
        <f>+H44</f>
        <v>921850839</v>
      </c>
      <c r="G9" s="268">
        <f>+F9</f>
        <v>921850839</v>
      </c>
      <c r="H9" s="268">
        <f>+G9</f>
        <v>921850839</v>
      </c>
      <c r="I9" s="268">
        <f>+H9</f>
        <v>921850839</v>
      </c>
      <c r="J9" s="268">
        <f>+H45</f>
        <v>1106350839</v>
      </c>
      <c r="K9" s="268">
        <f>+J9</f>
        <v>1106350839</v>
      </c>
      <c r="L9" s="268">
        <f>+K9</f>
        <v>1106350839</v>
      </c>
      <c r="M9" s="268">
        <f>+L9</f>
        <v>1106350839</v>
      </c>
      <c r="N9" s="268">
        <f>+M9</f>
        <v>1106350839</v>
      </c>
      <c r="O9" s="268"/>
      <c r="P9" s="268"/>
      <c r="Q9" s="268"/>
      <c r="R9" s="268"/>
      <c r="S9" s="268">
        <f>+F9</f>
        <v>921850839</v>
      </c>
      <c r="T9" s="268"/>
      <c r="U9" s="268"/>
      <c r="V9" s="268"/>
      <c r="W9" s="268"/>
      <c r="X9" s="268">
        <f>+H9</f>
        <v>921850839</v>
      </c>
      <c r="Y9" s="514">
        <f t="shared" ref="Y9" si="1">SUM(D9:X9)</f>
        <v>11062859229</v>
      </c>
    </row>
    <row r="10" spans="1:25" s="210" customFormat="1">
      <c r="A10"/>
      <c r="B10" s="209" t="s">
        <v>46</v>
      </c>
      <c r="C10" s="265"/>
      <c r="D10" s="265">
        <f t="shared" ref="D10:X10" si="2">SUM(D8:D9)</f>
        <v>0</v>
      </c>
      <c r="E10" s="265">
        <f t="shared" si="2"/>
        <v>457623429</v>
      </c>
      <c r="F10" s="265">
        <f t="shared" si="2"/>
        <v>1379474268</v>
      </c>
      <c r="G10" s="265">
        <f t="shared" si="2"/>
        <v>1379474268</v>
      </c>
      <c r="H10" s="265">
        <f t="shared" si="2"/>
        <v>1379474268</v>
      </c>
      <c r="I10" s="265">
        <f t="shared" si="2"/>
        <v>1379474268</v>
      </c>
      <c r="J10" s="265">
        <f t="shared" si="2"/>
        <v>1106350839</v>
      </c>
      <c r="K10" s="265">
        <f t="shared" si="2"/>
        <v>1106350839</v>
      </c>
      <c r="L10" s="265">
        <f t="shared" si="2"/>
        <v>1563974268</v>
      </c>
      <c r="M10" s="265">
        <f t="shared" si="2"/>
        <v>1106350839</v>
      </c>
      <c r="N10" s="265">
        <f t="shared" si="2"/>
        <v>1106350839</v>
      </c>
      <c r="O10" s="265">
        <f t="shared" si="2"/>
        <v>457623429</v>
      </c>
      <c r="P10" s="265">
        <f t="shared" si="2"/>
        <v>0</v>
      </c>
      <c r="Q10" s="265">
        <f t="shared" si="2"/>
        <v>0</v>
      </c>
      <c r="R10" s="265">
        <f t="shared" si="2"/>
        <v>457623429</v>
      </c>
      <c r="S10" s="265">
        <f t="shared" si="2"/>
        <v>921850839</v>
      </c>
      <c r="T10" s="265">
        <f t="shared" si="2"/>
        <v>0</v>
      </c>
      <c r="U10" s="265">
        <f t="shared" si="2"/>
        <v>457623429</v>
      </c>
      <c r="V10" s="265">
        <f t="shared" si="2"/>
        <v>0</v>
      </c>
      <c r="W10" s="265">
        <f t="shared" si="2"/>
        <v>0</v>
      </c>
      <c r="X10" s="265">
        <f t="shared" si="2"/>
        <v>1379474268</v>
      </c>
      <c r="Y10" s="265">
        <f>SUM(Y8:Y9)</f>
        <v>15639093519</v>
      </c>
    </row>
    <row r="11" spans="1:25">
      <c r="D11" s="235"/>
      <c r="E11" s="235"/>
      <c r="F11" s="235"/>
      <c r="G11" s="235"/>
      <c r="H11" s="235"/>
      <c r="I11" s="235"/>
      <c r="J11" s="235"/>
      <c r="K11" s="235"/>
      <c r="L11" s="235"/>
      <c r="M11" s="235"/>
      <c r="N11" s="235"/>
      <c r="O11" s="235"/>
      <c r="P11" s="235"/>
      <c r="Q11" s="235"/>
      <c r="R11" s="235"/>
      <c r="S11" s="235"/>
      <c r="T11" s="235"/>
      <c r="U11" s="235"/>
      <c r="V11" s="235"/>
      <c r="W11" s="235"/>
      <c r="X11" s="235"/>
      <c r="Y11" s="220"/>
    </row>
    <row r="12" spans="1:25" ht="14.45" customHeight="1">
      <c r="B12" s="692" t="str">
        <f>B8</f>
        <v xml:space="preserve">15.1. Diseño y operación del observatorio de la cadena láctea
</v>
      </c>
      <c r="C12" s="693"/>
      <c r="D12" s="693"/>
      <c r="E12" s="693"/>
      <c r="F12" s="693"/>
      <c r="G12" s="693"/>
      <c r="H12" s="693"/>
      <c r="W12" s="235"/>
    </row>
    <row r="13" spans="1:25">
      <c r="X13" s="220"/>
    </row>
    <row r="14" spans="1:25">
      <c r="B14" s="218" t="s">
        <v>1338</v>
      </c>
      <c r="C14" s="218" t="s">
        <v>522</v>
      </c>
      <c r="D14" s="218" t="s">
        <v>263</v>
      </c>
      <c r="E14" s="218" t="s">
        <v>262</v>
      </c>
      <c r="F14" s="219" t="s">
        <v>1339</v>
      </c>
      <c r="G14" s="218" t="s">
        <v>711</v>
      </c>
      <c r="H14" s="218" t="s">
        <v>1340</v>
      </c>
      <c r="W14" s="220"/>
      <c r="X14" s="220"/>
    </row>
    <row r="15" spans="1:25">
      <c r="B15" s="221" t="s">
        <v>1343</v>
      </c>
      <c r="C15" s="221">
        <v>30</v>
      </c>
      <c r="D15" s="221" t="s">
        <v>1342</v>
      </c>
      <c r="E15" s="222">
        <f>+'Categorias de Costos lácteo '!C133</f>
        <v>100000</v>
      </c>
      <c r="F15" s="224"/>
      <c r="G15" s="221"/>
      <c r="H15" s="222">
        <f t="shared" ref="H15:H19" si="3">+C15*E15</f>
        <v>3000000</v>
      </c>
      <c r="W15" s="220"/>
      <c r="X15" s="220"/>
    </row>
    <row r="16" spans="1:25">
      <c r="B16" s="221" t="s">
        <v>1344</v>
      </c>
      <c r="C16" s="221">
        <v>8</v>
      </c>
      <c r="D16" s="221" t="s">
        <v>1342</v>
      </c>
      <c r="E16" s="222">
        <f>+'Categorias de Costos lácteo '!C123</f>
        <v>5000000</v>
      </c>
      <c r="F16" s="224"/>
      <c r="G16" s="221"/>
      <c r="H16" s="222">
        <f t="shared" si="3"/>
        <v>40000000</v>
      </c>
      <c r="W16" s="220"/>
      <c r="X16" s="220"/>
    </row>
    <row r="17" spans="2:24">
      <c r="B17" s="221" t="s">
        <v>1345</v>
      </c>
      <c r="C17" s="221">
        <v>30</v>
      </c>
      <c r="D17" s="221" t="s">
        <v>1342</v>
      </c>
      <c r="E17" s="222">
        <f>+'Categorias de Costos lácteo '!C124</f>
        <v>5700000</v>
      </c>
      <c r="F17" s="222"/>
      <c r="G17" s="221"/>
      <c r="H17" s="222">
        <f>+C17*E17</f>
        <v>171000000</v>
      </c>
      <c r="W17" s="220"/>
      <c r="X17" s="220"/>
    </row>
    <row r="18" spans="2:24">
      <c r="B18" s="221" t="s">
        <v>1346</v>
      </c>
      <c r="C18" s="221">
        <v>30</v>
      </c>
      <c r="D18" s="221" t="s">
        <v>1342</v>
      </c>
      <c r="E18" s="222">
        <f>+'Categorias de Costos lácteo '!C134</f>
        <v>570000</v>
      </c>
      <c r="F18" s="222"/>
      <c r="G18" s="221"/>
      <c r="H18" s="222">
        <f t="shared" si="3"/>
        <v>17100000</v>
      </c>
      <c r="W18" s="220"/>
      <c r="X18" s="220"/>
    </row>
    <row r="19" spans="2:24">
      <c r="B19" s="165" t="s">
        <v>1348</v>
      </c>
      <c r="C19" s="221">
        <v>1</v>
      </c>
      <c r="D19" s="221" t="s">
        <v>1342</v>
      </c>
      <c r="E19" s="222">
        <v>50000000</v>
      </c>
      <c r="F19" s="237"/>
      <c r="G19" s="221"/>
      <c r="H19" s="222">
        <f t="shared" si="3"/>
        <v>50000000</v>
      </c>
      <c r="W19" s="220"/>
      <c r="X19" s="220"/>
    </row>
    <row r="20" spans="2:24">
      <c r="B20" s="165" t="s">
        <v>1353</v>
      </c>
      <c r="C20" s="221">
        <v>5</v>
      </c>
      <c r="D20" s="221" t="s">
        <v>1342</v>
      </c>
      <c r="E20" s="222">
        <f>+'Categorias de Costos lácteo '!D52</f>
        <v>5464476</v>
      </c>
      <c r="F20" s="237">
        <v>1</v>
      </c>
      <c r="G20" s="221">
        <v>6</v>
      </c>
      <c r="H20" s="222">
        <f>+C20*E20*G20</f>
        <v>163934280</v>
      </c>
      <c r="W20" s="220"/>
      <c r="X20" s="220"/>
    </row>
    <row r="21" spans="2:24">
      <c r="B21" s="165" t="s">
        <v>1354</v>
      </c>
      <c r="C21" s="221">
        <v>6</v>
      </c>
      <c r="D21" s="221" t="s">
        <v>1342</v>
      </c>
      <c r="E21" s="222">
        <f>+'Categorias de Costos lácteo '!G52+'Categorias de Costos lácteo '!C82</f>
        <v>2098191.5</v>
      </c>
      <c r="F21" s="237"/>
      <c r="G21" s="221"/>
      <c r="H21" s="222">
        <f>+C21*E21</f>
        <v>12589149</v>
      </c>
      <c r="W21" s="220"/>
      <c r="X21" s="220"/>
    </row>
    <row r="22" spans="2:24" ht="14.45" customHeight="1">
      <c r="B22" s="221" t="s">
        <v>1652</v>
      </c>
      <c r="C22" s="221"/>
      <c r="D22" s="221"/>
      <c r="E22" s="222"/>
      <c r="F22" s="224"/>
      <c r="G22" s="221"/>
      <c r="H22" s="222" t="s">
        <v>1331</v>
      </c>
    </row>
    <row r="23" spans="2:24" ht="14.45" customHeight="1">
      <c r="B23" s="221" t="s">
        <v>1653</v>
      </c>
      <c r="C23" s="221"/>
      <c r="D23" s="221"/>
      <c r="E23" s="222"/>
      <c r="F23" s="224"/>
      <c r="G23" s="221"/>
      <c r="H23" s="222" t="s">
        <v>1331</v>
      </c>
    </row>
    <row r="24" spans="2:24" ht="14.45" customHeight="1">
      <c r="B24" s="221" t="s">
        <v>1654</v>
      </c>
      <c r="C24" s="221"/>
      <c r="D24" s="221"/>
      <c r="E24" s="222"/>
      <c r="F24" s="224"/>
      <c r="G24" s="221"/>
      <c r="H24" s="222" t="s">
        <v>1331</v>
      </c>
    </row>
    <row r="25" spans="2:24">
      <c r="B25" s="225"/>
      <c r="C25" s="226"/>
      <c r="D25" s="226"/>
      <c r="E25" s="227"/>
      <c r="F25" s="227"/>
      <c r="G25" s="226"/>
      <c r="H25" s="228">
        <f>SUM(H15:H24)</f>
        <v>457623429</v>
      </c>
    </row>
    <row r="26" spans="2:24" ht="264.75" customHeight="1">
      <c r="B26" s="272" t="s">
        <v>1655</v>
      </c>
      <c r="H26" s="231"/>
    </row>
    <row r="27" spans="2:24">
      <c r="B27" s="51"/>
      <c r="C27" s="51"/>
      <c r="D27" s="51"/>
      <c r="E27" s="51"/>
      <c r="F27" s="51"/>
      <c r="G27" s="51"/>
      <c r="H27" s="51"/>
    </row>
    <row r="28" spans="2:24" ht="14.45" customHeight="1">
      <c r="B28" s="692" t="str">
        <f>B9</f>
        <v>15.2. Desarrollo de estudios y caracterizaciones para la formulación y seguimiento de los instrumentos de política</v>
      </c>
      <c r="C28" s="630"/>
      <c r="D28" s="630"/>
      <c r="E28" s="630"/>
      <c r="F28" s="630"/>
      <c r="G28" s="630"/>
      <c r="H28" s="630"/>
    </row>
    <row r="29" spans="2:24">
      <c r="B29" s="688"/>
      <c r="C29" s="688"/>
      <c r="D29" s="688"/>
      <c r="E29" s="688"/>
      <c r="F29" s="688"/>
      <c r="G29" s="688"/>
      <c r="H29" s="688"/>
    </row>
    <row r="30" spans="2:24">
      <c r="B30" s="218" t="s">
        <v>1338</v>
      </c>
      <c r="C30" s="218" t="s">
        <v>522</v>
      </c>
      <c r="D30" s="218" t="s">
        <v>263</v>
      </c>
      <c r="E30" s="218" t="s">
        <v>262</v>
      </c>
      <c r="F30" s="218" t="s">
        <v>1339</v>
      </c>
      <c r="G30" s="218" t="s">
        <v>711</v>
      </c>
      <c r="H30" s="218" t="s">
        <v>1340</v>
      </c>
    </row>
    <row r="31" spans="2:24">
      <c r="B31" s="221" t="s">
        <v>1341</v>
      </c>
      <c r="C31" s="221">
        <f>3*30</f>
        <v>90</v>
      </c>
      <c r="D31" s="221" t="s">
        <v>1342</v>
      </c>
      <c r="E31" s="222">
        <f>+'Categorias de Costos lácteo '!C125</f>
        <v>1000000</v>
      </c>
      <c r="F31" s="224"/>
      <c r="G31" s="221"/>
      <c r="H31" s="222">
        <f t="shared" ref="H31:H36" si="4">+C31*E31</f>
        <v>90000000</v>
      </c>
    </row>
    <row r="32" spans="2:24">
      <c r="B32" s="221" t="s">
        <v>1343</v>
      </c>
      <c r="C32" s="221">
        <f>2*30</f>
        <v>60</v>
      </c>
      <c r="D32" s="221" t="s">
        <v>1342</v>
      </c>
      <c r="E32" s="222">
        <f>+'Categorias de Costos lácteo '!C133</f>
        <v>100000</v>
      </c>
      <c r="F32" s="224"/>
      <c r="G32" s="221"/>
      <c r="H32" s="222">
        <f t="shared" si="4"/>
        <v>6000000</v>
      </c>
    </row>
    <row r="33" spans="2:8">
      <c r="B33" s="221" t="s">
        <v>1344</v>
      </c>
      <c r="C33" s="221">
        <v>8</v>
      </c>
      <c r="D33" s="221" t="s">
        <v>1342</v>
      </c>
      <c r="E33" s="222">
        <f>+'Categorias de Costos lácteo '!C123</f>
        <v>5000000</v>
      </c>
      <c r="F33" s="224"/>
      <c r="G33" s="221"/>
      <c r="H33" s="222">
        <f t="shared" si="4"/>
        <v>40000000</v>
      </c>
    </row>
    <row r="34" spans="2:8">
      <c r="B34" s="221" t="s">
        <v>1345</v>
      </c>
      <c r="C34" s="221">
        <v>30</v>
      </c>
      <c r="D34" s="221" t="s">
        <v>1342</v>
      </c>
      <c r="E34" s="222">
        <f>+'Categorias de Costos lácteo '!C124</f>
        <v>5700000</v>
      </c>
      <c r="F34" s="222"/>
      <c r="G34" s="221"/>
      <c r="H34" s="222">
        <f t="shared" si="4"/>
        <v>171000000</v>
      </c>
    </row>
    <row r="35" spans="2:8">
      <c r="B35" s="221" t="s">
        <v>1346</v>
      </c>
      <c r="C35" s="221">
        <v>30</v>
      </c>
      <c r="D35" s="221" t="s">
        <v>1342</v>
      </c>
      <c r="E35" s="222">
        <f>+'Categorias de Costos lácteo '!C134</f>
        <v>570000</v>
      </c>
      <c r="F35" s="222"/>
      <c r="G35" s="221"/>
      <c r="H35" s="222">
        <f t="shared" si="4"/>
        <v>17100000</v>
      </c>
    </row>
    <row r="36" spans="2:8">
      <c r="B36" s="221" t="s">
        <v>1349</v>
      </c>
      <c r="C36" s="221">
        <v>2</v>
      </c>
      <c r="D36" s="221" t="s">
        <v>1350</v>
      </c>
      <c r="E36" s="222">
        <f>+'Categorias de Costos lácteo '!C85</f>
        <v>3875000</v>
      </c>
      <c r="F36" s="223"/>
      <c r="G36" s="221"/>
      <c r="H36" s="222">
        <f t="shared" si="4"/>
        <v>7750000</v>
      </c>
    </row>
    <row r="37" spans="2:8">
      <c r="B37" s="221" t="s">
        <v>1351</v>
      </c>
      <c r="C37" s="221">
        <v>2</v>
      </c>
      <c r="D37" s="221" t="s">
        <v>1352</v>
      </c>
      <c r="E37" s="222">
        <f>+'Categorias de Costos lácteo '!G41</f>
        <v>2743387.5</v>
      </c>
      <c r="F37" s="223"/>
      <c r="G37" s="221">
        <v>4</v>
      </c>
      <c r="H37" s="222">
        <f>+C37*E37</f>
        <v>5486775</v>
      </c>
    </row>
    <row r="38" spans="2:8">
      <c r="B38" s="221" t="s">
        <v>1656</v>
      </c>
      <c r="C38" s="221">
        <v>30</v>
      </c>
      <c r="D38" s="221" t="s">
        <v>1342</v>
      </c>
      <c r="E38" s="222">
        <f>+'Categorias de Costos lácteo '!D308</f>
        <v>5650000</v>
      </c>
      <c r="F38" s="224"/>
      <c r="G38" s="221"/>
      <c r="H38" s="222">
        <f>C38*E38</f>
        <v>169500000</v>
      </c>
    </row>
    <row r="39" spans="2:8">
      <c r="B39" s="221" t="s">
        <v>1477</v>
      </c>
      <c r="C39" s="221">
        <v>30</v>
      </c>
      <c r="D39" s="221" t="s">
        <v>1342</v>
      </c>
      <c r="E39" s="222">
        <v>500000</v>
      </c>
      <c r="F39" s="224"/>
      <c r="G39" s="221"/>
      <c r="H39" s="222">
        <f>C39*E39</f>
        <v>15000000</v>
      </c>
    </row>
    <row r="40" spans="2:8">
      <c r="B40" s="165" t="s">
        <v>1589</v>
      </c>
      <c r="C40" s="221">
        <v>3</v>
      </c>
      <c r="D40" s="221" t="s">
        <v>1342</v>
      </c>
      <c r="E40" s="222">
        <f>+'Categorias de Costos lácteo '!D49</f>
        <v>7589549</v>
      </c>
      <c r="F40" s="237">
        <v>1</v>
      </c>
      <c r="G40" s="221">
        <v>12</v>
      </c>
      <c r="H40" s="222">
        <f>C40*E40*G40</f>
        <v>273223764</v>
      </c>
    </row>
    <row r="41" spans="2:8">
      <c r="B41" s="165" t="s">
        <v>1590</v>
      </c>
      <c r="C41" s="221">
        <v>10</v>
      </c>
      <c r="D41" s="221" t="s">
        <v>1342</v>
      </c>
      <c r="E41" s="222">
        <f>+'Categorias de Costos lácteo '!D53</f>
        <v>4857310</v>
      </c>
      <c r="F41" s="237">
        <v>1</v>
      </c>
      <c r="G41" s="221">
        <v>6</v>
      </c>
      <c r="H41" s="222">
        <f t="shared" ref="H41:H42" si="5">C41*E41*G41</f>
        <v>291438600</v>
      </c>
    </row>
    <row r="42" spans="2:8">
      <c r="B42" s="165" t="s">
        <v>1354</v>
      </c>
      <c r="C42" s="221">
        <v>4</v>
      </c>
      <c r="D42" s="221" t="s">
        <v>1342</v>
      </c>
      <c r="E42" s="222">
        <f>+'Categorias de Costos lácteo '!G49+'Categorias de Costos lácteo '!C82</f>
        <v>2481462.5</v>
      </c>
      <c r="F42" s="237"/>
      <c r="G42" s="221">
        <v>2</v>
      </c>
      <c r="H42" s="222">
        <f t="shared" si="5"/>
        <v>19851700</v>
      </c>
    </row>
    <row r="43" spans="2:8">
      <c r="B43" s="165" t="s">
        <v>1657</v>
      </c>
      <c r="C43" s="221"/>
      <c r="D43" s="221"/>
      <c r="E43" s="222"/>
      <c r="F43" s="237"/>
      <c r="G43" s="221"/>
      <c r="H43" s="222" t="s">
        <v>1331</v>
      </c>
    </row>
    <row r="44" spans="2:8">
      <c r="B44" s="225" t="s">
        <v>1658</v>
      </c>
      <c r="C44" s="226"/>
      <c r="D44" s="226"/>
      <c r="E44" s="227"/>
      <c r="F44" s="227"/>
      <c r="G44" s="226"/>
      <c r="H44" s="228">
        <f>+H45-H38-H39</f>
        <v>921850839</v>
      </c>
    </row>
    <row r="45" spans="2:8">
      <c r="B45" s="225" t="s">
        <v>1659</v>
      </c>
      <c r="C45" s="226"/>
      <c r="D45" s="226"/>
      <c r="E45" s="227"/>
      <c r="F45" s="227"/>
      <c r="G45" s="226"/>
      <c r="H45" s="228">
        <f>SUM(H31:H42)</f>
        <v>1106350839</v>
      </c>
    </row>
    <row r="46" spans="2:8" ht="147.75" customHeight="1">
      <c r="B46" s="273" t="s">
        <v>1690</v>
      </c>
      <c r="C46" s="205"/>
      <c r="D46" s="205"/>
      <c r="E46" s="217"/>
      <c r="F46" s="217"/>
      <c r="G46" s="205"/>
      <c r="H46" s="274"/>
    </row>
    <row r="47" spans="2:8">
      <c r="B47" s="275"/>
      <c r="C47" s="205"/>
      <c r="D47" s="205"/>
      <c r="E47" s="217"/>
      <c r="F47" s="217"/>
      <c r="G47" s="205"/>
      <c r="H47" s="274"/>
    </row>
  </sheetData>
  <mergeCells count="2">
    <mergeCell ref="B12:H12"/>
    <mergeCell ref="B28:H2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windowProtection="1" showGridLines="0" zoomScale="90" zoomScaleNormal="90" workbookViewId="0"/>
  </sheetViews>
  <sheetFormatPr baseColWidth="10" defaultColWidth="11.42578125" defaultRowHeight="75.95" customHeight="1"/>
  <cols>
    <col min="1" max="1" width="13.42578125" customWidth="1"/>
    <col min="2" max="2" width="57.42578125" customWidth="1"/>
    <col min="3" max="3" width="19.85546875" customWidth="1"/>
    <col min="4" max="4" width="20.42578125" customWidth="1"/>
    <col min="5" max="5" width="25.42578125" customWidth="1"/>
    <col min="6" max="6" width="17.85546875" customWidth="1"/>
    <col min="7" max="7" width="18.42578125" customWidth="1"/>
    <col min="8" max="8" width="19.42578125" customWidth="1"/>
    <col min="9" max="9" width="23.140625" customWidth="1"/>
    <col min="10" max="10" width="15.7109375" customWidth="1"/>
    <col min="11" max="11" width="15.42578125" customWidth="1"/>
    <col min="12" max="13" width="16.28515625" bestFit="1" customWidth="1"/>
    <col min="14" max="14" width="15.42578125" bestFit="1" customWidth="1"/>
    <col min="15" max="15" width="17.42578125" customWidth="1"/>
    <col min="16" max="16" width="17.42578125" bestFit="1" customWidth="1"/>
    <col min="17" max="17" width="14.85546875" bestFit="1" customWidth="1"/>
    <col min="18" max="19" width="13.42578125" bestFit="1" customWidth="1"/>
    <col min="20" max="22" width="17.7109375" bestFit="1" customWidth="1"/>
    <col min="23" max="23" width="15.140625" bestFit="1" customWidth="1"/>
    <col min="24" max="24" width="17" customWidth="1"/>
    <col min="25" max="25" width="16.42578125" bestFit="1" customWidth="1"/>
  </cols>
  <sheetData>
    <row r="1" spans="1:25" ht="15"/>
    <row r="2" spans="1:25" ht="15.75">
      <c r="A2" s="203" t="s">
        <v>1334</v>
      </c>
    </row>
    <row r="3" spans="1:25" s="205" customFormat="1" ht="15">
      <c r="A3" s="204"/>
    </row>
    <row r="4" spans="1:25" ht="15.75">
      <c r="A4" s="264" t="s">
        <v>1335</v>
      </c>
      <c r="B4" s="264" t="s">
        <v>1324</v>
      </c>
      <c r="C4" s="207"/>
    </row>
    <row r="5" spans="1:25" ht="15">
      <c r="A5" s="276"/>
      <c r="B5" s="276"/>
    </row>
    <row r="6" spans="1:25" ht="15"/>
    <row r="7" spans="1:25" ht="15">
      <c r="D7" s="208">
        <v>0</v>
      </c>
      <c r="E7" s="208">
        <v>1</v>
      </c>
      <c r="F7" s="208">
        <v>2</v>
      </c>
      <c r="G7" s="208">
        <v>3</v>
      </c>
      <c r="H7" s="208">
        <v>4</v>
      </c>
      <c r="I7" s="208">
        <v>5</v>
      </c>
      <c r="J7" s="208">
        <v>6</v>
      </c>
      <c r="K7" s="208">
        <v>7</v>
      </c>
      <c r="L7" s="208">
        <v>8</v>
      </c>
      <c r="M7" s="208">
        <v>9</v>
      </c>
      <c r="N7" s="208">
        <v>10</v>
      </c>
      <c r="O7" s="208">
        <v>11</v>
      </c>
      <c r="P7" s="208">
        <v>12</v>
      </c>
      <c r="Q7" s="208">
        <v>13</v>
      </c>
      <c r="R7" s="208">
        <v>14</v>
      </c>
      <c r="S7" s="208">
        <v>15</v>
      </c>
      <c r="T7" s="208">
        <v>16</v>
      </c>
      <c r="U7" s="208">
        <v>17</v>
      </c>
      <c r="V7" s="208">
        <v>18</v>
      </c>
      <c r="W7" s="208">
        <v>19</v>
      </c>
      <c r="X7" s="208">
        <v>20</v>
      </c>
      <c r="Y7" s="208" t="s">
        <v>46</v>
      </c>
    </row>
    <row r="8" spans="1:25" s="210" customFormat="1" ht="15">
      <c r="A8"/>
      <c r="B8" s="209" t="s">
        <v>1336</v>
      </c>
      <c r="C8" s="209" t="s">
        <v>42</v>
      </c>
      <c r="D8" s="265">
        <f t="shared" ref="D8:X8" si="0">SUM(D9:D10)</f>
        <v>0</v>
      </c>
      <c r="E8" s="265">
        <f t="shared" si="0"/>
        <v>437882592</v>
      </c>
      <c r="F8" s="265">
        <f t="shared" si="0"/>
        <v>0</v>
      </c>
      <c r="G8" s="265">
        <f t="shared" si="0"/>
        <v>0</v>
      </c>
      <c r="H8" s="265">
        <f t="shared" si="0"/>
        <v>223105328</v>
      </c>
      <c r="I8" s="265">
        <f t="shared" si="0"/>
        <v>0</v>
      </c>
      <c r="J8" s="265">
        <f t="shared" si="0"/>
        <v>0</v>
      </c>
      <c r="K8" s="265">
        <f t="shared" si="0"/>
        <v>223105328</v>
      </c>
      <c r="L8" s="265">
        <f t="shared" si="0"/>
        <v>0</v>
      </c>
      <c r="M8" s="265">
        <f t="shared" si="0"/>
        <v>0</v>
      </c>
      <c r="N8" s="265">
        <f t="shared" si="0"/>
        <v>437882592</v>
      </c>
      <c r="O8" s="265">
        <f t="shared" si="0"/>
        <v>0</v>
      </c>
      <c r="P8" s="265">
        <f t="shared" si="0"/>
        <v>0</v>
      </c>
      <c r="Q8" s="265">
        <f t="shared" si="0"/>
        <v>223105328</v>
      </c>
      <c r="R8" s="265">
        <f t="shared" si="0"/>
        <v>0</v>
      </c>
      <c r="S8" s="265">
        <f t="shared" si="0"/>
        <v>0</v>
      </c>
      <c r="T8" s="265">
        <f t="shared" si="0"/>
        <v>223105328</v>
      </c>
      <c r="U8" s="265">
        <f t="shared" si="0"/>
        <v>0</v>
      </c>
      <c r="V8" s="265">
        <f t="shared" si="0"/>
        <v>0</v>
      </c>
      <c r="W8" s="265">
        <f t="shared" si="0"/>
        <v>223105328</v>
      </c>
      <c r="X8" s="265">
        <f t="shared" si="0"/>
        <v>0</v>
      </c>
      <c r="Y8" s="265">
        <f>SUM(D8:X8)</f>
        <v>1991291824</v>
      </c>
    </row>
    <row r="9" spans="1:25" s="269" customFormat="1" ht="59.45" customHeight="1">
      <c r="A9"/>
      <c r="B9" s="266" t="s">
        <v>1239</v>
      </c>
      <c r="C9" s="267" t="s">
        <v>1717</v>
      </c>
      <c r="D9" s="253"/>
      <c r="E9" s="268">
        <f>+H22</f>
        <v>223105328</v>
      </c>
      <c r="F9" s="268"/>
      <c r="G9" s="268"/>
      <c r="H9" s="268">
        <f>+E9</f>
        <v>223105328</v>
      </c>
      <c r="I9" s="268"/>
      <c r="J9" s="268"/>
      <c r="K9" s="268">
        <f>+H9</f>
        <v>223105328</v>
      </c>
      <c r="L9" s="268"/>
      <c r="M9" s="268"/>
      <c r="N9" s="268">
        <f>+K9</f>
        <v>223105328</v>
      </c>
      <c r="O9" s="268"/>
      <c r="P9" s="268"/>
      <c r="Q9" s="268">
        <f>+N9</f>
        <v>223105328</v>
      </c>
      <c r="R9" s="268"/>
      <c r="S9" s="268"/>
      <c r="T9" s="268">
        <f>+Q9</f>
        <v>223105328</v>
      </c>
      <c r="U9" s="268"/>
      <c r="V9" s="268"/>
      <c r="W9" s="268">
        <f>+T9</f>
        <v>223105328</v>
      </c>
      <c r="X9" s="268"/>
      <c r="Y9" s="268">
        <f t="shared" ref="Y9:Y10" si="1">SUM(D9:X9)</f>
        <v>1561737296</v>
      </c>
    </row>
    <row r="10" spans="1:25" s="269" customFormat="1" ht="52.5" customHeight="1">
      <c r="A10"/>
      <c r="B10" s="541" t="s">
        <v>1325</v>
      </c>
      <c r="C10" s="542" t="s">
        <v>1720</v>
      </c>
      <c r="D10" s="270"/>
      <c r="E10" s="271">
        <f>+H33</f>
        <v>214777264</v>
      </c>
      <c r="F10" s="271" t="s">
        <v>1331</v>
      </c>
      <c r="G10" s="271" t="s">
        <v>1331</v>
      </c>
      <c r="H10" s="271" t="s">
        <v>1331</v>
      </c>
      <c r="I10" s="271" t="s">
        <v>1331</v>
      </c>
      <c r="J10" s="271" t="s">
        <v>1331</v>
      </c>
      <c r="K10" s="271" t="s">
        <v>1331</v>
      </c>
      <c r="L10" s="271" t="s">
        <v>1331</v>
      </c>
      <c r="M10" s="271" t="s">
        <v>1331</v>
      </c>
      <c r="N10" s="268">
        <f>+H33</f>
        <v>214777264</v>
      </c>
      <c r="O10" s="271" t="s">
        <v>1331</v>
      </c>
      <c r="P10" s="271" t="s">
        <v>1331</v>
      </c>
      <c r="Q10" s="271" t="s">
        <v>1331</v>
      </c>
      <c r="R10" s="271" t="s">
        <v>1331</v>
      </c>
      <c r="S10" s="271" t="s">
        <v>1331</v>
      </c>
      <c r="T10" s="271" t="s">
        <v>1331</v>
      </c>
      <c r="U10" s="271" t="s">
        <v>1331</v>
      </c>
      <c r="V10" s="271" t="s">
        <v>1331</v>
      </c>
      <c r="W10" s="271" t="s">
        <v>1331</v>
      </c>
      <c r="X10" s="271" t="s">
        <v>1331</v>
      </c>
      <c r="Y10" s="268">
        <f t="shared" si="1"/>
        <v>429554528</v>
      </c>
    </row>
    <row r="11" spans="1:25" s="210" customFormat="1" ht="15">
      <c r="A11"/>
      <c r="B11" s="209" t="s">
        <v>46</v>
      </c>
      <c r="C11" s="265"/>
      <c r="D11" s="265">
        <f t="shared" ref="D11:Y11" si="2">SUM(D9:D10)</f>
        <v>0</v>
      </c>
      <c r="E11" s="265">
        <f t="shared" si="2"/>
        <v>437882592</v>
      </c>
      <c r="F11" s="265">
        <f t="shared" si="2"/>
        <v>0</v>
      </c>
      <c r="G11" s="265">
        <f t="shared" si="2"/>
        <v>0</v>
      </c>
      <c r="H11" s="265">
        <f t="shared" si="2"/>
        <v>223105328</v>
      </c>
      <c r="I11" s="265">
        <f t="shared" si="2"/>
        <v>0</v>
      </c>
      <c r="J11" s="265">
        <f t="shared" si="2"/>
        <v>0</v>
      </c>
      <c r="K11" s="265">
        <f t="shared" si="2"/>
        <v>223105328</v>
      </c>
      <c r="L11" s="265">
        <f t="shared" si="2"/>
        <v>0</v>
      </c>
      <c r="M11" s="265">
        <f t="shared" si="2"/>
        <v>0</v>
      </c>
      <c r="N11" s="265">
        <f t="shared" si="2"/>
        <v>437882592</v>
      </c>
      <c r="O11" s="265">
        <f t="shared" si="2"/>
        <v>0</v>
      </c>
      <c r="P11" s="265">
        <f t="shared" si="2"/>
        <v>0</v>
      </c>
      <c r="Q11" s="265">
        <f t="shared" si="2"/>
        <v>223105328</v>
      </c>
      <c r="R11" s="265">
        <f t="shared" si="2"/>
        <v>0</v>
      </c>
      <c r="S11" s="265">
        <f t="shared" si="2"/>
        <v>0</v>
      </c>
      <c r="T11" s="265">
        <f t="shared" si="2"/>
        <v>223105328</v>
      </c>
      <c r="U11" s="265">
        <f t="shared" si="2"/>
        <v>0</v>
      </c>
      <c r="V11" s="265">
        <f t="shared" si="2"/>
        <v>0</v>
      </c>
      <c r="W11" s="265">
        <f t="shared" si="2"/>
        <v>223105328</v>
      </c>
      <c r="X11" s="265">
        <f t="shared" si="2"/>
        <v>0</v>
      </c>
      <c r="Y11" s="265">
        <f t="shared" si="2"/>
        <v>1991291824</v>
      </c>
    </row>
    <row r="12" spans="1:25" s="279" customFormat="1" ht="15">
      <c r="A12" s="205"/>
      <c r="B12" s="277"/>
      <c r="C12" s="278"/>
      <c r="D12" s="278"/>
      <c r="E12" s="278"/>
      <c r="F12" s="278"/>
      <c r="G12" s="278"/>
      <c r="H12" s="278"/>
      <c r="I12" s="278"/>
      <c r="J12" s="278"/>
      <c r="K12" s="278"/>
      <c r="L12" s="278"/>
      <c r="M12" s="278"/>
      <c r="N12" s="278"/>
      <c r="O12" s="278"/>
      <c r="P12" s="278"/>
      <c r="Q12" s="278"/>
      <c r="R12" s="278"/>
      <c r="S12" s="278"/>
      <c r="T12" s="278"/>
      <c r="U12" s="278"/>
      <c r="V12" s="278"/>
      <c r="W12" s="278"/>
      <c r="X12" s="278"/>
      <c r="Y12" s="278"/>
    </row>
    <row r="13" spans="1:25" ht="15">
      <c r="D13" s="235"/>
      <c r="E13" s="235"/>
      <c r="F13" s="235"/>
      <c r="G13" s="235"/>
      <c r="H13" s="235"/>
      <c r="I13" s="235"/>
      <c r="J13" s="235"/>
      <c r="K13" s="235"/>
      <c r="L13" s="235"/>
      <c r="M13" s="235"/>
      <c r="N13" s="235"/>
      <c r="O13" s="235"/>
      <c r="P13" s="235"/>
      <c r="Q13" s="235"/>
      <c r="R13" s="235"/>
      <c r="S13" s="235"/>
      <c r="T13" s="235"/>
      <c r="U13" s="235"/>
      <c r="V13" s="235"/>
      <c r="W13" s="235"/>
      <c r="Y13" s="235"/>
    </row>
    <row r="14" spans="1:25" ht="15">
      <c r="B14" s="692" t="str">
        <f>B9</f>
        <v>16.1. Evaluación y actualización de la normatividad de los reglamentos técnicos de la leche y derivados lácteos y demás normatividad asociada a la calidad e inocuidad en la cadena láctea.</v>
      </c>
      <c r="C14" s="693"/>
      <c r="D14" s="693"/>
      <c r="E14" s="693"/>
      <c r="F14" s="693"/>
      <c r="G14" s="693"/>
      <c r="H14" s="693"/>
    </row>
    <row r="15" spans="1:25" ht="15">
      <c r="B15" s="218" t="s">
        <v>1338</v>
      </c>
      <c r="C15" s="218" t="s">
        <v>522</v>
      </c>
      <c r="D15" s="218" t="s">
        <v>263</v>
      </c>
      <c r="E15" s="218" t="s">
        <v>262</v>
      </c>
      <c r="F15" s="219" t="s">
        <v>1339</v>
      </c>
      <c r="G15" s="218" t="s">
        <v>711</v>
      </c>
      <c r="H15" s="218" t="s">
        <v>1340</v>
      </c>
      <c r="W15" s="220"/>
      <c r="X15" s="220"/>
    </row>
    <row r="16" spans="1:25" ht="15">
      <c r="B16" s="221" t="s">
        <v>1341</v>
      </c>
      <c r="C16" s="221">
        <v>10</v>
      </c>
      <c r="D16" s="221" t="s">
        <v>1342</v>
      </c>
      <c r="E16" s="222">
        <f>+'Categorias de Costos lácteo '!C125</f>
        <v>1000000</v>
      </c>
      <c r="F16" s="224"/>
      <c r="G16" s="221"/>
      <c r="H16" s="222">
        <f t="shared" ref="H16:H19" si="3">+C16*E16</f>
        <v>10000000</v>
      </c>
    </row>
    <row r="17" spans="2:8" ht="15">
      <c r="B17" s="221" t="s">
        <v>1343</v>
      </c>
      <c r="C17" s="221">
        <v>30</v>
      </c>
      <c r="D17" s="221" t="s">
        <v>1342</v>
      </c>
      <c r="E17" s="222">
        <f>+'Categorias de Costos lácteo '!C133</f>
        <v>100000</v>
      </c>
      <c r="F17" s="224"/>
      <c r="G17" s="221"/>
      <c r="H17" s="222">
        <f t="shared" si="3"/>
        <v>3000000</v>
      </c>
    </row>
    <row r="18" spans="2:8" ht="15">
      <c r="B18" s="221" t="s">
        <v>1344</v>
      </c>
      <c r="C18" s="221">
        <v>8</v>
      </c>
      <c r="D18" s="221" t="s">
        <v>1342</v>
      </c>
      <c r="E18" s="222">
        <f>+'Categorias de Costos lácteo '!C123</f>
        <v>5000000</v>
      </c>
      <c r="F18" s="224"/>
      <c r="G18" s="221"/>
      <c r="H18" s="222">
        <f t="shared" si="3"/>
        <v>40000000</v>
      </c>
    </row>
    <row r="19" spans="2:8" ht="15">
      <c r="B19" s="221" t="s">
        <v>1346</v>
      </c>
      <c r="C19" s="221">
        <v>30</v>
      </c>
      <c r="D19" s="221" t="s">
        <v>1342</v>
      </c>
      <c r="E19" s="222">
        <f>+'Categorias de Costos lácteo '!C134</f>
        <v>570000</v>
      </c>
      <c r="F19" s="222"/>
      <c r="G19" s="221"/>
      <c r="H19" s="222">
        <f t="shared" si="3"/>
        <v>17100000</v>
      </c>
    </row>
    <row r="20" spans="2:8" ht="15">
      <c r="B20" s="165" t="s">
        <v>1353</v>
      </c>
      <c r="C20" s="221">
        <v>2</v>
      </c>
      <c r="D20" s="221" t="s">
        <v>1342</v>
      </c>
      <c r="E20" s="222">
        <f>+'Categorias de Costos lácteo '!D51</f>
        <v>6375222</v>
      </c>
      <c r="F20" s="237">
        <v>1</v>
      </c>
      <c r="G20" s="221">
        <v>12</v>
      </c>
      <c r="H20" s="222">
        <f>+C20*E20*G20</f>
        <v>153005328</v>
      </c>
    </row>
    <row r="21" spans="2:8" ht="15">
      <c r="B21" s="165" t="s">
        <v>1660</v>
      </c>
      <c r="C21" s="221"/>
      <c r="D21" s="221"/>
      <c r="E21" s="222"/>
      <c r="F21" s="221"/>
      <c r="G21" s="221"/>
      <c r="H21" s="222" t="s">
        <v>1331</v>
      </c>
    </row>
    <row r="22" spans="2:8" ht="15">
      <c r="B22" s="225" t="s">
        <v>1661</v>
      </c>
      <c r="C22" s="226"/>
      <c r="D22" s="226"/>
      <c r="E22" s="227"/>
      <c r="F22" s="227"/>
      <c r="G22" s="226"/>
      <c r="H22" s="228">
        <f>SUM(H16:H21)</f>
        <v>223105328</v>
      </c>
    </row>
    <row r="23" spans="2:8" ht="122.1" customHeight="1">
      <c r="B23" s="229" t="s">
        <v>1662</v>
      </c>
      <c r="C23" s="205"/>
      <c r="D23" s="205"/>
      <c r="E23" s="217"/>
      <c r="F23" s="217"/>
      <c r="G23" s="205"/>
      <c r="H23" s="217"/>
    </row>
    <row r="24" spans="2:8" ht="15">
      <c r="B24" s="229"/>
      <c r="C24" s="205"/>
      <c r="D24" s="205"/>
      <c r="E24" s="217"/>
      <c r="F24" s="217"/>
      <c r="G24" s="205"/>
      <c r="H24" s="217"/>
    </row>
    <row r="25" spans="2:8" ht="15"/>
    <row r="26" spans="2:8" ht="32.1" customHeight="1">
      <c r="B26" s="692" t="str">
        <f>+B10</f>
        <v xml:space="preserve">16.2. Evaluación y actualización del sistema de pago de leche cruda </v>
      </c>
      <c r="C26" s="706"/>
      <c r="D26" s="706"/>
      <c r="E26" s="706"/>
      <c r="F26" s="706"/>
      <c r="G26" s="706"/>
      <c r="H26" s="706"/>
    </row>
    <row r="27" spans="2:8" ht="15">
      <c r="B27" s="218" t="s">
        <v>1338</v>
      </c>
      <c r="C27" s="218" t="s">
        <v>522</v>
      </c>
      <c r="D27" s="218" t="s">
        <v>263</v>
      </c>
      <c r="E27" s="218" t="s">
        <v>262</v>
      </c>
      <c r="F27" s="219" t="s">
        <v>1339</v>
      </c>
      <c r="G27" s="218" t="s">
        <v>711</v>
      </c>
      <c r="H27" s="218" t="s">
        <v>1340</v>
      </c>
    </row>
    <row r="28" spans="2:8" ht="15">
      <c r="B28" s="221" t="s">
        <v>1341</v>
      </c>
      <c r="C28" s="221">
        <v>10</v>
      </c>
      <c r="D28" s="221" t="s">
        <v>1342</v>
      </c>
      <c r="E28" s="222">
        <f>+'Categorias de Costos lácteo '!C125</f>
        <v>1000000</v>
      </c>
      <c r="F28" s="224"/>
      <c r="G28" s="221"/>
      <c r="H28" s="222">
        <f t="shared" ref="H28:H30" si="4">+C28*E28</f>
        <v>10000000</v>
      </c>
    </row>
    <row r="29" spans="2:8" ht="15">
      <c r="B29" s="221" t="s">
        <v>1343</v>
      </c>
      <c r="C29" s="221">
        <v>30</v>
      </c>
      <c r="D29" s="221" t="s">
        <v>1342</v>
      </c>
      <c r="E29" s="222">
        <f>+'Categorias de Costos lácteo '!C133</f>
        <v>100000</v>
      </c>
      <c r="F29" s="224"/>
      <c r="G29" s="221"/>
      <c r="H29" s="222">
        <f t="shared" si="4"/>
        <v>3000000</v>
      </c>
    </row>
    <row r="30" spans="2:8" ht="15">
      <c r="B30" s="221" t="s">
        <v>1346</v>
      </c>
      <c r="C30" s="221">
        <v>60</v>
      </c>
      <c r="D30" s="221" t="s">
        <v>1342</v>
      </c>
      <c r="E30" s="222">
        <f>+'Categorias de Costos lácteo '!C134</f>
        <v>570000</v>
      </c>
      <c r="F30" s="222"/>
      <c r="G30" s="221"/>
      <c r="H30" s="222">
        <f t="shared" si="4"/>
        <v>34200000</v>
      </c>
    </row>
    <row r="31" spans="2:8" ht="15">
      <c r="B31" s="165" t="s">
        <v>1353</v>
      </c>
      <c r="C31" s="221">
        <v>2</v>
      </c>
      <c r="D31" s="221" t="s">
        <v>1342</v>
      </c>
      <c r="E31" s="222">
        <f>+'Categorias de Costos lácteo '!D50</f>
        <v>6982386</v>
      </c>
      <c r="F31" s="237">
        <v>1</v>
      </c>
      <c r="G31" s="221">
        <v>12</v>
      </c>
      <c r="H31" s="222">
        <f>+C31*E31*G31</f>
        <v>167577264</v>
      </c>
    </row>
    <row r="32" spans="2:8" ht="15">
      <c r="B32" s="165" t="s">
        <v>1729</v>
      </c>
      <c r="C32" s="221"/>
      <c r="D32" s="221"/>
      <c r="E32" s="222"/>
      <c r="F32" s="221"/>
      <c r="G32" s="221"/>
      <c r="H32" s="222" t="s">
        <v>1663</v>
      </c>
    </row>
    <row r="33" spans="2:8" ht="15">
      <c r="B33" s="225" t="s">
        <v>1661</v>
      </c>
      <c r="C33" s="226"/>
      <c r="D33" s="226"/>
      <c r="E33" s="227"/>
      <c r="F33" s="227"/>
      <c r="G33" s="226"/>
      <c r="H33" s="228">
        <f>SUM(H28:H32)</f>
        <v>214777264</v>
      </c>
    </row>
    <row r="34" spans="2:8" ht="94.5" customHeight="1">
      <c r="B34" s="229" t="s">
        <v>1728</v>
      </c>
      <c r="C34" s="205"/>
      <c r="D34" s="205"/>
      <c r="E34" s="217"/>
      <c r="F34" s="217"/>
      <c r="G34" s="205"/>
      <c r="H34" s="217"/>
    </row>
  </sheetData>
  <mergeCells count="2">
    <mergeCell ref="B14:H14"/>
    <mergeCell ref="B26:H2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9"/>
  <sheetViews>
    <sheetView windowProtection="1" showGridLines="0" zoomScaleNormal="100" workbookViewId="0">
      <selection activeCell="H27" sqref="D27:H27"/>
    </sheetView>
  </sheetViews>
  <sheetFormatPr baseColWidth="10" defaultColWidth="11.42578125" defaultRowHeight="15"/>
  <cols>
    <col min="1" max="1" width="13.42578125" customWidth="1"/>
    <col min="2" max="2" width="51" customWidth="1"/>
    <col min="3" max="3" width="19.85546875" customWidth="1"/>
    <col min="4" max="4" width="18.42578125" bestFit="1" customWidth="1"/>
    <col min="5" max="5" width="16.42578125" customWidth="1"/>
    <col min="6" max="24" width="17.28515625" customWidth="1"/>
    <col min="25" max="25" width="17.7109375" bestFit="1" customWidth="1"/>
  </cols>
  <sheetData>
    <row r="2" spans="1:25" ht="15.75">
      <c r="A2" s="203" t="s">
        <v>1664</v>
      </c>
    </row>
    <row r="3" spans="1:25" s="205" customFormat="1">
      <c r="A3" s="204"/>
    </row>
    <row r="4" spans="1:25" ht="15.75">
      <c r="A4" s="264" t="s">
        <v>1335</v>
      </c>
      <c r="B4" s="264" t="s">
        <v>1258</v>
      </c>
      <c r="C4" s="207"/>
    </row>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40</v>
      </c>
      <c r="C7" s="209" t="s">
        <v>42</v>
      </c>
      <c r="D7" s="265">
        <f t="shared" ref="D7:X7" si="0">SUM(D8:D8)</f>
        <v>0</v>
      </c>
      <c r="E7" s="265">
        <f t="shared" si="0"/>
        <v>7374543155</v>
      </c>
      <c r="F7" s="265">
        <f t="shared" si="0"/>
        <v>7374543155</v>
      </c>
      <c r="G7" s="265">
        <f t="shared" si="0"/>
        <v>7374543155</v>
      </c>
      <c r="H7" s="265">
        <f t="shared" si="0"/>
        <v>7442703155</v>
      </c>
      <c r="I7" s="265">
        <f t="shared" si="0"/>
        <v>7442703155</v>
      </c>
      <c r="J7" s="265">
        <f t="shared" si="0"/>
        <v>7442703155</v>
      </c>
      <c r="K7" s="265">
        <f t="shared" si="0"/>
        <v>7442703155</v>
      </c>
      <c r="L7" s="265">
        <f t="shared" si="0"/>
        <v>7442703155</v>
      </c>
      <c r="M7" s="265">
        <f t="shared" si="0"/>
        <v>7442703155</v>
      </c>
      <c r="N7" s="265">
        <f t="shared" si="0"/>
        <v>7442703155</v>
      </c>
      <c r="O7" s="265">
        <f t="shared" si="0"/>
        <v>7442703155</v>
      </c>
      <c r="P7" s="265">
        <f t="shared" si="0"/>
        <v>7442703155</v>
      </c>
      <c r="Q7" s="265">
        <f t="shared" si="0"/>
        <v>7442703155</v>
      </c>
      <c r="R7" s="265">
        <f t="shared" si="0"/>
        <v>7442703155</v>
      </c>
      <c r="S7" s="265">
        <f t="shared" si="0"/>
        <v>7374543155</v>
      </c>
      <c r="T7" s="265">
        <f t="shared" si="0"/>
        <v>7374543155</v>
      </c>
      <c r="U7" s="265">
        <f t="shared" si="0"/>
        <v>7374543155</v>
      </c>
      <c r="V7" s="265">
        <f t="shared" si="0"/>
        <v>7374543155</v>
      </c>
      <c r="W7" s="265">
        <f t="shared" si="0"/>
        <v>7374543155</v>
      </c>
      <c r="X7" s="265">
        <f t="shared" si="0"/>
        <v>7374543155</v>
      </c>
      <c r="Y7" s="265">
        <f>SUM(D7:X7)</f>
        <v>148240623100</v>
      </c>
    </row>
    <row r="8" spans="1:25" s="269" customFormat="1" ht="45">
      <c r="A8"/>
      <c r="B8" s="280" t="s">
        <v>1259</v>
      </c>
      <c r="C8" s="267" t="s">
        <v>1665</v>
      </c>
      <c r="E8" s="268">
        <f>+H30</f>
        <v>7374543155</v>
      </c>
      <c r="F8" s="268">
        <f>+E8</f>
        <v>7374543155</v>
      </c>
      <c r="G8" s="268">
        <f>+F8</f>
        <v>7374543155</v>
      </c>
      <c r="H8" s="268">
        <f>+H31</f>
        <v>7442703155</v>
      </c>
      <c r="I8" s="268">
        <f t="shared" ref="I8:R8" si="1">+H8</f>
        <v>7442703155</v>
      </c>
      <c r="J8" s="268">
        <f t="shared" si="1"/>
        <v>7442703155</v>
      </c>
      <c r="K8" s="268">
        <f t="shared" si="1"/>
        <v>7442703155</v>
      </c>
      <c r="L8" s="268">
        <f t="shared" si="1"/>
        <v>7442703155</v>
      </c>
      <c r="M8" s="268">
        <f t="shared" si="1"/>
        <v>7442703155</v>
      </c>
      <c r="N8" s="268">
        <f t="shared" si="1"/>
        <v>7442703155</v>
      </c>
      <c r="O8" s="268">
        <f t="shared" si="1"/>
        <v>7442703155</v>
      </c>
      <c r="P8" s="268">
        <f t="shared" si="1"/>
        <v>7442703155</v>
      </c>
      <c r="Q8" s="268">
        <f t="shared" si="1"/>
        <v>7442703155</v>
      </c>
      <c r="R8" s="268">
        <f t="shared" si="1"/>
        <v>7442703155</v>
      </c>
      <c r="S8" s="268">
        <f>+H30</f>
        <v>7374543155</v>
      </c>
      <c r="T8" s="268">
        <f>+S8</f>
        <v>7374543155</v>
      </c>
      <c r="U8" s="268">
        <f>+T8</f>
        <v>7374543155</v>
      </c>
      <c r="V8" s="268">
        <f>+U8</f>
        <v>7374543155</v>
      </c>
      <c r="W8" s="268">
        <f>+V8</f>
        <v>7374543155</v>
      </c>
      <c r="X8" s="268">
        <f>+W8</f>
        <v>7374543155</v>
      </c>
      <c r="Y8" s="268">
        <f>SUM(D8:X8)</f>
        <v>148240623100</v>
      </c>
    </row>
    <row r="9" spans="1:25" s="210" customFormat="1">
      <c r="A9"/>
      <c r="B9" s="209" t="s">
        <v>46</v>
      </c>
      <c r="C9" s="265">
        <f t="shared" ref="C9:Y9" si="2">SUM(C8:C8)</f>
        <v>0</v>
      </c>
      <c r="D9" s="265">
        <f t="shared" si="2"/>
        <v>0</v>
      </c>
      <c r="E9" s="265">
        <f t="shared" si="2"/>
        <v>7374543155</v>
      </c>
      <c r="F9" s="265">
        <f t="shared" si="2"/>
        <v>7374543155</v>
      </c>
      <c r="G9" s="265">
        <f t="shared" si="2"/>
        <v>7374543155</v>
      </c>
      <c r="H9" s="265">
        <f t="shared" si="2"/>
        <v>7442703155</v>
      </c>
      <c r="I9" s="265">
        <f t="shared" si="2"/>
        <v>7442703155</v>
      </c>
      <c r="J9" s="265">
        <f t="shared" si="2"/>
        <v>7442703155</v>
      </c>
      <c r="K9" s="265">
        <f t="shared" si="2"/>
        <v>7442703155</v>
      </c>
      <c r="L9" s="265">
        <f t="shared" si="2"/>
        <v>7442703155</v>
      </c>
      <c r="M9" s="265">
        <f t="shared" si="2"/>
        <v>7442703155</v>
      </c>
      <c r="N9" s="265">
        <f t="shared" si="2"/>
        <v>7442703155</v>
      </c>
      <c r="O9" s="265">
        <f t="shared" si="2"/>
        <v>7442703155</v>
      </c>
      <c r="P9" s="265">
        <f t="shared" si="2"/>
        <v>7442703155</v>
      </c>
      <c r="Q9" s="265">
        <f t="shared" si="2"/>
        <v>7442703155</v>
      </c>
      <c r="R9" s="265">
        <f t="shared" si="2"/>
        <v>7442703155</v>
      </c>
      <c r="S9" s="265">
        <f t="shared" si="2"/>
        <v>7374543155</v>
      </c>
      <c r="T9" s="265">
        <f t="shared" si="2"/>
        <v>7374543155</v>
      </c>
      <c r="U9" s="265">
        <f t="shared" si="2"/>
        <v>7374543155</v>
      </c>
      <c r="V9" s="265">
        <f t="shared" si="2"/>
        <v>7374543155</v>
      </c>
      <c r="W9" s="265">
        <f t="shared" si="2"/>
        <v>7374543155</v>
      </c>
      <c r="X9" s="265">
        <f t="shared" si="2"/>
        <v>7374543155</v>
      </c>
      <c r="Y9" s="265">
        <f t="shared" si="2"/>
        <v>148240623100</v>
      </c>
    </row>
    <row r="12" spans="1:25">
      <c r="B12" s="692" t="str">
        <f>B8</f>
        <v>17.1. Fortalecimiento de las autoridades sanitarias (ICA, INVIMA y ETS) en la gestión relacionada con la cadena láctea.</v>
      </c>
      <c r="C12" s="693"/>
      <c r="D12" s="693"/>
      <c r="E12" s="693"/>
      <c r="F12" s="693"/>
      <c r="G12" s="693"/>
      <c r="H12" s="693"/>
      <c r="W12" s="235"/>
    </row>
    <row r="13" spans="1:25">
      <c r="B13" s="688"/>
      <c r="C13" s="688"/>
      <c r="D13" s="688"/>
      <c r="E13" s="688"/>
      <c r="F13" s="688"/>
      <c r="G13" s="688"/>
      <c r="H13" s="688"/>
      <c r="X13" s="220"/>
    </row>
    <row r="14" spans="1:25">
      <c r="B14" s="218" t="s">
        <v>1338</v>
      </c>
      <c r="C14" s="218" t="s">
        <v>522</v>
      </c>
      <c r="D14" s="218" t="s">
        <v>263</v>
      </c>
      <c r="E14" s="218" t="s">
        <v>262</v>
      </c>
      <c r="F14" s="219" t="s">
        <v>1339</v>
      </c>
      <c r="G14" s="505" t="s">
        <v>711</v>
      </c>
      <c r="H14" s="218" t="s">
        <v>1340</v>
      </c>
      <c r="I14" s="506"/>
      <c r="X14" s="220"/>
    </row>
    <row r="15" spans="1:25">
      <c r="B15" s="221" t="s">
        <v>1341</v>
      </c>
      <c r="C15" s="221">
        <v>30</v>
      </c>
      <c r="D15" s="221" t="s">
        <v>1342</v>
      </c>
      <c r="E15" s="222">
        <f>+'Categorias de Costos lácteo '!C125</f>
        <v>1000000</v>
      </c>
      <c r="F15" s="224"/>
      <c r="G15" s="507"/>
      <c r="H15" s="222">
        <f t="shared" ref="H15:H21" si="3">+C15*E15</f>
        <v>30000000</v>
      </c>
      <c r="I15" s="707"/>
    </row>
    <row r="16" spans="1:25">
      <c r="B16" s="221" t="s">
        <v>1343</v>
      </c>
      <c r="C16" s="221">
        <v>30</v>
      </c>
      <c r="D16" s="221" t="s">
        <v>1342</v>
      </c>
      <c r="E16" s="222">
        <f>+'Categorias de Costos lácteo '!C133</f>
        <v>100000</v>
      </c>
      <c r="F16" s="224"/>
      <c r="G16" s="507"/>
      <c r="H16" s="222">
        <f t="shared" si="3"/>
        <v>3000000</v>
      </c>
      <c r="I16" s="707"/>
    </row>
    <row r="17" spans="2:9">
      <c r="B17" s="221" t="s">
        <v>1344</v>
      </c>
      <c r="C17" s="221">
        <v>8</v>
      </c>
      <c r="D17" s="221" t="s">
        <v>1342</v>
      </c>
      <c r="E17" s="222">
        <f>+'Categorias de Costos lácteo '!C123</f>
        <v>5000000</v>
      </c>
      <c r="F17" s="224"/>
      <c r="G17" s="507"/>
      <c r="H17" s="222">
        <f t="shared" si="3"/>
        <v>40000000</v>
      </c>
      <c r="I17" s="707"/>
    </row>
    <row r="18" spans="2:9">
      <c r="B18" s="221" t="s">
        <v>1345</v>
      </c>
      <c r="C18" s="221">
        <v>10</v>
      </c>
      <c r="D18" s="221" t="s">
        <v>1342</v>
      </c>
      <c r="E18" s="222">
        <f>+'Categorias de Costos lácteo '!C124</f>
        <v>5700000</v>
      </c>
      <c r="F18" s="222"/>
      <c r="G18" s="507"/>
      <c r="H18" s="222">
        <f t="shared" si="3"/>
        <v>57000000</v>
      </c>
      <c r="I18" s="707"/>
    </row>
    <row r="19" spans="2:9">
      <c r="B19" s="221" t="s">
        <v>1346</v>
      </c>
      <c r="C19" s="221">
        <v>30</v>
      </c>
      <c r="D19" s="221" t="s">
        <v>1342</v>
      </c>
      <c r="E19" s="222">
        <f>+'Categorias de Costos lácteo '!C134</f>
        <v>570000</v>
      </c>
      <c r="F19" s="222"/>
      <c r="G19" s="507"/>
      <c r="H19" s="222">
        <f t="shared" si="3"/>
        <v>17100000</v>
      </c>
      <c r="I19" s="707"/>
    </row>
    <row r="20" spans="2:9">
      <c r="B20" s="165" t="s">
        <v>1588</v>
      </c>
      <c r="C20" s="221">
        <v>1</v>
      </c>
      <c r="D20" s="221" t="s">
        <v>1342</v>
      </c>
      <c r="E20" s="222">
        <f>+'Categorias de Costos lácteo '!C216</f>
        <v>87500000</v>
      </c>
      <c r="F20" s="237"/>
      <c r="G20" s="507"/>
      <c r="H20" s="222">
        <f t="shared" si="3"/>
        <v>87500000</v>
      </c>
      <c r="I20" s="707"/>
    </row>
    <row r="21" spans="2:9">
      <c r="B21" s="165" t="s">
        <v>1348</v>
      </c>
      <c r="C21" s="221">
        <v>1</v>
      </c>
      <c r="D21" s="221" t="s">
        <v>1342</v>
      </c>
      <c r="E21" s="222">
        <v>50000000</v>
      </c>
      <c r="F21" s="237"/>
      <c r="G21" s="507"/>
      <c r="H21" s="222">
        <f t="shared" si="3"/>
        <v>50000000</v>
      </c>
      <c r="I21" s="707"/>
    </row>
    <row r="22" spans="2:9">
      <c r="B22" s="502" t="s">
        <v>1353</v>
      </c>
      <c r="C22" s="499">
        <v>5</v>
      </c>
      <c r="D22" s="499" t="s">
        <v>1342</v>
      </c>
      <c r="E22" s="500">
        <f>+'Categorias de Costos lácteo '!D50</f>
        <v>6982386</v>
      </c>
      <c r="F22" s="501">
        <v>1</v>
      </c>
      <c r="G22" s="508">
        <v>12</v>
      </c>
      <c r="H22" s="500">
        <f>+G22*C22*E22</f>
        <v>418943160</v>
      </c>
      <c r="I22" s="707"/>
    </row>
    <row r="23" spans="2:9">
      <c r="B23" s="502" t="s">
        <v>1590</v>
      </c>
      <c r="C23" s="499">
        <v>30</v>
      </c>
      <c r="D23" s="499" t="s">
        <v>1342</v>
      </c>
      <c r="E23" s="500">
        <f>+'Categorias de Costos lácteo '!D25</f>
        <v>3035818</v>
      </c>
      <c r="F23" s="501">
        <v>1</v>
      </c>
      <c r="G23" s="508">
        <v>12</v>
      </c>
      <c r="H23" s="500">
        <f>+G23*C23*E23</f>
        <v>1092894480</v>
      </c>
      <c r="I23" s="707"/>
    </row>
    <row r="24" spans="2:9">
      <c r="B24" s="502" t="s">
        <v>1354</v>
      </c>
      <c r="C24" s="499">
        <v>10</v>
      </c>
      <c r="D24" s="499" t="s">
        <v>1342</v>
      </c>
      <c r="E24" s="500">
        <f>+'Categorias de Costos lácteo '!G50+'Categorias de Costos lácteo '!C82</f>
        <v>2098191.5</v>
      </c>
      <c r="F24" s="501"/>
      <c r="G24" s="508"/>
      <c r="H24" s="500">
        <f>+C24*E24</f>
        <v>20981915</v>
      </c>
      <c r="I24" s="707"/>
    </row>
    <row r="25" spans="2:9" ht="30">
      <c r="B25" s="502" t="s">
        <v>1688</v>
      </c>
      <c r="C25" s="499">
        <v>30</v>
      </c>
      <c r="D25" s="499" t="s">
        <v>1342</v>
      </c>
      <c r="E25" s="500">
        <f>+'Categorias de Costos lácteo '!G55+'Categorias de Costos lácteo '!C82</f>
        <v>1904120</v>
      </c>
      <c r="F25" s="501">
        <v>1</v>
      </c>
      <c r="G25" s="508">
        <v>12</v>
      </c>
      <c r="H25" s="500">
        <f>+C25*E25</f>
        <v>57123600</v>
      </c>
      <c r="I25" s="707"/>
    </row>
    <row r="26" spans="2:9">
      <c r="B26" s="502" t="s">
        <v>1384</v>
      </c>
      <c r="C26" s="499">
        <v>2</v>
      </c>
      <c r="D26" s="499" t="s">
        <v>1342</v>
      </c>
      <c r="E26" s="500">
        <f>+'Categorias de Costos lácteo '!D349</f>
        <v>170400000</v>
      </c>
      <c r="F26" s="501">
        <v>0.2</v>
      </c>
      <c r="G26" s="508"/>
      <c r="H26" s="500">
        <f>C26*E26*F26</f>
        <v>68160000</v>
      </c>
      <c r="I26" s="707"/>
    </row>
    <row r="27" spans="2:9" ht="30">
      <c r="B27" s="502" t="s">
        <v>1687</v>
      </c>
      <c r="C27" s="499">
        <v>1</v>
      </c>
      <c r="D27" s="499" t="s">
        <v>1342</v>
      </c>
      <c r="E27" s="500">
        <v>5500000000</v>
      </c>
      <c r="F27" s="501"/>
      <c r="G27" s="508"/>
      <c r="H27" s="500">
        <f>+C27*E27</f>
        <v>5500000000</v>
      </c>
      <c r="I27" s="707"/>
    </row>
    <row r="28" spans="2:9">
      <c r="B28" s="502" t="s">
        <v>1666</v>
      </c>
      <c r="C28" s="499"/>
      <c r="D28" s="499"/>
      <c r="E28" s="500"/>
      <c r="F28" s="501"/>
      <c r="G28" s="508"/>
      <c r="H28" s="500" t="s">
        <v>1663</v>
      </c>
      <c r="I28" s="707"/>
    </row>
    <row r="29" spans="2:9">
      <c r="B29" s="499" t="s">
        <v>1586</v>
      </c>
      <c r="C29" s="499"/>
      <c r="D29" s="499"/>
      <c r="E29" s="500"/>
      <c r="F29" s="501"/>
      <c r="G29" s="508"/>
      <c r="H29" s="500" t="s">
        <v>1663</v>
      </c>
      <c r="I29" s="707"/>
    </row>
    <row r="30" spans="2:9">
      <c r="B30" s="281" t="s">
        <v>1667</v>
      </c>
      <c r="C30" s="282"/>
      <c r="D30" s="282"/>
      <c r="E30" s="283"/>
      <c r="F30" s="283"/>
      <c r="G30" s="509"/>
      <c r="H30" s="284">
        <f>SUM(H15:H29)-H26</f>
        <v>7374543155</v>
      </c>
    </row>
    <row r="31" spans="2:9">
      <c r="B31" s="285" t="s">
        <v>1668</v>
      </c>
      <c r="C31" s="286"/>
      <c r="D31" s="286"/>
      <c r="E31" s="287"/>
      <c r="F31" s="287"/>
      <c r="G31" s="286"/>
      <c r="H31" s="284">
        <f>SUM(H15:H29)</f>
        <v>7442703155</v>
      </c>
    </row>
    <row r="32" spans="2:9" ht="285">
      <c r="B32" s="510" t="s">
        <v>1689</v>
      </c>
      <c r="E32" s="235"/>
      <c r="F32" s="235"/>
      <c r="H32" s="288"/>
    </row>
    <row r="34" spans="2:8">
      <c r="B34" s="110"/>
    </row>
    <row r="36" spans="2:8">
      <c r="B36" s="110"/>
    </row>
    <row r="38" spans="2:8">
      <c r="B38" s="110"/>
      <c r="H38" s="231"/>
    </row>
    <row r="39" spans="2:8">
      <c r="B39" s="51"/>
      <c r="C39" s="51"/>
      <c r="D39" s="51"/>
      <c r="E39" s="51"/>
      <c r="F39" s="51"/>
      <c r="G39" s="51"/>
      <c r="H39" s="51"/>
    </row>
  </sheetData>
  <mergeCells count="2">
    <mergeCell ref="B12:H13"/>
    <mergeCell ref="I15:I2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2"/>
  <sheetViews>
    <sheetView windowProtection="1" showGridLines="0" zoomScale="120" zoomScaleNormal="120" workbookViewId="0">
      <selection activeCell="A2" sqref="A2"/>
    </sheetView>
  </sheetViews>
  <sheetFormatPr baseColWidth="10" defaultColWidth="11.42578125" defaultRowHeight="15"/>
  <cols>
    <col min="1" max="1" width="13.42578125" customWidth="1"/>
    <col min="2" max="2" width="57.42578125" customWidth="1"/>
    <col min="3" max="3" width="19.85546875" customWidth="1"/>
    <col min="4" max="4" width="17.85546875" bestFit="1" customWidth="1"/>
    <col min="5" max="25" width="19.42578125" customWidth="1"/>
  </cols>
  <sheetData>
    <row r="2" spans="1:25" ht="15.75">
      <c r="A2" s="203" t="s">
        <v>1334</v>
      </c>
    </row>
    <row r="3" spans="1:25" s="205" customFormat="1">
      <c r="A3" s="204"/>
    </row>
    <row r="4" spans="1:25" ht="15.75">
      <c r="A4" s="264" t="s">
        <v>1335</v>
      </c>
      <c r="B4" s="264" t="s">
        <v>1276</v>
      </c>
      <c r="C4" s="207"/>
    </row>
    <row r="5" spans="1:25">
      <c r="A5" s="276"/>
      <c r="B5" s="276"/>
    </row>
    <row r="6" spans="1:25">
      <c r="D6" s="208">
        <v>0</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t="s">
        <v>46</v>
      </c>
    </row>
    <row r="7" spans="1:25" s="210" customFormat="1">
      <c r="A7"/>
      <c r="B7" s="209" t="s">
        <v>1336</v>
      </c>
      <c r="C7" s="209" t="s">
        <v>42</v>
      </c>
      <c r="D7" s="265">
        <f t="shared" ref="D7:X7" si="0">SUM(D8:D10)</f>
        <v>0</v>
      </c>
      <c r="E7" s="265">
        <f>SUM(E8:E10)</f>
        <v>1589075566</v>
      </c>
      <c r="F7" s="265">
        <f t="shared" si="0"/>
        <v>1589075566</v>
      </c>
      <c r="G7" s="265">
        <f t="shared" si="0"/>
        <v>1726575566</v>
      </c>
      <c r="H7" s="265">
        <f t="shared" si="0"/>
        <v>1726575566</v>
      </c>
      <c r="I7" s="265">
        <f t="shared" si="0"/>
        <v>1726575566</v>
      </c>
      <c r="J7" s="265">
        <f t="shared" si="0"/>
        <v>2676575566</v>
      </c>
      <c r="K7" s="265">
        <f t="shared" si="0"/>
        <v>2676575566</v>
      </c>
      <c r="L7" s="265">
        <f t="shared" si="0"/>
        <v>2676575566</v>
      </c>
      <c r="M7" s="265">
        <f t="shared" si="0"/>
        <v>2676575566</v>
      </c>
      <c r="N7" s="265">
        <f t="shared" si="0"/>
        <v>2676575566</v>
      </c>
      <c r="O7" s="265">
        <f t="shared" si="0"/>
        <v>1726575566</v>
      </c>
      <c r="P7" s="265">
        <f t="shared" si="0"/>
        <v>1726575566</v>
      </c>
      <c r="Q7" s="265">
        <f t="shared" si="0"/>
        <v>1726575566</v>
      </c>
      <c r="R7" s="265">
        <f t="shared" si="0"/>
        <v>1726575566</v>
      </c>
      <c r="S7" s="265">
        <f t="shared" si="0"/>
        <v>1726575566</v>
      </c>
      <c r="T7" s="265">
        <f t="shared" si="0"/>
        <v>1726575566</v>
      </c>
      <c r="U7" s="265">
        <f t="shared" si="0"/>
        <v>1726575566</v>
      </c>
      <c r="V7" s="265">
        <f t="shared" si="0"/>
        <v>1726575566</v>
      </c>
      <c r="W7" s="265">
        <f t="shared" si="0"/>
        <v>1726575566</v>
      </c>
      <c r="X7" s="265">
        <f t="shared" si="0"/>
        <v>1726575566</v>
      </c>
      <c r="Y7" s="265">
        <f>SUM(D7:X7)</f>
        <v>39006511320</v>
      </c>
    </row>
    <row r="8" spans="1:25" s="269" customFormat="1" ht="31.5" customHeight="1">
      <c r="A8"/>
      <c r="B8" s="266" t="s">
        <v>1277</v>
      </c>
      <c r="C8" s="267" t="s">
        <v>1665</v>
      </c>
      <c r="D8" s="253"/>
      <c r="E8" s="268">
        <f>+H30</f>
        <v>815778290</v>
      </c>
      <c r="F8" s="268">
        <f>+E8</f>
        <v>815778290</v>
      </c>
      <c r="G8" s="268">
        <f>+F8</f>
        <v>815778290</v>
      </c>
      <c r="H8" s="268">
        <f>+G8</f>
        <v>815778290</v>
      </c>
      <c r="I8" s="268">
        <f>+H8</f>
        <v>815778290</v>
      </c>
      <c r="J8" s="268">
        <f>+H31</f>
        <v>1765778290</v>
      </c>
      <c r="K8" s="268">
        <f t="shared" ref="K8:N9" si="1">+J8</f>
        <v>1765778290</v>
      </c>
      <c r="L8" s="268">
        <f t="shared" si="1"/>
        <v>1765778290</v>
      </c>
      <c r="M8" s="268">
        <f t="shared" si="1"/>
        <v>1765778290</v>
      </c>
      <c r="N8" s="268">
        <f t="shared" si="1"/>
        <v>1765778290</v>
      </c>
      <c r="O8" s="268">
        <f>+H30</f>
        <v>815778290</v>
      </c>
      <c r="P8" s="268">
        <f t="shared" ref="P8:X9" si="2">+O8</f>
        <v>815778290</v>
      </c>
      <c r="Q8" s="268">
        <f t="shared" si="2"/>
        <v>815778290</v>
      </c>
      <c r="R8" s="268">
        <f t="shared" si="2"/>
        <v>815778290</v>
      </c>
      <c r="S8" s="268">
        <f t="shared" si="2"/>
        <v>815778290</v>
      </c>
      <c r="T8" s="268">
        <f t="shared" si="2"/>
        <v>815778290</v>
      </c>
      <c r="U8" s="268">
        <f t="shared" si="2"/>
        <v>815778290</v>
      </c>
      <c r="V8" s="268">
        <f t="shared" si="2"/>
        <v>815778290</v>
      </c>
      <c r="W8" s="268">
        <f t="shared" si="2"/>
        <v>815778290</v>
      </c>
      <c r="X8" s="268">
        <f t="shared" si="2"/>
        <v>815778290</v>
      </c>
      <c r="Y8" s="268">
        <f>SUM(D8:X8)</f>
        <v>21065565800</v>
      </c>
    </row>
    <row r="9" spans="1:25" s="269" customFormat="1" ht="39" customHeight="1">
      <c r="A9"/>
      <c r="B9" s="492" t="s">
        <v>1326</v>
      </c>
      <c r="C9" s="267" t="s">
        <v>1665</v>
      </c>
      <c r="D9" s="270"/>
      <c r="E9" s="271">
        <f>+H47</f>
        <v>436689284</v>
      </c>
      <c r="F9" s="271">
        <f>+E9</f>
        <v>436689284</v>
      </c>
      <c r="G9" s="268">
        <f>+H48</f>
        <v>574189284</v>
      </c>
      <c r="H9" s="268">
        <f t="shared" ref="H9:J10" si="3">+G9</f>
        <v>574189284</v>
      </c>
      <c r="I9" s="268">
        <f t="shared" si="3"/>
        <v>574189284</v>
      </c>
      <c r="J9" s="268">
        <f t="shared" si="3"/>
        <v>574189284</v>
      </c>
      <c r="K9" s="268">
        <f t="shared" si="1"/>
        <v>574189284</v>
      </c>
      <c r="L9" s="268">
        <f t="shared" si="1"/>
        <v>574189284</v>
      </c>
      <c r="M9" s="268">
        <f t="shared" si="1"/>
        <v>574189284</v>
      </c>
      <c r="N9" s="268">
        <f t="shared" si="1"/>
        <v>574189284</v>
      </c>
      <c r="O9" s="268">
        <f>+N9</f>
        <v>574189284</v>
      </c>
      <c r="P9" s="268">
        <f t="shared" si="2"/>
        <v>574189284</v>
      </c>
      <c r="Q9" s="268">
        <f t="shared" si="2"/>
        <v>574189284</v>
      </c>
      <c r="R9" s="268">
        <f t="shared" si="2"/>
        <v>574189284</v>
      </c>
      <c r="S9" s="268">
        <f t="shared" si="2"/>
        <v>574189284</v>
      </c>
      <c r="T9" s="268">
        <f t="shared" si="2"/>
        <v>574189284</v>
      </c>
      <c r="U9" s="268">
        <f t="shared" si="2"/>
        <v>574189284</v>
      </c>
      <c r="V9" s="268">
        <f t="shared" si="2"/>
        <v>574189284</v>
      </c>
      <c r="W9" s="268">
        <f t="shared" si="2"/>
        <v>574189284</v>
      </c>
      <c r="X9" s="268">
        <f t="shared" si="2"/>
        <v>574189284</v>
      </c>
      <c r="Y9" s="268">
        <f t="shared" ref="Y9" si="4">SUM(D9:X9)</f>
        <v>11208785680</v>
      </c>
    </row>
    <row r="10" spans="1:25" s="269" customFormat="1" ht="24" customHeight="1">
      <c r="A10"/>
      <c r="B10" s="266" t="s">
        <v>1296</v>
      </c>
      <c r="C10" s="267" t="s">
        <v>1665</v>
      </c>
      <c r="E10" s="253">
        <f>+H61</f>
        <v>336607992</v>
      </c>
      <c r="F10" s="268">
        <f>+E10</f>
        <v>336607992</v>
      </c>
      <c r="G10" s="268">
        <f>+F10</f>
        <v>336607992</v>
      </c>
      <c r="H10" s="268">
        <f t="shared" si="3"/>
        <v>336607992</v>
      </c>
      <c r="I10" s="268">
        <f t="shared" si="3"/>
        <v>336607992</v>
      </c>
      <c r="J10" s="268">
        <f t="shared" si="3"/>
        <v>336607992</v>
      </c>
      <c r="K10" s="268">
        <f>+J10</f>
        <v>336607992</v>
      </c>
      <c r="L10" s="268">
        <f>+K10</f>
        <v>336607992</v>
      </c>
      <c r="M10" s="268">
        <f>+L10</f>
        <v>336607992</v>
      </c>
      <c r="N10" s="268">
        <f>+M10</f>
        <v>336607992</v>
      </c>
      <c r="O10" s="268">
        <f>+N10</f>
        <v>336607992</v>
      </c>
      <c r="P10" s="268">
        <f t="shared" ref="P10:X10" si="5">+O10</f>
        <v>336607992</v>
      </c>
      <c r="Q10" s="268">
        <f t="shared" si="5"/>
        <v>336607992</v>
      </c>
      <c r="R10" s="268">
        <f t="shared" si="5"/>
        <v>336607992</v>
      </c>
      <c r="S10" s="268">
        <f t="shared" si="5"/>
        <v>336607992</v>
      </c>
      <c r="T10" s="268">
        <f t="shared" si="5"/>
        <v>336607992</v>
      </c>
      <c r="U10" s="268">
        <f t="shared" si="5"/>
        <v>336607992</v>
      </c>
      <c r="V10" s="268">
        <f t="shared" si="5"/>
        <v>336607992</v>
      </c>
      <c r="W10" s="268">
        <f t="shared" si="5"/>
        <v>336607992</v>
      </c>
      <c r="X10" s="268">
        <f t="shared" si="5"/>
        <v>336607992</v>
      </c>
      <c r="Y10" s="268">
        <f>SUM(E10:X10)</f>
        <v>6732159840</v>
      </c>
    </row>
    <row r="11" spans="1:25" s="269" customFormat="1">
      <c r="A11"/>
      <c r="B11" s="289" t="s">
        <v>46</v>
      </c>
      <c r="C11" s="290"/>
      <c r="D11" s="291">
        <f t="shared" ref="D11:Y11" si="6">SUM(D8:D10)</f>
        <v>0</v>
      </c>
      <c r="E11" s="291">
        <f>SUM(E8:E10)</f>
        <v>1589075566</v>
      </c>
      <c r="F11" s="291">
        <f t="shared" si="6"/>
        <v>1589075566</v>
      </c>
      <c r="G11" s="291">
        <f t="shared" si="6"/>
        <v>1726575566</v>
      </c>
      <c r="H11" s="291">
        <f t="shared" si="6"/>
        <v>1726575566</v>
      </c>
      <c r="I11" s="291">
        <f t="shared" si="6"/>
        <v>1726575566</v>
      </c>
      <c r="J11" s="291">
        <f t="shared" si="6"/>
        <v>2676575566</v>
      </c>
      <c r="K11" s="291">
        <f t="shared" si="6"/>
        <v>2676575566</v>
      </c>
      <c r="L11" s="291">
        <f t="shared" si="6"/>
        <v>2676575566</v>
      </c>
      <c r="M11" s="291">
        <f t="shared" si="6"/>
        <v>2676575566</v>
      </c>
      <c r="N11" s="291">
        <f t="shared" si="6"/>
        <v>2676575566</v>
      </c>
      <c r="O11" s="291">
        <f t="shared" si="6"/>
        <v>1726575566</v>
      </c>
      <c r="P11" s="291">
        <f t="shared" si="6"/>
        <v>1726575566</v>
      </c>
      <c r="Q11" s="291">
        <f t="shared" si="6"/>
        <v>1726575566</v>
      </c>
      <c r="R11" s="291">
        <f t="shared" si="6"/>
        <v>1726575566</v>
      </c>
      <c r="S11" s="291">
        <f t="shared" si="6"/>
        <v>1726575566</v>
      </c>
      <c r="T11" s="291">
        <f t="shared" si="6"/>
        <v>1726575566</v>
      </c>
      <c r="U11" s="291">
        <f t="shared" si="6"/>
        <v>1726575566</v>
      </c>
      <c r="V11" s="291">
        <f t="shared" si="6"/>
        <v>1726575566</v>
      </c>
      <c r="W11" s="291">
        <f t="shared" si="6"/>
        <v>1726575566</v>
      </c>
      <c r="X11" s="291">
        <f t="shared" si="6"/>
        <v>1726575566</v>
      </c>
      <c r="Y11" s="292">
        <f t="shared" si="6"/>
        <v>39006511320</v>
      </c>
    </row>
    <row r="12" spans="1:25" s="214" customFormat="1">
      <c r="A12" s="205"/>
      <c r="B12" s="293"/>
      <c r="C12" s="294"/>
      <c r="D12" s="295"/>
      <c r="E12" s="295"/>
      <c r="F12" s="295"/>
      <c r="G12" s="295"/>
      <c r="H12" s="295"/>
      <c r="I12" s="295"/>
      <c r="J12" s="295"/>
      <c r="K12" s="295"/>
      <c r="L12" s="295"/>
      <c r="M12" s="295"/>
      <c r="N12" s="295"/>
      <c r="O12" s="295"/>
      <c r="P12" s="295"/>
      <c r="Q12" s="295"/>
      <c r="R12" s="295"/>
      <c r="S12" s="295"/>
      <c r="T12" s="295"/>
      <c r="U12" s="295"/>
      <c r="V12" s="295"/>
      <c r="W12" s="295"/>
      <c r="X12" s="295"/>
      <c r="Y12" s="295"/>
    </row>
    <row r="14" spans="1:25">
      <c r="B14" s="692" t="str">
        <f>B8</f>
        <v>18.1. Concertación, Diseño y puesta en marcha de un modelo especifico de I+D+i para la cadena láctea.</v>
      </c>
      <c r="C14" s="630"/>
      <c r="D14" s="630"/>
      <c r="E14" s="630"/>
      <c r="F14" s="630"/>
      <c r="G14" s="630"/>
      <c r="H14" s="630"/>
      <c r="W14" s="235"/>
      <c r="X14" s="235"/>
    </row>
    <row r="15" spans="1:25">
      <c r="B15" s="630"/>
      <c r="C15" s="630"/>
      <c r="D15" s="630"/>
      <c r="E15" s="630"/>
      <c r="F15" s="630"/>
      <c r="G15" s="630"/>
      <c r="H15" s="630"/>
      <c r="W15" s="235"/>
      <c r="X15" s="235"/>
    </row>
    <row r="16" spans="1:25">
      <c r="B16" s="218" t="s">
        <v>1338</v>
      </c>
      <c r="C16" s="218" t="s">
        <v>522</v>
      </c>
      <c r="D16" s="218" t="s">
        <v>263</v>
      </c>
      <c r="E16" s="218" t="s">
        <v>262</v>
      </c>
      <c r="F16" s="219" t="s">
        <v>1339</v>
      </c>
      <c r="G16" s="218" t="s">
        <v>711</v>
      </c>
      <c r="H16" s="218" t="s">
        <v>1340</v>
      </c>
      <c r="X16" s="220"/>
    </row>
    <row r="17" spans="2:24">
      <c r="B17" s="221" t="s">
        <v>1359</v>
      </c>
      <c r="C17" s="221">
        <v>10</v>
      </c>
      <c r="D17" s="221" t="s">
        <v>1342</v>
      </c>
      <c r="E17" s="222">
        <f>+'Categorias de Costos lácteo '!C125</f>
        <v>1000000</v>
      </c>
      <c r="F17" s="224"/>
      <c r="G17" s="221"/>
      <c r="H17" s="222">
        <f t="shared" ref="H17:H21" si="7">+C17*E17</f>
        <v>10000000</v>
      </c>
      <c r="X17" s="220"/>
    </row>
    <row r="18" spans="2:24">
      <c r="B18" s="221" t="s">
        <v>1343</v>
      </c>
      <c r="C18" s="221">
        <v>10</v>
      </c>
      <c r="D18" s="221" t="s">
        <v>1342</v>
      </c>
      <c r="E18" s="222">
        <f>+'Categorias de Costos lácteo '!C133</f>
        <v>100000</v>
      </c>
      <c r="F18" s="224"/>
      <c r="G18" s="221"/>
      <c r="H18" s="222">
        <f t="shared" si="7"/>
        <v>1000000</v>
      </c>
      <c r="X18" s="220"/>
    </row>
    <row r="19" spans="2:24">
      <c r="B19" s="221" t="s">
        <v>1344</v>
      </c>
      <c r="C19" s="221">
        <v>6</v>
      </c>
      <c r="D19" s="221" t="s">
        <v>1342</v>
      </c>
      <c r="E19" s="222">
        <f>+'Categorias de Costos lácteo '!C123</f>
        <v>5000000</v>
      </c>
      <c r="F19" s="224"/>
      <c r="G19" s="221"/>
      <c r="H19" s="222">
        <f t="shared" si="7"/>
        <v>30000000</v>
      </c>
      <c r="X19" s="220"/>
    </row>
    <row r="20" spans="2:24">
      <c r="B20" s="221" t="s">
        <v>1345</v>
      </c>
      <c r="C20" s="221">
        <v>30</v>
      </c>
      <c r="D20" s="221" t="s">
        <v>1342</v>
      </c>
      <c r="E20" s="222">
        <f>+'Categorias de Costos lácteo '!C124</f>
        <v>5700000</v>
      </c>
      <c r="F20" s="222"/>
      <c r="G20" s="221"/>
      <c r="H20" s="222">
        <f t="shared" si="7"/>
        <v>171000000</v>
      </c>
      <c r="X20" s="220"/>
    </row>
    <row r="21" spans="2:24">
      <c r="B21" s="221" t="s">
        <v>1346</v>
      </c>
      <c r="C21" s="221">
        <v>30</v>
      </c>
      <c r="D21" s="221" t="s">
        <v>1342</v>
      </c>
      <c r="E21" s="222">
        <f>+'Categorias de Costos lácteo '!C134</f>
        <v>570000</v>
      </c>
      <c r="F21" s="222"/>
      <c r="G21" s="221"/>
      <c r="H21" s="222">
        <f t="shared" si="7"/>
        <v>17100000</v>
      </c>
      <c r="X21" s="220"/>
    </row>
    <row r="22" spans="2:24">
      <c r="B22" s="165" t="s">
        <v>1354</v>
      </c>
      <c r="C22" s="232">
        <v>5</v>
      </c>
      <c r="D22" s="232" t="s">
        <v>1669</v>
      </c>
      <c r="E22" s="233">
        <f>+'Categorias de Costos lácteo '!G45+'Categorias de Costos lácteo '!C82</f>
        <v>2925882</v>
      </c>
      <c r="F22" s="248"/>
      <c r="G22" s="232"/>
      <c r="H22" s="233">
        <f>C22*E22</f>
        <v>14629410</v>
      </c>
      <c r="X22" s="220"/>
    </row>
    <row r="23" spans="2:24">
      <c r="B23" s="165" t="s">
        <v>1670</v>
      </c>
      <c r="C23" s="232">
        <v>100</v>
      </c>
      <c r="D23" s="232" t="s">
        <v>1342</v>
      </c>
      <c r="E23" s="233">
        <f>+'Categorias de Costos lácteo '!D280</f>
        <v>150000</v>
      </c>
      <c r="F23" s="248"/>
      <c r="G23" s="232"/>
      <c r="H23" s="233">
        <f>C23*E23</f>
        <v>15000000</v>
      </c>
      <c r="X23" s="220"/>
    </row>
    <row r="24" spans="2:24">
      <c r="B24" s="221" t="s">
        <v>1671</v>
      </c>
      <c r="C24" s="221">
        <f>20*10</f>
        <v>200</v>
      </c>
      <c r="D24" s="221" t="s">
        <v>1672</v>
      </c>
      <c r="E24" s="222">
        <f>+'Categorias de Costos lácteo '!D276</f>
        <v>1500000</v>
      </c>
      <c r="F24" s="237">
        <v>0.3</v>
      </c>
      <c r="G24" s="221"/>
      <c r="H24" s="222">
        <f t="shared" ref="H24:H27" si="8">C24*E24*F24</f>
        <v>90000000</v>
      </c>
    </row>
    <row r="25" spans="2:24">
      <c r="B25" s="165" t="s">
        <v>1673</v>
      </c>
      <c r="C25" s="221">
        <f>10*10</f>
        <v>100</v>
      </c>
      <c r="D25" s="221" t="s">
        <v>1672</v>
      </c>
      <c r="E25" s="222">
        <f>+'Categorias de Costos lácteo '!D277</f>
        <v>3000000</v>
      </c>
      <c r="F25" s="237">
        <v>0.3</v>
      </c>
      <c r="G25" s="221"/>
      <c r="H25" s="222">
        <f t="shared" si="8"/>
        <v>90000000</v>
      </c>
    </row>
    <row r="26" spans="2:24">
      <c r="B26" s="221" t="s">
        <v>1674</v>
      </c>
      <c r="C26" s="221">
        <v>20</v>
      </c>
      <c r="D26" s="221" t="s">
        <v>1672</v>
      </c>
      <c r="E26" s="222">
        <f>+'Categorias de Costos lácteo '!D278</f>
        <v>45000000</v>
      </c>
      <c r="F26" s="237">
        <v>0.5</v>
      </c>
      <c r="G26" s="221"/>
      <c r="H26" s="222">
        <f t="shared" si="8"/>
        <v>450000000</v>
      </c>
    </row>
    <row r="27" spans="2:24">
      <c r="B27" s="221" t="s">
        <v>1675</v>
      </c>
      <c r="C27" s="221">
        <v>10</v>
      </c>
      <c r="D27" s="221" t="s">
        <v>1672</v>
      </c>
      <c r="E27" s="222">
        <f>+'Categorias de Costos lácteo '!D279</f>
        <v>100000000</v>
      </c>
      <c r="F27" s="237">
        <v>0.5</v>
      </c>
      <c r="G27" s="221"/>
      <c r="H27" s="222">
        <f t="shared" si="8"/>
        <v>500000000</v>
      </c>
    </row>
    <row r="28" spans="2:24">
      <c r="B28" s="165" t="s">
        <v>1353</v>
      </c>
      <c r="C28" s="232">
        <v>3</v>
      </c>
      <c r="D28" s="232" t="s">
        <v>1342</v>
      </c>
      <c r="E28" s="233">
        <f>+'Categorias de Costos lácteo '!D45</f>
        <v>10473580</v>
      </c>
      <c r="F28" s="248">
        <v>1</v>
      </c>
      <c r="G28" s="232">
        <v>12</v>
      </c>
      <c r="H28" s="233">
        <f>+C28*E28*G28</f>
        <v>377048880</v>
      </c>
    </row>
    <row r="29" spans="2:24">
      <c r="B29" s="221" t="s">
        <v>1676</v>
      </c>
      <c r="C29" s="221"/>
      <c r="D29" s="221"/>
      <c r="E29" s="222"/>
      <c r="F29" s="221"/>
      <c r="G29" s="221"/>
      <c r="H29" s="222" t="s">
        <v>1663</v>
      </c>
    </row>
    <row r="30" spans="2:24">
      <c r="B30" s="225" t="s">
        <v>1677</v>
      </c>
      <c r="C30" s="226"/>
      <c r="D30" s="226"/>
      <c r="E30" s="227"/>
      <c r="F30" s="227"/>
      <c r="G30" s="226"/>
      <c r="H30" s="228">
        <f>+H17+H18+H19+H20+H21+H22+H23+H24+H25+H28</f>
        <v>815778290</v>
      </c>
    </row>
    <row r="31" spans="2:24">
      <c r="B31" s="242" t="s">
        <v>1678</v>
      </c>
      <c r="C31" s="243"/>
      <c r="D31" s="243"/>
      <c r="E31" s="244"/>
      <c r="F31" s="244"/>
      <c r="G31" s="243"/>
      <c r="H31" s="245">
        <f>SUM(H17:H29)</f>
        <v>1765778290</v>
      </c>
    </row>
    <row r="32" spans="2:24" ht="195">
      <c r="B32" s="296" t="s">
        <v>1679</v>
      </c>
    </row>
    <row r="33" spans="2:8" s="205" customFormat="1">
      <c r="B33"/>
      <c r="C33"/>
      <c r="D33"/>
      <c r="E33"/>
      <c r="F33"/>
      <c r="G33"/>
      <c r="H33"/>
    </row>
    <row r="34" spans="2:8">
      <c r="B34" s="692" t="str">
        <f>+B9</f>
        <v>18.2. Fortalecimiento de la organización de cadena del sector lácteo colombiano</v>
      </c>
      <c r="C34" s="630"/>
      <c r="D34" s="630"/>
      <c r="E34" s="630"/>
      <c r="F34" s="630"/>
      <c r="G34" s="630"/>
      <c r="H34" s="630"/>
    </row>
    <row r="35" spans="2:8">
      <c r="B35" s="630"/>
      <c r="C35" s="630"/>
      <c r="D35" s="630"/>
      <c r="E35" s="630"/>
      <c r="F35" s="630"/>
      <c r="G35" s="630"/>
      <c r="H35" s="630"/>
    </row>
    <row r="36" spans="2:8">
      <c r="B36" s="218" t="s">
        <v>1338</v>
      </c>
      <c r="C36" s="218" t="s">
        <v>522</v>
      </c>
      <c r="D36" s="218" t="s">
        <v>263</v>
      </c>
      <c r="E36" s="218" t="s">
        <v>262</v>
      </c>
      <c r="F36" s="219" t="s">
        <v>1339</v>
      </c>
      <c r="G36" s="218" t="s">
        <v>711</v>
      </c>
      <c r="H36" s="218" t="s">
        <v>1340</v>
      </c>
    </row>
    <row r="37" spans="2:8">
      <c r="B37" s="221" t="s">
        <v>1341</v>
      </c>
      <c r="C37" s="221">
        <v>30</v>
      </c>
      <c r="D37" s="221" t="s">
        <v>1342</v>
      </c>
      <c r="E37" s="222">
        <f>+'Categorias de Costos lácteo '!C125</f>
        <v>1000000</v>
      </c>
      <c r="F37" s="224"/>
      <c r="G37" s="221"/>
      <c r="H37" s="222">
        <f>+C37*E37</f>
        <v>30000000</v>
      </c>
    </row>
    <row r="38" spans="2:8">
      <c r="B38" s="221" t="s">
        <v>1343</v>
      </c>
      <c r="C38" s="221">
        <v>30</v>
      </c>
      <c r="D38" s="221" t="s">
        <v>1342</v>
      </c>
      <c r="E38" s="222">
        <f>+'Categorias de Costos lácteo '!C133</f>
        <v>100000</v>
      </c>
      <c r="F38" s="224"/>
      <c r="G38" s="221"/>
      <c r="H38" s="222">
        <f t="shared" ref="H38:H43" si="9">+C38*E38</f>
        <v>3000000</v>
      </c>
    </row>
    <row r="39" spans="2:8">
      <c r="B39" s="221" t="s">
        <v>1344</v>
      </c>
      <c r="C39" s="221">
        <v>8</v>
      </c>
      <c r="D39" s="221" t="s">
        <v>1342</v>
      </c>
      <c r="E39" s="222">
        <f>+'Categorias de Costos lácteo '!C123</f>
        <v>5000000</v>
      </c>
      <c r="F39" s="224"/>
      <c r="G39" s="221"/>
      <c r="H39" s="222">
        <f t="shared" si="9"/>
        <v>40000000</v>
      </c>
    </row>
    <row r="40" spans="2:8">
      <c r="B40" s="221" t="s">
        <v>1345</v>
      </c>
      <c r="C40" s="221">
        <v>30</v>
      </c>
      <c r="D40" s="221" t="s">
        <v>1342</v>
      </c>
      <c r="E40" s="222">
        <f>+'Categorias de Costos lácteo '!C124</f>
        <v>5700000</v>
      </c>
      <c r="F40" s="222"/>
      <c r="G40" s="221"/>
      <c r="H40" s="222">
        <f>+C40*E40</f>
        <v>171000000</v>
      </c>
    </row>
    <row r="41" spans="2:8">
      <c r="B41" s="221" t="s">
        <v>1346</v>
      </c>
      <c r="C41" s="221">
        <v>30</v>
      </c>
      <c r="D41" s="221" t="s">
        <v>1342</v>
      </c>
      <c r="E41" s="222">
        <f>+'Categorias de Costos lácteo '!C134</f>
        <v>570000</v>
      </c>
      <c r="F41" s="222"/>
      <c r="G41" s="221"/>
      <c r="H41" s="222">
        <f t="shared" si="9"/>
        <v>17100000</v>
      </c>
    </row>
    <row r="42" spans="2:8">
      <c r="B42" s="165" t="s">
        <v>1588</v>
      </c>
      <c r="C42" s="221">
        <v>1</v>
      </c>
      <c r="D42" s="221" t="s">
        <v>1342</v>
      </c>
      <c r="E42" s="222">
        <f>+'Categorias de Costos lácteo '!C216</f>
        <v>87500000</v>
      </c>
      <c r="F42" s="237"/>
      <c r="G42" s="221"/>
      <c r="H42" s="222">
        <f t="shared" si="9"/>
        <v>87500000</v>
      </c>
    </row>
    <row r="43" spans="2:8">
      <c r="B43" s="165" t="s">
        <v>1348</v>
      </c>
      <c r="C43" s="221">
        <v>1</v>
      </c>
      <c r="D43" s="221" t="s">
        <v>1342</v>
      </c>
      <c r="E43" s="222">
        <v>50000000</v>
      </c>
      <c r="F43" s="237"/>
      <c r="G43" s="221"/>
      <c r="H43" s="222">
        <f t="shared" si="9"/>
        <v>50000000</v>
      </c>
    </row>
    <row r="44" spans="2:8">
      <c r="B44" s="165" t="s">
        <v>1353</v>
      </c>
      <c r="C44" s="221">
        <v>3</v>
      </c>
      <c r="D44" s="221" t="s">
        <v>1342</v>
      </c>
      <c r="E44" s="222">
        <f>+'Categorias de Costos lácteo '!D48</f>
        <v>8652088</v>
      </c>
      <c r="F44" s="237">
        <v>1</v>
      </c>
      <c r="G44" s="221">
        <v>6</v>
      </c>
      <c r="H44" s="222">
        <f>+C44*E44*G44</f>
        <v>155737584</v>
      </c>
    </row>
    <row r="45" spans="2:8">
      <c r="B45" s="165" t="s">
        <v>1354</v>
      </c>
      <c r="C45" s="221">
        <v>8</v>
      </c>
      <c r="D45" s="221" t="s">
        <v>1342</v>
      </c>
      <c r="E45" s="222">
        <f>+'Categorias de Costos lácteo '!G48+'Categorias de Costos lácteo '!C82</f>
        <v>2481462.5</v>
      </c>
      <c r="F45" s="237"/>
      <c r="G45" s="221"/>
      <c r="H45" s="222">
        <f>+C45*E45</f>
        <v>19851700</v>
      </c>
    </row>
    <row r="46" spans="2:8">
      <c r="B46" s="221" t="s">
        <v>1680</v>
      </c>
      <c r="C46" s="221"/>
      <c r="D46" s="221"/>
      <c r="E46" s="222"/>
      <c r="F46" s="221"/>
      <c r="G46" s="221"/>
      <c r="H46" s="297" t="s">
        <v>1331</v>
      </c>
    </row>
    <row r="47" spans="2:8">
      <c r="B47" s="225" t="s">
        <v>1681</v>
      </c>
      <c r="C47" s="226"/>
      <c r="D47" s="226"/>
      <c r="E47" s="227"/>
      <c r="F47" s="227"/>
      <c r="G47" s="226"/>
      <c r="H47" s="228">
        <f>+H37+H38+H39+H40+H41+H44+H45</f>
        <v>436689284</v>
      </c>
    </row>
    <row r="48" spans="2:8">
      <c r="B48" s="242" t="s">
        <v>1649</v>
      </c>
      <c r="C48" s="243"/>
      <c r="D48" s="243"/>
      <c r="E48" s="244"/>
      <c r="F48" s="244"/>
      <c r="G48" s="243"/>
      <c r="H48" s="245">
        <f>SUM(H37:H46)</f>
        <v>574189284</v>
      </c>
    </row>
    <row r="49" spans="2:12" ht="150">
      <c r="B49" s="296" t="s">
        <v>1682</v>
      </c>
    </row>
    <row r="51" spans="2:12">
      <c r="B51" s="692" t="str">
        <f>+B10</f>
        <v>18.3. Fortalecimiento de la política pública para la cadena láctea</v>
      </c>
      <c r="C51" s="630"/>
      <c r="D51" s="630"/>
      <c r="E51" s="630"/>
      <c r="F51" s="630"/>
      <c r="G51" s="630"/>
      <c r="H51" s="630"/>
    </row>
    <row r="52" spans="2:12">
      <c r="B52" s="630"/>
      <c r="C52" s="630"/>
      <c r="D52" s="630"/>
      <c r="E52" s="630"/>
      <c r="F52" s="630"/>
      <c r="G52" s="630"/>
      <c r="H52" s="630"/>
      <c r="I52" s="511"/>
      <c r="J52" s="511"/>
      <c r="K52" s="511"/>
      <c r="L52" s="511"/>
    </row>
    <row r="53" spans="2:12">
      <c r="B53" s="218" t="s">
        <v>1338</v>
      </c>
      <c r="C53" s="218" t="s">
        <v>522</v>
      </c>
      <c r="D53" s="218" t="s">
        <v>263</v>
      </c>
      <c r="E53" s="218" t="s">
        <v>262</v>
      </c>
      <c r="F53" s="219" t="s">
        <v>1339</v>
      </c>
      <c r="G53" s="218" t="s">
        <v>711</v>
      </c>
      <c r="H53" s="218" t="s">
        <v>1340</v>
      </c>
      <c r="I53" s="512"/>
      <c r="J53" s="513"/>
      <c r="K53" s="511"/>
      <c r="L53" s="511"/>
    </row>
    <row r="54" spans="2:12">
      <c r="B54" s="221" t="s">
        <v>1341</v>
      </c>
      <c r="C54" s="221">
        <v>10</v>
      </c>
      <c r="D54" s="221" t="s">
        <v>1342</v>
      </c>
      <c r="E54" s="222">
        <f>+'Categorias de Costos lácteo '!C125</f>
        <v>1000000</v>
      </c>
      <c r="F54" s="224"/>
      <c r="G54" s="221"/>
      <c r="H54" s="222">
        <f>+C54*E54</f>
        <v>10000000</v>
      </c>
      <c r="I54" s="511"/>
      <c r="J54" s="511"/>
      <c r="K54" s="511"/>
      <c r="L54" s="511"/>
    </row>
    <row r="55" spans="2:12">
      <c r="B55" s="221" t="s">
        <v>1343</v>
      </c>
      <c r="C55" s="221">
        <v>30</v>
      </c>
      <c r="D55" s="221" t="s">
        <v>1342</v>
      </c>
      <c r="E55" s="222">
        <f>+'Categorias de Costos lácteo '!C133</f>
        <v>100000</v>
      </c>
      <c r="F55" s="224"/>
      <c r="G55" s="221"/>
      <c r="H55" s="222">
        <f t="shared" ref="H55:H56" si="10">+C55*E55</f>
        <v>3000000</v>
      </c>
      <c r="I55" s="511"/>
      <c r="J55" s="511"/>
      <c r="K55" s="511"/>
      <c r="L55" s="511"/>
    </row>
    <row r="56" spans="2:12">
      <c r="B56" s="221" t="s">
        <v>1344</v>
      </c>
      <c r="C56" s="221">
        <v>4</v>
      </c>
      <c r="D56" s="221" t="s">
        <v>1342</v>
      </c>
      <c r="E56" s="222">
        <f>+'Categorias de Costos lácteo '!C123</f>
        <v>5000000</v>
      </c>
      <c r="F56" s="224"/>
      <c r="G56" s="221"/>
      <c r="H56" s="222">
        <f t="shared" si="10"/>
        <v>20000000</v>
      </c>
      <c r="I56" s="511"/>
      <c r="J56" s="511"/>
      <c r="K56" s="511"/>
      <c r="L56" s="511"/>
    </row>
    <row r="57" spans="2:12">
      <c r="B57" s="221" t="s">
        <v>1345</v>
      </c>
      <c r="C57" s="221">
        <v>10</v>
      </c>
      <c r="D57" s="221" t="s">
        <v>1342</v>
      </c>
      <c r="E57" s="222">
        <f>+'Categorias de Costos lácteo '!C124</f>
        <v>5700000</v>
      </c>
      <c r="F57" s="222"/>
      <c r="G57" s="221"/>
      <c r="H57" s="222">
        <f>+C57*E57</f>
        <v>57000000</v>
      </c>
      <c r="I57" s="511"/>
      <c r="J57" s="511"/>
      <c r="K57" s="511"/>
      <c r="L57" s="511"/>
    </row>
    <row r="58" spans="2:12">
      <c r="B58" s="221" t="s">
        <v>1346</v>
      </c>
      <c r="C58" s="221">
        <v>30</v>
      </c>
      <c r="D58" s="221" t="s">
        <v>1342</v>
      </c>
      <c r="E58" s="222">
        <f>+'Categorias de Costos lácteo '!C134</f>
        <v>570000</v>
      </c>
      <c r="F58" s="222"/>
      <c r="G58" s="221"/>
      <c r="H58" s="222">
        <f t="shared" ref="H58" si="11">+C58*E58</f>
        <v>17100000</v>
      </c>
      <c r="I58" s="511"/>
      <c r="J58" s="511"/>
      <c r="K58" s="511"/>
      <c r="L58" s="511"/>
    </row>
    <row r="59" spans="2:12">
      <c r="B59" s="502" t="s">
        <v>1353</v>
      </c>
      <c r="C59" s="499">
        <v>7</v>
      </c>
      <c r="D59" s="499" t="s">
        <v>1342</v>
      </c>
      <c r="E59" s="500">
        <f>+'Categorias de Costos lácteo '!D52</f>
        <v>5464476</v>
      </c>
      <c r="F59" s="501">
        <v>1</v>
      </c>
      <c r="G59" s="499">
        <v>6</v>
      </c>
      <c r="H59" s="500">
        <f>+C59*E59*G59</f>
        <v>229507992</v>
      </c>
      <c r="I59" s="511"/>
      <c r="J59" s="511"/>
      <c r="K59" s="511"/>
      <c r="L59" s="511"/>
    </row>
    <row r="60" spans="2:12">
      <c r="B60" s="221" t="s">
        <v>1586</v>
      </c>
      <c r="C60" s="221"/>
      <c r="D60" s="221"/>
      <c r="E60" s="222"/>
      <c r="F60" s="221"/>
      <c r="G60" s="221"/>
      <c r="H60" s="222" t="s">
        <v>1331</v>
      </c>
    </row>
    <row r="61" spans="2:12">
      <c r="B61" s="225" t="s">
        <v>46</v>
      </c>
      <c r="C61" s="226"/>
      <c r="D61" s="226"/>
      <c r="E61" s="227"/>
      <c r="F61" s="227"/>
      <c r="G61" s="226"/>
      <c r="H61" s="228">
        <f>SUM(H54:H60)</f>
        <v>336607992</v>
      </c>
    </row>
    <row r="62" spans="2:12" ht="120">
      <c r="B62" s="252" t="s">
        <v>1683</v>
      </c>
    </row>
  </sheetData>
  <mergeCells count="3">
    <mergeCell ref="B14:H15"/>
    <mergeCell ref="B34:H35"/>
    <mergeCell ref="B51:H5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Lactea</Categoría_x0020_POP1>
    <VariationsItemGroupID xmlns="http://schemas.microsoft.com/sharepoint/v3">8446eeaf-4d82-45c5-a61d-4ff82cb8d832</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E453B7B6-DBD3-42A8-A9B1-C3A53BE52B9A}"/>
</file>

<file path=customXml/itemProps2.xml><?xml version="1.0" encoding="utf-8"?>
<ds:datastoreItem xmlns:ds="http://schemas.openxmlformats.org/officeDocument/2006/customXml" ds:itemID="{8714B97E-19FE-4983-9964-BD82A859177F}"/>
</file>

<file path=customXml/itemProps3.xml><?xml version="1.0" encoding="utf-8"?>
<ds:datastoreItem xmlns:ds="http://schemas.openxmlformats.org/officeDocument/2006/customXml" ds:itemID="{584903D3-0E9E-4120-BF4D-8F90505AC4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Instructivo</vt:lpstr>
      <vt:lpstr>Directrices  Generales </vt:lpstr>
      <vt:lpstr>Glosario Categoría Costos</vt:lpstr>
      <vt:lpstr>Categorias de Costos lácteo </vt:lpstr>
      <vt:lpstr>Portafolio_Cadena_Láctea</vt:lpstr>
      <vt:lpstr>Estimación de Costos Anualizada</vt:lpstr>
      <vt:lpstr>Estimación a Corto, Med y Largo</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digital 2. Estimación de costos del plan de acción</dc:title>
  <dc:subject/>
  <dc:creator>Jannia Gómez</dc:creator>
  <cp:keywords/>
  <dc:description/>
  <cp:lastModifiedBy>VIRTUALINK</cp:lastModifiedBy>
  <cp:revision/>
  <dcterms:created xsi:type="dcterms:W3CDTF">2021-10-05T13:50:23Z</dcterms:created>
  <dcterms:modified xsi:type="dcterms:W3CDTF">2022-06-03T19:10:22Z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0x010100FD0A2B2CA65EC14A889817A06D71E322</vt:lpwstr>
  </property>
</Properties>
</file>