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2.xml" ContentType="application/vnd.openxmlformats-officedocument.drawing+xml"/>
  <Override PartName="/xl/drawings/drawing6.xml" ContentType="application/vnd.openxmlformats-officedocument.drawing+xml"/>
  <Override PartName="/xl/worksheets/sheet13.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14.xml" ContentType="application/vnd.openxmlformats-officedocument.spreadsheetml.worksheet+xml"/>
  <Override PartName="/xl/worksheets/sheet15.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docProps/app.xml" ContentType="application/vnd.openxmlformats-officedocument.extended-properties+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0.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X:\UPRA\Contratacion 2022\LP y PA\Cadena papa\PA\Documento PA\20220630 Subido a web\"/>
    </mc:Choice>
  </mc:AlternateContent>
  <bookViews>
    <workbookView xWindow="1200" yWindow="495" windowWidth="21945" windowHeight="14580" activeTab="1"/>
  </bookViews>
  <sheets>
    <sheet name="Instructivo" sheetId="17" r:id="rId1"/>
    <sheet name="Directrices  Generales " sheetId="18" r:id="rId2"/>
    <sheet name="Categoria Costos Papa" sheetId="23" r:id="rId3"/>
    <sheet name="Portafolio_PA_Papa" sheetId="16" r:id="rId4"/>
    <sheet name="Estimación anualizada " sheetId="19" r:id="rId5"/>
    <sheet name="Estimación por período" sheetId="21" r:id="rId6"/>
    <sheet name="Fuentes" sheetId="22" r:id="rId7"/>
    <sheet name="P1 " sheetId="14" r:id="rId8"/>
    <sheet name="P2" sheetId="15" r:id="rId9"/>
    <sheet name="P3" sheetId="11" r:id="rId10"/>
    <sheet name="P4" sheetId="12" r:id="rId11"/>
    <sheet name="P5" sheetId="10" r:id="rId12"/>
    <sheet name="P6" sheetId="7" r:id="rId13"/>
    <sheet name="P7" sheetId="3" r:id="rId14"/>
    <sheet name="P8" sheetId="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#N/A</definedName>
    <definedName name="\b">#N/A</definedName>
    <definedName name="_____hhh444" localSheetId="2">#REF!</definedName>
    <definedName name="_____hhh444" localSheetId="1">#REF!</definedName>
    <definedName name="_____hhh444" localSheetId="7">#REF!</definedName>
    <definedName name="_____hhh444" localSheetId="8">#REF!</definedName>
    <definedName name="_____hhh444" localSheetId="9">#REF!</definedName>
    <definedName name="_____hhh444" localSheetId="10">#REF!</definedName>
    <definedName name="_____hhh444" localSheetId="11">#REF!</definedName>
    <definedName name="_____hhh444" localSheetId="12">#REF!</definedName>
    <definedName name="_____hhh444" localSheetId="13">#REF!</definedName>
    <definedName name="_____hhh444" localSheetId="14">#REF!</definedName>
    <definedName name="_____hhh444" localSheetId="3">#REF!</definedName>
    <definedName name="_____hhh444">#REF!</definedName>
    <definedName name="___hhh444" localSheetId="2">#REF!</definedName>
    <definedName name="___hhh444" localSheetId="1">#REF!</definedName>
    <definedName name="___hhh444" localSheetId="7">#REF!</definedName>
    <definedName name="___hhh444" localSheetId="8">#REF!</definedName>
    <definedName name="___hhh444" localSheetId="9">#REF!</definedName>
    <definedName name="___hhh444" localSheetId="10">#REF!</definedName>
    <definedName name="___hhh444" localSheetId="11">#REF!</definedName>
    <definedName name="___hhh444" localSheetId="12">#REF!</definedName>
    <definedName name="___hhh444" localSheetId="13">#REF!</definedName>
    <definedName name="___hhh444" localSheetId="14">#REF!</definedName>
    <definedName name="___hhh444" localSheetId="3">#REF!</definedName>
    <definedName name="___hhh444">#REF!</definedName>
    <definedName name="_ftn1" localSheetId="3">Portafolio_PA_Papa!#REF!</definedName>
    <definedName name="_ftn2" localSheetId="3">Portafolio_PA_Papa!#REF!</definedName>
    <definedName name="_ftnref1" localSheetId="3">Portafolio_PA_Papa!#REF!</definedName>
    <definedName name="_hhh444" localSheetId="2">#REF!</definedName>
    <definedName name="_hhh444" localSheetId="1">#REF!</definedName>
    <definedName name="_hhh444" localSheetId="7">#REF!</definedName>
    <definedName name="_hhh444" localSheetId="8">#REF!</definedName>
    <definedName name="_hhh444" localSheetId="9">#REF!</definedName>
    <definedName name="_hhh444" localSheetId="10">#REF!</definedName>
    <definedName name="_hhh444" localSheetId="11">#REF!</definedName>
    <definedName name="_hhh444" localSheetId="12">#REF!</definedName>
    <definedName name="_hhh444" localSheetId="13">#REF!</definedName>
    <definedName name="_hhh444" localSheetId="14">#REF!</definedName>
    <definedName name="_hhh444" localSheetId="3">#REF!</definedName>
    <definedName name="_hhh444">#REF!</definedName>
    <definedName name="A_impresión_IM" localSheetId="2">#REF!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 localSheetId="11">#REF!</definedName>
    <definedName name="A_impresión_IM" localSheetId="12">#REF!</definedName>
    <definedName name="A_impresión_IM" localSheetId="13">#REF!</definedName>
    <definedName name="A_impresión_IM" localSheetId="14">#REF!</definedName>
    <definedName name="A_impresión_IM" localSheetId="3">#REF!</definedName>
    <definedName name="A_impresión_IM">#REF!</definedName>
    <definedName name="aaa" localSheetId="2">#REF!</definedName>
    <definedName name="aaa" localSheetId="7">#REF!</definedName>
    <definedName name="aaa" localSheetId="8">#REF!</definedName>
    <definedName name="aaa" localSheetId="9">#REF!</definedName>
    <definedName name="aaa" localSheetId="10">#REF!</definedName>
    <definedName name="aaa" localSheetId="11">#REF!</definedName>
    <definedName name="aaa" localSheetId="12">#REF!</definedName>
    <definedName name="aaa" localSheetId="13">#REF!</definedName>
    <definedName name="aaa" localSheetId="14">#REF!</definedName>
    <definedName name="aaa" localSheetId="3">#REF!</definedName>
    <definedName name="aaa">#REF!</definedName>
    <definedName name="abuela" localSheetId="2">#REF!</definedName>
    <definedName name="abuela" localSheetId="7">#REF!</definedName>
    <definedName name="abuela" localSheetId="8">#REF!</definedName>
    <definedName name="abuela" localSheetId="9">#REF!</definedName>
    <definedName name="abuela" localSheetId="10">#REF!</definedName>
    <definedName name="abuela" localSheetId="11">#REF!</definedName>
    <definedName name="abuela" localSheetId="12">#REF!</definedName>
    <definedName name="abuela" localSheetId="13">#REF!</definedName>
    <definedName name="abuela" localSheetId="14">#REF!</definedName>
    <definedName name="abuela" localSheetId="3">#REF!</definedName>
    <definedName name="abuela">#REF!</definedName>
    <definedName name="africa" localSheetId="2">#REF!</definedName>
    <definedName name="africa" localSheetId="7">#REF!</definedName>
    <definedName name="africa" localSheetId="8">#REF!</definedName>
    <definedName name="africa" localSheetId="9">#REF!</definedName>
    <definedName name="africa" localSheetId="10">#REF!</definedName>
    <definedName name="africa" localSheetId="11">#REF!</definedName>
    <definedName name="africa" localSheetId="12">#REF!</definedName>
    <definedName name="africa" localSheetId="13">#REF!</definedName>
    <definedName name="africa" localSheetId="14">#REF!</definedName>
    <definedName name="africa">#REF!</definedName>
    <definedName name="aleman" localSheetId="2">#REF!</definedName>
    <definedName name="aleman" localSheetId="7">#REF!</definedName>
    <definedName name="aleman" localSheetId="8">#REF!</definedName>
    <definedName name="aleman" localSheetId="9">#REF!</definedName>
    <definedName name="aleman" localSheetId="10">#REF!</definedName>
    <definedName name="aleman" localSheetId="11">#REF!</definedName>
    <definedName name="aleman" localSheetId="12">#REF!</definedName>
    <definedName name="aleman" localSheetId="13">#REF!</definedName>
    <definedName name="aleman" localSheetId="14">#REF!</definedName>
    <definedName name="aleman">#REF!</definedName>
    <definedName name="ALO" localSheetId="2">#REF!</definedName>
    <definedName name="ALO" localSheetId="7">#REF!</definedName>
    <definedName name="ALO" localSheetId="8">#REF!</definedName>
    <definedName name="ALO" localSheetId="9">#REF!</definedName>
    <definedName name="ALO" localSheetId="10">#REF!</definedName>
    <definedName name="ALO" localSheetId="11">#REF!</definedName>
    <definedName name="ALO" localSheetId="12">#REF!</definedName>
    <definedName name="ALO" localSheetId="13">#REF!</definedName>
    <definedName name="ALO" localSheetId="14">#REF!</definedName>
    <definedName name="ALO">#REF!</definedName>
    <definedName name="AREA_COSECHADA" localSheetId="2">#REF!</definedName>
    <definedName name="AREA_COSECHADA" localSheetId="7">#REF!</definedName>
    <definedName name="AREA_COSECHADA" localSheetId="8">#REF!</definedName>
    <definedName name="AREA_COSECHADA" localSheetId="9">#REF!</definedName>
    <definedName name="AREA_COSECHADA" localSheetId="10">#REF!</definedName>
    <definedName name="AREA_COSECHADA" localSheetId="11">#REF!</definedName>
    <definedName name="AREA_COSECHADA" localSheetId="12">#REF!</definedName>
    <definedName name="AREA_COSECHADA" localSheetId="13">#REF!</definedName>
    <definedName name="AREA_COSECHADA" localSheetId="14">#REF!</definedName>
    <definedName name="AREA_COSECHADA">#REF!</definedName>
    <definedName name="_xlnm.Print_Area" localSheetId="2">#REF!</definedName>
    <definedName name="_xlnm.Print_Area" localSheetId="7">#REF!</definedName>
    <definedName name="_xlnm.Print_Area" localSheetId="8">#REF!</definedName>
    <definedName name="_xlnm.Print_Area" localSheetId="9">#REF!</definedName>
    <definedName name="_xlnm.Print_Area" localSheetId="10">#REF!</definedName>
    <definedName name="_xlnm.Print_Area" localSheetId="11">#REF!</definedName>
    <definedName name="_xlnm.Print_Area" localSheetId="12">#REF!</definedName>
    <definedName name="_xlnm.Print_Area" localSheetId="13">#REF!</definedName>
    <definedName name="_xlnm.Print_Area" localSheetId="14">#REF!</definedName>
    <definedName name="_xlnm.Print_Area">#REF!</definedName>
    <definedName name="AREA_SEMBRADA" localSheetId="2">#REF!</definedName>
    <definedName name="AREA_SEMBRADA" localSheetId="7">#REF!</definedName>
    <definedName name="AREA_SEMBRADA" localSheetId="8">#REF!</definedName>
    <definedName name="AREA_SEMBRADA" localSheetId="9">#REF!</definedName>
    <definedName name="AREA_SEMBRADA" localSheetId="10">#REF!</definedName>
    <definedName name="AREA_SEMBRADA" localSheetId="11">#REF!</definedName>
    <definedName name="AREA_SEMBRADA" localSheetId="12">#REF!</definedName>
    <definedName name="AREA_SEMBRADA" localSheetId="13">#REF!</definedName>
    <definedName name="AREA_SEMBRADA" localSheetId="14">#REF!</definedName>
    <definedName name="AREA_SEMBRADA">#REF!</definedName>
    <definedName name="asia" localSheetId="2">#REF!</definedName>
    <definedName name="asia" localSheetId="7">#REF!</definedName>
    <definedName name="asia" localSheetId="8">#REF!</definedName>
    <definedName name="asia" localSheetId="9">#REF!</definedName>
    <definedName name="asia" localSheetId="10">#REF!</definedName>
    <definedName name="asia" localSheetId="11">#REF!</definedName>
    <definedName name="asia" localSheetId="12">#REF!</definedName>
    <definedName name="asia" localSheetId="13">#REF!</definedName>
    <definedName name="asia" localSheetId="14">#REF!</definedName>
    <definedName name="asia">#REF!</definedName>
    <definedName name="astringente" localSheetId="2">#REF!</definedName>
    <definedName name="astringente" localSheetId="7">#REF!</definedName>
    <definedName name="astringente" localSheetId="8">#REF!</definedName>
    <definedName name="astringente" localSheetId="9">#REF!</definedName>
    <definedName name="astringente" localSheetId="10">#REF!</definedName>
    <definedName name="astringente" localSheetId="11">#REF!</definedName>
    <definedName name="astringente" localSheetId="12">#REF!</definedName>
    <definedName name="astringente" localSheetId="13">#REF!</definedName>
    <definedName name="astringente" localSheetId="14">#REF!</definedName>
    <definedName name="astringente">#REF!</definedName>
    <definedName name="autralia" localSheetId="2">#REF!</definedName>
    <definedName name="autralia" localSheetId="7">#REF!</definedName>
    <definedName name="autralia" localSheetId="8">#REF!</definedName>
    <definedName name="autralia" localSheetId="9">#REF!</definedName>
    <definedName name="autralia" localSheetId="10">#REF!</definedName>
    <definedName name="autralia" localSheetId="11">#REF!</definedName>
    <definedName name="autralia" localSheetId="12">#REF!</definedName>
    <definedName name="autralia" localSheetId="13">#REF!</definedName>
    <definedName name="autralia" localSheetId="14">#REF!</definedName>
    <definedName name="autralia">#REF!</definedName>
    <definedName name="bobada" localSheetId="2">#REF!</definedName>
    <definedName name="bobada" localSheetId="7">#REF!</definedName>
    <definedName name="bobada" localSheetId="8">#REF!</definedName>
    <definedName name="bobada" localSheetId="9">#REF!</definedName>
    <definedName name="bobada" localSheetId="10">#REF!</definedName>
    <definedName name="bobada" localSheetId="11">#REF!</definedName>
    <definedName name="bobada" localSheetId="12">#REF!</definedName>
    <definedName name="bobada" localSheetId="13">#REF!</definedName>
    <definedName name="bobada" localSheetId="14">#REF!</definedName>
    <definedName name="bobada">#REF!</definedName>
    <definedName name="cambio" localSheetId="2">#REF!</definedName>
    <definedName name="cambio" localSheetId="7">#REF!</definedName>
    <definedName name="cambio" localSheetId="8">#REF!</definedName>
    <definedName name="cambio" localSheetId="9">#REF!</definedName>
    <definedName name="cambio" localSheetId="10">#REF!</definedName>
    <definedName name="cambio" localSheetId="11">#REF!</definedName>
    <definedName name="cambio" localSheetId="12">#REF!</definedName>
    <definedName name="cambio" localSheetId="13">#REF!</definedName>
    <definedName name="cambio" localSheetId="14">#REF!</definedName>
    <definedName name="cambio">#REF!</definedName>
    <definedName name="cccc">#N/A</definedName>
    <definedName name="centro" localSheetId="2">#REF!</definedName>
    <definedName name="centro" localSheetId="1">#REF!</definedName>
    <definedName name="centro" localSheetId="7">#REF!</definedName>
    <definedName name="centro" localSheetId="8">#REF!</definedName>
    <definedName name="centro" localSheetId="9">#REF!</definedName>
    <definedName name="centro" localSheetId="10">#REF!</definedName>
    <definedName name="centro" localSheetId="11">#REF!</definedName>
    <definedName name="centro" localSheetId="12">#REF!</definedName>
    <definedName name="centro" localSheetId="13">#REF!</definedName>
    <definedName name="centro" localSheetId="14">#REF!</definedName>
    <definedName name="centro" localSheetId="3">#REF!</definedName>
    <definedName name="centro">#REF!</definedName>
    <definedName name="contestar" localSheetId="2">#REF!</definedName>
    <definedName name="contestar" localSheetId="1">#REF!</definedName>
    <definedName name="contestar" localSheetId="7">#REF!</definedName>
    <definedName name="contestar" localSheetId="8">#REF!</definedName>
    <definedName name="contestar" localSheetId="9">#REF!</definedName>
    <definedName name="contestar" localSheetId="10">#REF!</definedName>
    <definedName name="contestar" localSheetId="11">#REF!</definedName>
    <definedName name="contestar" localSheetId="12">#REF!</definedName>
    <definedName name="contestar" localSheetId="13">#REF!</definedName>
    <definedName name="contestar" localSheetId="14">#REF!</definedName>
    <definedName name="contestar" localSheetId="3">#REF!</definedName>
    <definedName name="contestar">#REF!</definedName>
    <definedName name="cuadro2a" localSheetId="2">#REF!</definedName>
    <definedName name="cuadro2a" localSheetId="1">#REF!</definedName>
    <definedName name="cuadro2a" localSheetId="7">#REF!</definedName>
    <definedName name="cuadro2a" localSheetId="8">#REF!</definedName>
    <definedName name="cuadro2a" localSheetId="9">#REF!</definedName>
    <definedName name="cuadro2a" localSheetId="10">#REF!</definedName>
    <definedName name="cuadro2a" localSheetId="11">#REF!</definedName>
    <definedName name="cuadro2a" localSheetId="12">#REF!</definedName>
    <definedName name="cuadro2a" localSheetId="13">#REF!</definedName>
    <definedName name="cuadro2a" localSheetId="14">#REF!</definedName>
    <definedName name="cuadro2a" localSheetId="3">#REF!</definedName>
    <definedName name="cuadro2a">#REF!</definedName>
    <definedName name="CULTIVOS">[1]Hoja1!$AK$1:$AK$99</definedName>
    <definedName name="d" localSheetId="2">#REF!</definedName>
    <definedName name="d" localSheetId="7">#REF!</definedName>
    <definedName name="d" localSheetId="8">#REF!</definedName>
    <definedName name="d" localSheetId="9">#REF!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3">#REF!</definedName>
    <definedName name="d">#REF!</definedName>
    <definedName name="desconocido" localSheetId="2">#REF!</definedName>
    <definedName name="desconocido" localSheetId="1">#REF!</definedName>
    <definedName name="desconocido" localSheetId="7">#REF!</definedName>
    <definedName name="desconocido" localSheetId="8">#REF!</definedName>
    <definedName name="desconocido" localSheetId="9">#REF!</definedName>
    <definedName name="desconocido" localSheetId="10">#REF!</definedName>
    <definedName name="desconocido" localSheetId="11">#REF!</definedName>
    <definedName name="desconocido" localSheetId="12">#REF!</definedName>
    <definedName name="desconocido" localSheetId="13">#REF!</definedName>
    <definedName name="desconocido" localSheetId="14">#REF!</definedName>
    <definedName name="desconocido" localSheetId="3">#REF!</definedName>
    <definedName name="desconocido">#REF!</definedName>
    <definedName name="Desespero" localSheetId="2">#REF!</definedName>
    <definedName name="Desespero" localSheetId="1">#REF!</definedName>
    <definedName name="Desespero" localSheetId="7">#REF!</definedName>
    <definedName name="Desespero" localSheetId="8">#REF!</definedName>
    <definedName name="Desespero" localSheetId="9">#REF!</definedName>
    <definedName name="Desespero" localSheetId="10">#REF!</definedName>
    <definedName name="Desespero" localSheetId="11">#REF!</definedName>
    <definedName name="Desespero" localSheetId="12">#REF!</definedName>
    <definedName name="Desespero" localSheetId="13">#REF!</definedName>
    <definedName name="Desespero" localSheetId="14">#REF!</definedName>
    <definedName name="Desespero" localSheetId="3">#REF!</definedName>
    <definedName name="Desespero">#REF!</definedName>
    <definedName name="DME_Dirty" hidden="1">"False"</definedName>
    <definedName name="DME_LocalFile" hidden="1">"True"</definedName>
    <definedName name="Extraordinario" localSheetId="2">#REF!</definedName>
    <definedName name="Extraordinario" localSheetId="1">#REF!</definedName>
    <definedName name="Extraordinario" localSheetId="7">#REF!</definedName>
    <definedName name="Extraordinario" localSheetId="8">#REF!</definedName>
    <definedName name="Extraordinario" localSheetId="9">#REF!</definedName>
    <definedName name="Extraordinario" localSheetId="10">#REF!</definedName>
    <definedName name="Extraordinario" localSheetId="11">#REF!</definedName>
    <definedName name="Extraordinario" localSheetId="12">#REF!</definedName>
    <definedName name="Extraordinario" localSheetId="13">#REF!</definedName>
    <definedName name="Extraordinario" localSheetId="14">#REF!</definedName>
    <definedName name="Extraordinario" localSheetId="3">#REF!</definedName>
    <definedName name="Extraordinario">#REF!</definedName>
    <definedName name="FECHA" localSheetId="2">#REF!</definedName>
    <definedName name="FECHA" localSheetId="1">#REF!</definedName>
    <definedName name="FECHA" localSheetId="7">#REF!</definedName>
    <definedName name="FECHA" localSheetId="8">#REF!</definedName>
    <definedName name="FECHA" localSheetId="9">#REF!</definedName>
    <definedName name="FECHA" localSheetId="10">#REF!</definedName>
    <definedName name="FECHA" localSheetId="11">#REF!</definedName>
    <definedName name="FECHA" localSheetId="12">#REF!</definedName>
    <definedName name="FECHA" localSheetId="13">#REF!</definedName>
    <definedName name="FECHA" localSheetId="14">#REF!</definedName>
    <definedName name="FECHA" localSheetId="3">#REF!</definedName>
    <definedName name="FECHA">#REF!</definedName>
    <definedName name="ffffddddd" localSheetId="2">#REF!</definedName>
    <definedName name="ffffddddd" localSheetId="1">#REF!</definedName>
    <definedName name="ffffddddd" localSheetId="7">#REF!</definedName>
    <definedName name="ffffddddd" localSheetId="8">#REF!</definedName>
    <definedName name="ffffddddd" localSheetId="9">#REF!</definedName>
    <definedName name="ffffddddd" localSheetId="10">#REF!</definedName>
    <definedName name="ffffddddd" localSheetId="11">#REF!</definedName>
    <definedName name="ffffddddd" localSheetId="12">#REF!</definedName>
    <definedName name="ffffddddd" localSheetId="13">#REF!</definedName>
    <definedName name="ffffddddd" localSheetId="14">#REF!</definedName>
    <definedName name="ffffddddd" localSheetId="3">#REF!</definedName>
    <definedName name="ffffddddd">#REF!</definedName>
    <definedName name="fffsd" localSheetId="2">#REF!</definedName>
    <definedName name="fffsd" localSheetId="7">#REF!</definedName>
    <definedName name="fffsd" localSheetId="8">#REF!</definedName>
    <definedName name="fffsd" localSheetId="9">#REF!</definedName>
    <definedName name="fffsd" localSheetId="10">#REF!</definedName>
    <definedName name="fffsd" localSheetId="11">#REF!</definedName>
    <definedName name="fffsd" localSheetId="12">#REF!</definedName>
    <definedName name="fffsd" localSheetId="13">#REF!</definedName>
    <definedName name="fffsd" localSheetId="14">#REF!</definedName>
    <definedName name="fffsd">#REF!</definedName>
    <definedName name="fgfgfg" localSheetId="2">#REF!</definedName>
    <definedName name="fgfgfg" localSheetId="7">#REF!</definedName>
    <definedName name="fgfgfg" localSheetId="8">#REF!</definedName>
    <definedName name="fgfgfg" localSheetId="9">#REF!</definedName>
    <definedName name="fgfgfg" localSheetId="10">#REF!</definedName>
    <definedName name="fgfgfg" localSheetId="11">#REF!</definedName>
    <definedName name="fgfgfg" localSheetId="12">#REF!</definedName>
    <definedName name="fgfgfg" localSheetId="13">#REF!</definedName>
    <definedName name="fgfgfg" localSheetId="14">#REF!</definedName>
    <definedName name="fgfgfg">#REF!</definedName>
    <definedName name="fhfhfhfjjj" localSheetId="2">#REF!</definedName>
    <definedName name="fhfhfhfjjj" localSheetId="7">#REF!</definedName>
    <definedName name="fhfhfhfjjj" localSheetId="8">#REF!</definedName>
    <definedName name="fhfhfhfjjj" localSheetId="9">#REF!</definedName>
    <definedName name="fhfhfhfjjj" localSheetId="10">#REF!</definedName>
    <definedName name="fhfhfhfjjj" localSheetId="11">#REF!</definedName>
    <definedName name="fhfhfhfjjj" localSheetId="12">#REF!</definedName>
    <definedName name="fhfhfhfjjj" localSheetId="13">#REF!</definedName>
    <definedName name="fhfhfhfjjj" localSheetId="14">#REF!</definedName>
    <definedName name="fhfhfhfjjj">#REF!</definedName>
    <definedName name="ggg" localSheetId="2">#REF!</definedName>
    <definedName name="ggg" localSheetId="7">#REF!</definedName>
    <definedName name="ggg" localSheetId="8">#REF!</definedName>
    <definedName name="ggg" localSheetId="9">#REF!</definedName>
    <definedName name="ggg" localSheetId="10">#REF!</definedName>
    <definedName name="ggg" localSheetId="11">#REF!</definedName>
    <definedName name="ggg" localSheetId="12">#REF!</definedName>
    <definedName name="ggg" localSheetId="13">#REF!</definedName>
    <definedName name="ggg" localSheetId="14">#REF!</definedName>
    <definedName name="ggg">#REF!</definedName>
    <definedName name="ggggg" localSheetId="2">#REF!</definedName>
    <definedName name="ggggg" localSheetId="7">#REF!</definedName>
    <definedName name="ggggg" localSheetId="8">#REF!</definedName>
    <definedName name="ggggg" localSheetId="9">#REF!</definedName>
    <definedName name="ggggg" localSheetId="10">#REF!</definedName>
    <definedName name="ggggg" localSheetId="11">#REF!</definedName>
    <definedName name="ggggg" localSheetId="12">#REF!</definedName>
    <definedName name="ggggg" localSheetId="13">#REF!</definedName>
    <definedName name="ggggg" localSheetId="14">#REF!</definedName>
    <definedName name="ggggg">#REF!</definedName>
    <definedName name="gggggg" localSheetId="2">#REF!</definedName>
    <definedName name="gggggg" localSheetId="7">#REF!</definedName>
    <definedName name="gggggg" localSheetId="8">#REF!</definedName>
    <definedName name="gggggg" localSheetId="9">#REF!</definedName>
    <definedName name="gggggg" localSheetId="10">#REF!</definedName>
    <definedName name="gggggg" localSheetId="11">#REF!</definedName>
    <definedName name="gggggg" localSheetId="12">#REF!</definedName>
    <definedName name="gggggg" localSheetId="13">#REF!</definedName>
    <definedName name="gggggg" localSheetId="14">#REF!</definedName>
    <definedName name="gggggg">#REF!</definedName>
    <definedName name="gggggg5" localSheetId="2">#REF!</definedName>
    <definedName name="gggggg5" localSheetId="7">#REF!</definedName>
    <definedName name="gggggg5" localSheetId="8">#REF!</definedName>
    <definedName name="gggggg5" localSheetId="9">#REF!</definedName>
    <definedName name="gggggg5" localSheetId="10">#REF!</definedName>
    <definedName name="gggggg5" localSheetId="11">#REF!</definedName>
    <definedName name="gggggg5" localSheetId="12">#REF!</definedName>
    <definedName name="gggggg5" localSheetId="13">#REF!</definedName>
    <definedName name="gggggg5" localSheetId="14">#REF!</definedName>
    <definedName name="gggggg5">#REF!</definedName>
    <definedName name="global" localSheetId="2">#REF!</definedName>
    <definedName name="global" localSheetId="7">#REF!</definedName>
    <definedName name="global" localSheetId="8">#REF!</definedName>
    <definedName name="global" localSheetId="9">#REF!</definedName>
    <definedName name="global" localSheetId="10">#REF!</definedName>
    <definedName name="global" localSheetId="11">#REF!</definedName>
    <definedName name="global" localSheetId="12">#REF!</definedName>
    <definedName name="global" localSheetId="13">#REF!</definedName>
    <definedName name="global" localSheetId="14">#REF!</definedName>
    <definedName name="global">#REF!</definedName>
    <definedName name="hfhfhfhfhf" localSheetId="2">#REF!</definedName>
    <definedName name="hfhfhfhfhf" localSheetId="7">#REF!</definedName>
    <definedName name="hfhfhfhfhf" localSheetId="8">#REF!</definedName>
    <definedName name="hfhfhfhfhf" localSheetId="9">#REF!</definedName>
    <definedName name="hfhfhfhfhf" localSheetId="10">#REF!</definedName>
    <definedName name="hfhfhfhfhf" localSheetId="11">#REF!</definedName>
    <definedName name="hfhfhfhfhf" localSheetId="12">#REF!</definedName>
    <definedName name="hfhfhfhfhf" localSheetId="13">#REF!</definedName>
    <definedName name="hfhfhfhfhf" localSheetId="14">#REF!</definedName>
    <definedName name="hfhfhfhfhf">#REF!</definedName>
    <definedName name="hhh" localSheetId="2">#REF!</definedName>
    <definedName name="hhh" localSheetId="7">#REF!</definedName>
    <definedName name="hhh" localSheetId="8">#REF!</definedName>
    <definedName name="hhh" localSheetId="9">#REF!</definedName>
    <definedName name="hhh" localSheetId="10">#REF!</definedName>
    <definedName name="hhh" localSheetId="11">#REF!</definedName>
    <definedName name="hhh" localSheetId="12">#REF!</definedName>
    <definedName name="hhh" localSheetId="13">#REF!</definedName>
    <definedName name="hhh" localSheetId="14">#REF!</definedName>
    <definedName name="hhh">#REF!</definedName>
    <definedName name="hijo" localSheetId="2">#REF!</definedName>
    <definedName name="hijo" localSheetId="7">#REF!</definedName>
    <definedName name="hijo" localSheetId="8">#REF!</definedName>
    <definedName name="hijo" localSheetId="9">#REF!</definedName>
    <definedName name="hijo" localSheetId="10">#REF!</definedName>
    <definedName name="hijo" localSheetId="11">#REF!</definedName>
    <definedName name="hijo" localSheetId="12">#REF!</definedName>
    <definedName name="hijo" localSheetId="13">#REF!</definedName>
    <definedName name="hijo" localSheetId="14">#REF!</definedName>
    <definedName name="hijo">#REF!</definedName>
    <definedName name="hoas" localSheetId="2">#REF!</definedName>
    <definedName name="hoas" localSheetId="7">#REF!</definedName>
    <definedName name="hoas" localSheetId="8">#REF!</definedName>
    <definedName name="hoas" localSheetId="9">#REF!</definedName>
    <definedName name="hoas" localSheetId="10">#REF!</definedName>
    <definedName name="hoas" localSheetId="11">#REF!</definedName>
    <definedName name="hoas" localSheetId="12">#REF!</definedName>
    <definedName name="hoas" localSheetId="13">#REF!</definedName>
    <definedName name="hoas" localSheetId="14">#REF!</definedName>
    <definedName name="hoas">#REF!</definedName>
    <definedName name="hoja" localSheetId="2">#REF!</definedName>
    <definedName name="hoja" localSheetId="7">#REF!</definedName>
    <definedName name="hoja" localSheetId="8">#REF!</definedName>
    <definedName name="hoja" localSheetId="9">#REF!</definedName>
    <definedName name="hoja" localSheetId="10">#REF!</definedName>
    <definedName name="hoja" localSheetId="11">#REF!</definedName>
    <definedName name="hoja" localSheetId="12">#REF!</definedName>
    <definedName name="hoja" localSheetId="13">#REF!</definedName>
    <definedName name="hoja" localSheetId="14">#REF!</definedName>
    <definedName name="hoja">#REF!</definedName>
    <definedName name="idea" localSheetId="2">#REF!</definedName>
    <definedName name="idea" localSheetId="7">#REF!</definedName>
    <definedName name="idea" localSheetId="8">#REF!</definedName>
    <definedName name="idea" localSheetId="9">#REF!</definedName>
    <definedName name="idea" localSheetId="10">#REF!</definedName>
    <definedName name="idea" localSheetId="11">#REF!</definedName>
    <definedName name="idea" localSheetId="12">#REF!</definedName>
    <definedName name="idea" localSheetId="13">#REF!</definedName>
    <definedName name="idea" localSheetId="14">#REF!</definedName>
    <definedName name="idea">#REF!</definedName>
    <definedName name="Increible" localSheetId="2">#REF!</definedName>
    <definedName name="Increible" localSheetId="7">#REF!</definedName>
    <definedName name="Increible" localSheetId="8">#REF!</definedName>
    <definedName name="Increible" localSheetId="9">#REF!</definedName>
    <definedName name="Increible" localSheetId="10">#REF!</definedName>
    <definedName name="Increible" localSheetId="11">#REF!</definedName>
    <definedName name="Increible" localSheetId="12">#REF!</definedName>
    <definedName name="Increible" localSheetId="13">#REF!</definedName>
    <definedName name="Increible" localSheetId="14">#REF!</definedName>
    <definedName name="Increible">#REF!</definedName>
    <definedName name="jjjjjjjjkkkk" localSheetId="2">#REF!</definedName>
    <definedName name="jjjjjjjjkkkk" localSheetId="7">#REF!</definedName>
    <definedName name="jjjjjjjjkkkk" localSheetId="8">#REF!</definedName>
    <definedName name="jjjjjjjjkkkk" localSheetId="9">#REF!</definedName>
    <definedName name="jjjjjjjjkkkk" localSheetId="10">#REF!</definedName>
    <definedName name="jjjjjjjjkkkk" localSheetId="11">#REF!</definedName>
    <definedName name="jjjjjjjjkkkk" localSheetId="12">#REF!</definedName>
    <definedName name="jjjjjjjjkkkk" localSheetId="13">#REF!</definedName>
    <definedName name="jjjjjjjjkkkk" localSheetId="14">#REF!</definedName>
    <definedName name="jjjjjjjjkkkk">#REF!</definedName>
    <definedName name="jjjkkkk" localSheetId="2">#REF!</definedName>
    <definedName name="jjjkkkk" localSheetId="7">#REF!</definedName>
    <definedName name="jjjkkkk" localSheetId="8">#REF!</definedName>
    <definedName name="jjjkkkk" localSheetId="9">#REF!</definedName>
    <definedName name="jjjkkkk" localSheetId="10">#REF!</definedName>
    <definedName name="jjjkkkk" localSheetId="11">#REF!</definedName>
    <definedName name="jjjkkkk" localSheetId="12">#REF!</definedName>
    <definedName name="jjjkkkk" localSheetId="13">#REF!</definedName>
    <definedName name="jjjkkkk" localSheetId="14">#REF!</definedName>
    <definedName name="jjjkkkk">#REF!</definedName>
    <definedName name="joder" localSheetId="2">#REF!</definedName>
    <definedName name="joder" localSheetId="7">#REF!</definedName>
    <definedName name="joder" localSheetId="8">#REF!</definedName>
    <definedName name="joder" localSheetId="9">#REF!</definedName>
    <definedName name="joder" localSheetId="10">#REF!</definedName>
    <definedName name="joder" localSheetId="11">#REF!</definedName>
    <definedName name="joder" localSheetId="12">#REF!</definedName>
    <definedName name="joder" localSheetId="13">#REF!</definedName>
    <definedName name="joder" localSheetId="14">#REF!</definedName>
    <definedName name="joder">#REF!</definedName>
    <definedName name="kkkkkkk" localSheetId="2">#REF!</definedName>
    <definedName name="kkkkkkk" localSheetId="7">#REF!</definedName>
    <definedName name="kkkkkkk" localSheetId="8">#REF!</definedName>
    <definedName name="kkkkkkk" localSheetId="9">#REF!</definedName>
    <definedName name="kkkkkkk" localSheetId="10">#REF!</definedName>
    <definedName name="kkkkkkk" localSheetId="11">#REF!</definedName>
    <definedName name="kkkkkkk" localSheetId="12">#REF!</definedName>
    <definedName name="kkkkkkk" localSheetId="13">#REF!</definedName>
    <definedName name="kkkkkkk" localSheetId="14">#REF!</definedName>
    <definedName name="kkkkkkk">#REF!</definedName>
    <definedName name="Lista1" localSheetId="1">[2]Datos!$E$4:$E$6</definedName>
    <definedName name="Lista1" localSheetId="0">[3]Datos!$E$4:$E$6</definedName>
    <definedName name="Lista1">[4]Datos!$E$4:$E$6</definedName>
    <definedName name="Logico">[5]Configuracion!$A$4:$A$5</definedName>
    <definedName name="Mamada" localSheetId="2">#REF!</definedName>
    <definedName name="Mamada" localSheetId="1">#REF!</definedName>
    <definedName name="Mamada" localSheetId="7">#REF!</definedName>
    <definedName name="Mamada" localSheetId="8">#REF!</definedName>
    <definedName name="Mamada" localSheetId="9">#REF!</definedName>
    <definedName name="Mamada" localSheetId="10">#REF!</definedName>
    <definedName name="Mamada" localSheetId="11">#REF!</definedName>
    <definedName name="Mamada" localSheetId="12">#REF!</definedName>
    <definedName name="Mamada" localSheetId="13">#REF!</definedName>
    <definedName name="Mamada" localSheetId="14">#REF!</definedName>
    <definedName name="Mamada" localSheetId="3">#REF!</definedName>
    <definedName name="Mamada">#REF!</definedName>
    <definedName name="manera" localSheetId="2">#REF!</definedName>
    <definedName name="manera" localSheetId="1">#REF!</definedName>
    <definedName name="manera" localSheetId="7">#REF!</definedName>
    <definedName name="manera" localSheetId="8">#REF!</definedName>
    <definedName name="manera" localSheetId="9">#REF!</definedName>
    <definedName name="manera" localSheetId="10">#REF!</definedName>
    <definedName name="manera" localSheetId="11">#REF!</definedName>
    <definedName name="manera" localSheetId="12">#REF!</definedName>
    <definedName name="manera" localSheetId="13">#REF!</definedName>
    <definedName name="manera" localSheetId="14">#REF!</definedName>
    <definedName name="manera" localSheetId="3">#REF!</definedName>
    <definedName name="manera">#REF!</definedName>
    <definedName name="marina" localSheetId="2">#REF!</definedName>
    <definedName name="marina" localSheetId="1">#REF!</definedName>
    <definedName name="marina" localSheetId="7">#REF!</definedName>
    <definedName name="marina" localSheetId="8">#REF!</definedName>
    <definedName name="marina" localSheetId="9">#REF!</definedName>
    <definedName name="marina" localSheetId="10">#REF!</definedName>
    <definedName name="marina" localSheetId="11">#REF!</definedName>
    <definedName name="marina" localSheetId="12">#REF!</definedName>
    <definedName name="marina" localSheetId="13">#REF!</definedName>
    <definedName name="marina" localSheetId="14">#REF!</definedName>
    <definedName name="marina" localSheetId="3">#REF!</definedName>
    <definedName name="marina">#REF!</definedName>
    <definedName name="marta" localSheetId="2">#REF!</definedName>
    <definedName name="marta" localSheetId="7">#REF!</definedName>
    <definedName name="marta" localSheetId="8">#REF!</definedName>
    <definedName name="marta" localSheetId="9">#REF!</definedName>
    <definedName name="marta" localSheetId="10">#REF!</definedName>
    <definedName name="marta" localSheetId="11">#REF!</definedName>
    <definedName name="marta" localSheetId="12">#REF!</definedName>
    <definedName name="marta" localSheetId="13">#REF!</definedName>
    <definedName name="marta" localSheetId="14">#REF!</definedName>
    <definedName name="marta">#REF!</definedName>
    <definedName name="mundo" localSheetId="2">#REF!</definedName>
    <definedName name="mundo" localSheetId="7">#REF!</definedName>
    <definedName name="mundo" localSheetId="8">#REF!</definedName>
    <definedName name="mundo" localSheetId="9">#REF!</definedName>
    <definedName name="mundo" localSheetId="10">#REF!</definedName>
    <definedName name="mundo" localSheetId="11">#REF!</definedName>
    <definedName name="mundo" localSheetId="12">#REF!</definedName>
    <definedName name="mundo" localSheetId="13">#REF!</definedName>
    <definedName name="mundo" localSheetId="14">#REF!</definedName>
    <definedName name="mundo">#REF!</definedName>
    <definedName name="Nada" localSheetId="2">#REF!</definedName>
    <definedName name="Nada" localSheetId="7">#REF!</definedName>
    <definedName name="Nada" localSheetId="8">#REF!</definedName>
    <definedName name="Nada" localSheetId="9">#REF!</definedName>
    <definedName name="Nada" localSheetId="10">#REF!</definedName>
    <definedName name="Nada" localSheetId="11">#REF!</definedName>
    <definedName name="Nada" localSheetId="12">#REF!</definedName>
    <definedName name="Nada" localSheetId="13">#REF!</definedName>
    <definedName name="Nada" localSheetId="14">#REF!</definedName>
    <definedName name="Nada">#REF!</definedName>
    <definedName name="Naturaleza1" localSheetId="2">#REF!</definedName>
    <definedName name="Naturaleza1" localSheetId="7">#REF!</definedName>
    <definedName name="Naturaleza1" localSheetId="8">#REF!</definedName>
    <definedName name="Naturaleza1" localSheetId="9">#REF!</definedName>
    <definedName name="Naturaleza1" localSheetId="10">#REF!</definedName>
    <definedName name="Naturaleza1" localSheetId="11">#REF!</definedName>
    <definedName name="Naturaleza1" localSheetId="12">#REF!</definedName>
    <definedName name="Naturaleza1" localSheetId="13">#REF!</definedName>
    <definedName name="Naturaleza1" localSheetId="14">#REF!</definedName>
    <definedName name="Naturaleza1">#REF!</definedName>
    <definedName name="necesito" localSheetId="2">#REF!</definedName>
    <definedName name="necesito" localSheetId="7">#REF!</definedName>
    <definedName name="necesito" localSheetId="8">#REF!</definedName>
    <definedName name="necesito" localSheetId="9">#REF!</definedName>
    <definedName name="necesito" localSheetId="10">#REF!</definedName>
    <definedName name="necesito" localSheetId="11">#REF!</definedName>
    <definedName name="necesito" localSheetId="12">#REF!</definedName>
    <definedName name="necesito" localSheetId="13">#REF!</definedName>
    <definedName name="necesito" localSheetId="14">#REF!</definedName>
    <definedName name="necesito">#REF!</definedName>
    <definedName name="ninguna" localSheetId="2">#REF!</definedName>
    <definedName name="ninguna" localSheetId="7">#REF!</definedName>
    <definedName name="ninguna" localSheetId="8">#REF!</definedName>
    <definedName name="ninguna" localSheetId="9">#REF!</definedName>
    <definedName name="ninguna" localSheetId="10">#REF!</definedName>
    <definedName name="ninguna" localSheetId="11">#REF!</definedName>
    <definedName name="ninguna" localSheetId="12">#REF!</definedName>
    <definedName name="ninguna" localSheetId="13">#REF!</definedName>
    <definedName name="ninguna" localSheetId="14">#REF!</definedName>
    <definedName name="ninguna">#REF!</definedName>
    <definedName name="Noto" localSheetId="2">#REF!</definedName>
    <definedName name="Noto" localSheetId="7">#REF!</definedName>
    <definedName name="Noto" localSheetId="8">#REF!</definedName>
    <definedName name="Noto" localSheetId="9">#REF!</definedName>
    <definedName name="Noto" localSheetId="10">#REF!</definedName>
    <definedName name="Noto" localSheetId="11">#REF!</definedName>
    <definedName name="Noto" localSheetId="12">#REF!</definedName>
    <definedName name="Noto" localSheetId="13">#REF!</definedName>
    <definedName name="Noto" localSheetId="14">#REF!</definedName>
    <definedName name="Noto">#REF!</definedName>
    <definedName name="Notorio" localSheetId="2">#REF!</definedName>
    <definedName name="Notorio" localSheetId="7">#REF!</definedName>
    <definedName name="Notorio" localSheetId="8">#REF!</definedName>
    <definedName name="Notorio" localSheetId="9">#REF!</definedName>
    <definedName name="Notorio" localSheetId="10">#REF!</definedName>
    <definedName name="Notorio" localSheetId="11">#REF!</definedName>
    <definedName name="Notorio" localSheetId="12">#REF!</definedName>
    <definedName name="Notorio" localSheetId="13">#REF!</definedName>
    <definedName name="Notorio" localSheetId="14">#REF!</definedName>
    <definedName name="Notorio">#REF!</definedName>
    <definedName name="otro" localSheetId="2">#REF!</definedName>
    <definedName name="otro" localSheetId="7">#REF!</definedName>
    <definedName name="otro" localSheetId="8">#REF!</definedName>
    <definedName name="otro" localSheetId="9">#REF!</definedName>
    <definedName name="otro" localSheetId="10">#REF!</definedName>
    <definedName name="otro" localSheetId="11">#REF!</definedName>
    <definedName name="otro" localSheetId="12">#REF!</definedName>
    <definedName name="otro" localSheetId="13">#REF!</definedName>
    <definedName name="otro" localSheetId="14">#REF!</definedName>
    <definedName name="otro">#REF!</definedName>
    <definedName name="paises" localSheetId="2">[6]COD!$A$1:$B$275</definedName>
    <definedName name="paises">[7]COD!$A$1:$B$275</definedName>
    <definedName name="pasara" localSheetId="2">#REF!</definedName>
    <definedName name="pasara" localSheetId="1">#REF!</definedName>
    <definedName name="pasara" localSheetId="7">#REF!</definedName>
    <definedName name="pasara" localSheetId="8">#REF!</definedName>
    <definedName name="pasara" localSheetId="9">#REF!</definedName>
    <definedName name="pasara" localSheetId="10">#REF!</definedName>
    <definedName name="pasara" localSheetId="11">#REF!</definedName>
    <definedName name="pasara" localSheetId="12">#REF!</definedName>
    <definedName name="pasara" localSheetId="13">#REF!</definedName>
    <definedName name="pasara" localSheetId="14">#REF!</definedName>
    <definedName name="pasara" localSheetId="3">#REF!</definedName>
    <definedName name="pasara">#REF!</definedName>
    <definedName name="pastor" localSheetId="2">#REF!</definedName>
    <definedName name="pastor" localSheetId="1">#REF!</definedName>
    <definedName name="pastor" localSheetId="7">#REF!</definedName>
    <definedName name="pastor" localSheetId="8">#REF!</definedName>
    <definedName name="pastor" localSheetId="9">#REF!</definedName>
    <definedName name="pastor" localSheetId="10">#REF!</definedName>
    <definedName name="pastor" localSheetId="11">#REF!</definedName>
    <definedName name="pastor" localSheetId="12">#REF!</definedName>
    <definedName name="pastor" localSheetId="13">#REF!</definedName>
    <definedName name="pastor" localSheetId="14">#REF!</definedName>
    <definedName name="pastor" localSheetId="3">#REF!</definedName>
    <definedName name="pastor">#REF!</definedName>
    <definedName name="pensando" localSheetId="2">#REF!</definedName>
    <definedName name="pensando" localSheetId="1">#REF!</definedName>
    <definedName name="pensando" localSheetId="7">#REF!</definedName>
    <definedName name="pensando" localSheetId="8">#REF!</definedName>
    <definedName name="pensando" localSheetId="9">#REF!</definedName>
    <definedName name="pensando" localSheetId="10">#REF!</definedName>
    <definedName name="pensando" localSheetId="11">#REF!</definedName>
    <definedName name="pensando" localSheetId="12">#REF!</definedName>
    <definedName name="pensando" localSheetId="13">#REF!</definedName>
    <definedName name="pensando" localSheetId="14">#REF!</definedName>
    <definedName name="pensando" localSheetId="3">#REF!</definedName>
    <definedName name="pensando">#REF!</definedName>
    <definedName name="PERIODO" localSheetId="2">#REF!</definedName>
    <definedName name="PERIODO" localSheetId="7">#REF!</definedName>
    <definedName name="PERIODO" localSheetId="8">#REF!</definedName>
    <definedName name="PERIODO" localSheetId="9">#REF!</definedName>
    <definedName name="PERIODO" localSheetId="10">#REF!</definedName>
    <definedName name="PERIODO" localSheetId="11">#REF!</definedName>
    <definedName name="PERIODO" localSheetId="12">#REF!</definedName>
    <definedName name="PERIODO" localSheetId="13">#REF!</definedName>
    <definedName name="PERIODO" localSheetId="14">#REF!</definedName>
    <definedName name="PERIODO">#REF!</definedName>
    <definedName name="piso" localSheetId="2">#REF!</definedName>
    <definedName name="piso" localSheetId="7">#REF!</definedName>
    <definedName name="piso" localSheetId="8">#REF!</definedName>
    <definedName name="piso" localSheetId="9">#REF!</definedName>
    <definedName name="piso" localSheetId="10">#REF!</definedName>
    <definedName name="piso" localSheetId="11">#REF!</definedName>
    <definedName name="piso" localSheetId="12">#REF!</definedName>
    <definedName name="piso" localSheetId="13">#REF!</definedName>
    <definedName name="piso" localSheetId="14">#REF!</definedName>
    <definedName name="piso">#REF!</definedName>
    <definedName name="PRODUCCION" localSheetId="2">#REF!</definedName>
    <definedName name="PRODUCCION" localSheetId="7">#REF!</definedName>
    <definedName name="PRODUCCION" localSheetId="8">#REF!</definedName>
    <definedName name="PRODUCCION" localSheetId="9">#REF!</definedName>
    <definedName name="PRODUCCION" localSheetId="10">#REF!</definedName>
    <definedName name="PRODUCCION" localSheetId="11">#REF!</definedName>
    <definedName name="PRODUCCION" localSheetId="12">#REF!</definedName>
    <definedName name="PRODUCCION" localSheetId="13">#REF!</definedName>
    <definedName name="PRODUCCION" localSheetId="14">#REF!</definedName>
    <definedName name="PRODUCCION" localSheetId="3">#REF!</definedName>
    <definedName name="PRODUCCION">#REF!</definedName>
    <definedName name="PROGRAMAS" localSheetId="2">'[8]SECTORES,PROGRAMAS Y SUBPROGRAM'!$C$4:$D$166</definedName>
    <definedName name="PROGRAMAS" localSheetId="11">'[9]SECTORES,PROGRAMAS Y SUBPROGRAM'!$C$4:$D$171</definedName>
    <definedName name="PROGRAMAS" localSheetId="12">'[10]SECTORES,PROGRAMAS Y SUBPROGRAM'!$C$4:$D$171</definedName>
    <definedName name="PROGRAMAS" localSheetId="13">'[9]SECTORES,PROGRAMAS Y SUBPROGRAM'!$C$4:$D$171</definedName>
    <definedName name="PROGRAMAS" localSheetId="14">'[9]SECTORES,PROGRAMAS Y SUBPROGRAM'!$C$4:$D$171</definedName>
    <definedName name="PROGRAMAS">'[11]SECTORES,PROGRAMAS Y SUBPROGRAM'!$C$4:$D$171</definedName>
    <definedName name="puntilla" localSheetId="2">#REF!</definedName>
    <definedName name="puntilla" localSheetId="7">#REF!</definedName>
    <definedName name="puntilla" localSheetId="8">#REF!</definedName>
    <definedName name="puntilla" localSheetId="9">#REF!</definedName>
    <definedName name="puntilla" localSheetId="10">#REF!</definedName>
    <definedName name="puntilla" localSheetId="11">#REF!</definedName>
    <definedName name="puntilla" localSheetId="12">#REF!</definedName>
    <definedName name="puntilla" localSheetId="13">#REF!</definedName>
    <definedName name="puntilla" localSheetId="14">#REF!</definedName>
    <definedName name="puntilla" localSheetId="3">#REF!</definedName>
    <definedName name="puntilla">#REF!</definedName>
    <definedName name="quizas" localSheetId="2">#REF!</definedName>
    <definedName name="quizas" localSheetId="7">#REF!</definedName>
    <definedName name="quizas" localSheetId="8">#REF!</definedName>
    <definedName name="quizas" localSheetId="9">#REF!</definedName>
    <definedName name="quizas" localSheetId="10">#REF!</definedName>
    <definedName name="quizas" localSheetId="11">#REF!</definedName>
    <definedName name="quizas" localSheetId="12">#REF!</definedName>
    <definedName name="quizas" localSheetId="13">#REF!</definedName>
    <definedName name="quizas" localSheetId="14">#REF!</definedName>
    <definedName name="quizas" localSheetId="3">#REF!</definedName>
    <definedName name="quizas">#REF!</definedName>
    <definedName name="Rama1" localSheetId="2">#REF!</definedName>
    <definedName name="Rama1" localSheetId="7">#REF!</definedName>
    <definedName name="Rama1" localSheetId="8">#REF!</definedName>
    <definedName name="Rama1" localSheetId="9">#REF!</definedName>
    <definedName name="Rama1" localSheetId="10">#REF!</definedName>
    <definedName name="Rama1" localSheetId="11">#REF!</definedName>
    <definedName name="Rama1" localSheetId="12">#REF!</definedName>
    <definedName name="Rama1" localSheetId="13">#REF!</definedName>
    <definedName name="Rama1" localSheetId="14">#REF!</definedName>
    <definedName name="Rama1" localSheetId="3">#REF!</definedName>
    <definedName name="Rama1">#REF!</definedName>
    <definedName name="RangoCriterio2">[12]Detalle!$K:$K</definedName>
    <definedName name="RangoValor">[12]Detalle!$I:$I</definedName>
    <definedName name="RENDIMIENTO" localSheetId="2">#REF!</definedName>
    <definedName name="RENDIMIENTO" localSheetId="1">#REF!</definedName>
    <definedName name="RENDIMIENTO" localSheetId="7">#REF!</definedName>
    <definedName name="RENDIMIENTO" localSheetId="8">#REF!</definedName>
    <definedName name="RENDIMIENTO" localSheetId="9">#REF!</definedName>
    <definedName name="RENDIMIENTO" localSheetId="10">#REF!</definedName>
    <definedName name="RENDIMIENTO" localSheetId="11">#REF!</definedName>
    <definedName name="RENDIMIENTO" localSheetId="12">#REF!</definedName>
    <definedName name="RENDIMIENTO" localSheetId="13">#REF!</definedName>
    <definedName name="RENDIMIENTO" localSheetId="14">#REF!</definedName>
    <definedName name="RENDIMIENTO" localSheetId="3">#REF!</definedName>
    <definedName name="RENDIMIENTO">#REF!</definedName>
    <definedName name="Ruta_Critica_1" localSheetId="2">#REF!</definedName>
    <definedName name="Ruta_Critica_1" localSheetId="7">#REF!</definedName>
    <definedName name="Ruta_Critica_1" localSheetId="8">#REF!</definedName>
    <definedName name="Ruta_Critica_1" localSheetId="9">#REF!</definedName>
    <definedName name="Ruta_Critica_1" localSheetId="10">#REF!</definedName>
    <definedName name="Ruta_Critica_1" localSheetId="11">#REF!</definedName>
    <definedName name="Ruta_Critica_1" localSheetId="12">#REF!</definedName>
    <definedName name="Ruta_Critica_1" localSheetId="13">#REF!</definedName>
    <definedName name="Ruta_Critica_1" localSheetId="14">#REF!</definedName>
    <definedName name="Ruta_Critica_1" localSheetId="3">#REF!</definedName>
    <definedName name="Ruta_Critica_1">#REF!</definedName>
    <definedName name="santa" localSheetId="2">#REF!</definedName>
    <definedName name="santa" localSheetId="1">#REF!</definedName>
    <definedName name="santa" localSheetId="7">#REF!</definedName>
    <definedName name="santa" localSheetId="8">#REF!</definedName>
    <definedName name="santa" localSheetId="9">#REF!</definedName>
    <definedName name="santa" localSheetId="10">#REF!</definedName>
    <definedName name="santa" localSheetId="11">#REF!</definedName>
    <definedName name="santa" localSheetId="12">#REF!</definedName>
    <definedName name="santa" localSheetId="13">#REF!</definedName>
    <definedName name="santa" localSheetId="14">#REF!</definedName>
    <definedName name="santa" localSheetId="3">#REF!</definedName>
    <definedName name="santa">#REF!</definedName>
    <definedName name="secores">'[13]Sectores y Programas'!$H$5:$I$34</definedName>
    <definedName name="Sector1">[14]Cuentas_Corrientes!$A$133:$I$133</definedName>
    <definedName name="Sector3" localSheetId="2">#REF!</definedName>
    <definedName name="Sector3" localSheetId="1">#REF!</definedName>
    <definedName name="Sector3" localSheetId="7">#REF!</definedName>
    <definedName name="Sector3" localSheetId="8">#REF!</definedName>
    <definedName name="Sector3" localSheetId="9">#REF!</definedName>
    <definedName name="Sector3" localSheetId="10">#REF!</definedName>
    <definedName name="Sector3" localSheetId="11">#REF!</definedName>
    <definedName name="Sector3" localSheetId="12">#REF!</definedName>
    <definedName name="Sector3" localSheetId="13">#REF!</definedName>
    <definedName name="Sector3" localSheetId="14">#REF!</definedName>
    <definedName name="Sector3" localSheetId="3">#REF!</definedName>
    <definedName name="Sector3">#REF!</definedName>
    <definedName name="Sector4" localSheetId="2">#REF!</definedName>
    <definedName name="Sector4" localSheetId="1">#REF!</definedName>
    <definedName name="Sector4" localSheetId="7">#REF!</definedName>
    <definedName name="Sector4" localSheetId="8">#REF!</definedName>
    <definedName name="Sector4" localSheetId="9">#REF!</definedName>
    <definedName name="Sector4" localSheetId="10">#REF!</definedName>
    <definedName name="Sector4" localSheetId="11">#REF!</definedName>
    <definedName name="Sector4" localSheetId="12">#REF!</definedName>
    <definedName name="Sector4" localSheetId="13">#REF!</definedName>
    <definedName name="Sector4" localSheetId="14">#REF!</definedName>
    <definedName name="Sector4" localSheetId="3">#REF!</definedName>
    <definedName name="Sector4">#REF!</definedName>
    <definedName name="SECTORES">[11]!SECTOR[[#All],[Codigo ]:[Nombre ]]</definedName>
    <definedName name="septico" localSheetId="2">#REF!</definedName>
    <definedName name="septico" localSheetId="1">#REF!</definedName>
    <definedName name="septico" localSheetId="7">#REF!</definedName>
    <definedName name="septico" localSheetId="8">#REF!</definedName>
    <definedName name="septico" localSheetId="9">#REF!</definedName>
    <definedName name="septico" localSheetId="10">#REF!</definedName>
    <definedName name="septico" localSheetId="11">#REF!</definedName>
    <definedName name="septico" localSheetId="12">#REF!</definedName>
    <definedName name="septico" localSheetId="13">#REF!</definedName>
    <definedName name="septico" localSheetId="14">#REF!</definedName>
    <definedName name="septico" localSheetId="3">#REF!</definedName>
    <definedName name="septico">#REF!</definedName>
    <definedName name="suerte" localSheetId="2">#REF!</definedName>
    <definedName name="suerte" localSheetId="7">#REF!</definedName>
    <definedName name="suerte" localSheetId="8">#REF!</definedName>
    <definedName name="suerte" localSheetId="9">#REF!</definedName>
    <definedName name="suerte" localSheetId="10">#REF!</definedName>
    <definedName name="suerte" localSheetId="11">#REF!</definedName>
    <definedName name="suerte" localSheetId="12">#REF!</definedName>
    <definedName name="suerte" localSheetId="13">#REF!</definedName>
    <definedName name="suerte" localSheetId="14">#REF!</definedName>
    <definedName name="suerte" localSheetId="3">#REF!</definedName>
    <definedName name="suerte">#REF!</definedName>
    <definedName name="Tabla_asignación" localSheetId="2">#REF!</definedName>
    <definedName name="Tabla_asignación" localSheetId="7">#REF!</definedName>
    <definedName name="Tabla_asignación" localSheetId="8">#REF!</definedName>
    <definedName name="Tabla_asignación" localSheetId="9">#REF!</definedName>
    <definedName name="Tabla_asignación" localSheetId="10">#REF!</definedName>
    <definedName name="Tabla_asignación" localSheetId="11">#REF!</definedName>
    <definedName name="Tabla_asignación" localSheetId="12">#REF!</definedName>
    <definedName name="Tabla_asignación" localSheetId="13">#REF!</definedName>
    <definedName name="Tabla_asignación" localSheetId="14">#REF!</definedName>
    <definedName name="Tabla_asignación" localSheetId="3">#REF!</definedName>
    <definedName name="Tabla_asignación">#REF!</definedName>
    <definedName name="Tabla_Recursos" localSheetId="2">#REF!</definedName>
    <definedName name="Tabla_Recursos" localSheetId="7">#REF!</definedName>
    <definedName name="Tabla_Recursos" localSheetId="8">#REF!</definedName>
    <definedName name="Tabla_Recursos" localSheetId="9">#REF!</definedName>
    <definedName name="Tabla_Recursos" localSheetId="10">#REF!</definedName>
    <definedName name="Tabla_Recursos" localSheetId="11">#REF!</definedName>
    <definedName name="Tabla_Recursos" localSheetId="12">#REF!</definedName>
    <definedName name="Tabla_Recursos" localSheetId="13">#REF!</definedName>
    <definedName name="Tabla_Recursos" localSheetId="14">#REF!</definedName>
    <definedName name="Tabla_Recursos">#REF!</definedName>
    <definedName name="tendre" localSheetId="2">#REF!</definedName>
    <definedName name="tendre" localSheetId="7">#REF!</definedName>
    <definedName name="tendre" localSheetId="8">#REF!</definedName>
    <definedName name="tendre" localSheetId="9">#REF!</definedName>
    <definedName name="tendre" localSheetId="10">#REF!</definedName>
    <definedName name="tendre" localSheetId="11">#REF!</definedName>
    <definedName name="tendre" localSheetId="12">#REF!</definedName>
    <definedName name="tendre" localSheetId="13">#REF!</definedName>
    <definedName name="tendre" localSheetId="14">#REF!</definedName>
    <definedName name="tendre">#REF!</definedName>
    <definedName name="tener" localSheetId="2">#REF!</definedName>
    <definedName name="tener" localSheetId="7">#REF!</definedName>
    <definedName name="tener" localSheetId="8">#REF!</definedName>
    <definedName name="tener" localSheetId="9">#REF!</definedName>
    <definedName name="tener" localSheetId="10">#REF!</definedName>
    <definedName name="tener" localSheetId="11">#REF!</definedName>
    <definedName name="tener" localSheetId="12">#REF!</definedName>
    <definedName name="tener" localSheetId="13">#REF!</definedName>
    <definedName name="tener" localSheetId="14">#REF!</definedName>
    <definedName name="tener">#REF!</definedName>
    <definedName name="tierra" localSheetId="2">#REF!</definedName>
    <definedName name="tierra" localSheetId="7">#REF!</definedName>
    <definedName name="tierra" localSheetId="8">#REF!</definedName>
    <definedName name="tierra" localSheetId="9">#REF!</definedName>
    <definedName name="tierra" localSheetId="10">#REF!</definedName>
    <definedName name="tierra" localSheetId="11">#REF!</definedName>
    <definedName name="tierra" localSheetId="12">#REF!</definedName>
    <definedName name="tierra" localSheetId="13">#REF!</definedName>
    <definedName name="tierra" localSheetId="14">#REF!</definedName>
    <definedName name="tierra">#REF!</definedName>
    <definedName name="TIR" localSheetId="2">#REF!</definedName>
    <definedName name="TIR" localSheetId="7">#REF!</definedName>
    <definedName name="TIR" localSheetId="8">#REF!</definedName>
    <definedName name="TIR" localSheetId="9">#REF!</definedName>
    <definedName name="TIR" localSheetId="10">#REF!</definedName>
    <definedName name="TIR" localSheetId="11">#REF!</definedName>
    <definedName name="TIR" localSheetId="12">#REF!</definedName>
    <definedName name="TIR" localSheetId="13">#REF!</definedName>
    <definedName name="TIR" localSheetId="14">#REF!</definedName>
    <definedName name="TIR">#REF!</definedName>
    <definedName name="TITULO" localSheetId="2">#REF!</definedName>
    <definedName name="TITULO" localSheetId="7">#REF!</definedName>
    <definedName name="TITULO" localSheetId="8">#REF!</definedName>
    <definedName name="TITULO" localSheetId="9">#REF!</definedName>
    <definedName name="TITULO" localSheetId="10">#REF!</definedName>
    <definedName name="TITULO" localSheetId="11">#REF!</definedName>
    <definedName name="TITULO" localSheetId="12">#REF!</definedName>
    <definedName name="TITULO" localSheetId="13">#REF!</definedName>
    <definedName name="TITULO" localSheetId="14">#REF!</definedName>
    <definedName name="TITULO">#REF!</definedName>
    <definedName name="_xlnm.Print_Titles" localSheetId="2">#REF!,#REF!</definedName>
    <definedName name="_xlnm.Print_Titles" localSheetId="1">#REF!,#REF!</definedName>
    <definedName name="_xlnm.Print_Titles" localSheetId="7">#REF!,#REF!</definedName>
    <definedName name="_xlnm.Print_Titles" localSheetId="8">#REF!,#REF!</definedName>
    <definedName name="_xlnm.Print_Titles" localSheetId="9">#REF!,#REF!</definedName>
    <definedName name="_xlnm.Print_Titles" localSheetId="10">#REF!,#REF!</definedName>
    <definedName name="_xlnm.Print_Titles" localSheetId="11">#REF!,#REF!</definedName>
    <definedName name="_xlnm.Print_Titles" localSheetId="12">#REF!,#REF!</definedName>
    <definedName name="_xlnm.Print_Titles" localSheetId="13">#REF!,#REF!</definedName>
    <definedName name="_xlnm.Print_Titles" localSheetId="14">#REF!,#REF!</definedName>
    <definedName name="_xlnm.Print_Titles" localSheetId="3">#REF!,#REF!</definedName>
    <definedName name="_xlnm.Print_Titles">#REF!,#REF!</definedName>
    <definedName name="Ton">[15]Parámetros!$B$4</definedName>
    <definedName name="Totaldepto" localSheetId="2">#REF!</definedName>
    <definedName name="Totaldepto" localSheetId="1">#REF!</definedName>
    <definedName name="Totaldepto" localSheetId="7">#REF!</definedName>
    <definedName name="Totaldepto" localSheetId="8">#REF!</definedName>
    <definedName name="Totaldepto" localSheetId="9">#REF!</definedName>
    <definedName name="Totaldepto" localSheetId="10">#REF!</definedName>
    <definedName name="Totaldepto" localSheetId="11">#REF!</definedName>
    <definedName name="Totaldepto" localSheetId="12">#REF!</definedName>
    <definedName name="Totaldepto" localSheetId="13">#REF!</definedName>
    <definedName name="Totaldepto" localSheetId="14">#REF!</definedName>
    <definedName name="Totaldepto" localSheetId="3">#REF!</definedName>
    <definedName name="Totaldepto">#REF!</definedName>
    <definedName name="Transaccion1" localSheetId="2">#REF!</definedName>
    <definedName name="Transaccion1" localSheetId="1">#REF!</definedName>
    <definedName name="Transaccion1" localSheetId="7">#REF!</definedName>
    <definedName name="Transaccion1" localSheetId="8">#REF!</definedName>
    <definedName name="Transaccion1" localSheetId="9">#REF!</definedName>
    <definedName name="Transaccion1" localSheetId="10">#REF!</definedName>
    <definedName name="Transaccion1" localSheetId="11">#REF!</definedName>
    <definedName name="Transaccion1" localSheetId="12">#REF!</definedName>
    <definedName name="Transaccion1" localSheetId="13">#REF!</definedName>
    <definedName name="Transaccion1" localSheetId="14">#REF!</definedName>
    <definedName name="Transaccion1" localSheetId="3">#REF!</definedName>
    <definedName name="Transaccion1">#REF!</definedName>
    <definedName name="Valoracion1" localSheetId="2">#REF!</definedName>
    <definedName name="Valoracion1" localSheetId="1">#REF!</definedName>
    <definedName name="Valoracion1" localSheetId="7">#REF!</definedName>
    <definedName name="Valoracion1" localSheetId="8">#REF!</definedName>
    <definedName name="Valoracion1" localSheetId="9">#REF!</definedName>
    <definedName name="Valoracion1" localSheetId="10">#REF!</definedName>
    <definedName name="Valoracion1" localSheetId="11">#REF!</definedName>
    <definedName name="Valoracion1" localSheetId="12">#REF!</definedName>
    <definedName name="Valoracion1" localSheetId="13">#REF!</definedName>
    <definedName name="Valoracion1" localSheetId="14">#REF!</definedName>
    <definedName name="Valoracion1" localSheetId="3">#REF!</definedName>
    <definedName name="Valoracion1">#REF!</definedName>
    <definedName name="vives" localSheetId="2">#REF!</definedName>
    <definedName name="vives" localSheetId="7">#REF!</definedName>
    <definedName name="vives" localSheetId="8">#REF!</definedName>
    <definedName name="vives" localSheetId="9">#REF!</definedName>
    <definedName name="vives" localSheetId="10">#REF!</definedName>
    <definedName name="vives" localSheetId="11">#REF!</definedName>
    <definedName name="vives" localSheetId="12">#REF!</definedName>
    <definedName name="vives" localSheetId="13">#REF!</definedName>
    <definedName name="vives" localSheetId="14">#REF!</definedName>
    <definedName name="viv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 i="21" l="1"/>
  <c r="H274" i="15" l="1"/>
  <c r="H124" i="14" l="1"/>
  <c r="B59" i="7"/>
  <c r="B60" i="7"/>
  <c r="B61" i="7"/>
  <c r="B62" i="7"/>
  <c r="B63" i="7"/>
  <c r="B58" i="7"/>
  <c r="B95" i="4"/>
  <c r="B94" i="4"/>
  <c r="B93" i="4"/>
  <c r="B90" i="4"/>
  <c r="B91" i="4"/>
  <c r="B92" i="4"/>
  <c r="B87" i="4"/>
  <c r="B88" i="4"/>
  <c r="B89" i="4"/>
  <c r="B86" i="4"/>
  <c r="B67" i="4"/>
  <c r="B65" i="4"/>
  <c r="B66" i="4"/>
  <c r="B64" i="4"/>
  <c r="B44" i="4"/>
  <c r="B45" i="4"/>
  <c r="B43" i="4"/>
  <c r="B18" i="4"/>
  <c r="B19" i="4"/>
  <c r="B20" i="4"/>
  <c r="B21" i="4"/>
  <c r="B17" i="4"/>
  <c r="B70" i="3"/>
  <c r="B71" i="3"/>
  <c r="B69" i="3"/>
  <c r="B49" i="3"/>
  <c r="B50" i="3"/>
  <c r="B51" i="3"/>
  <c r="B48" i="3"/>
  <c r="B16" i="3"/>
  <c r="B17" i="3"/>
  <c r="B18" i="3"/>
  <c r="B19" i="3"/>
  <c r="B20" i="3"/>
  <c r="B21" i="3"/>
  <c r="B15" i="3"/>
  <c r="B22" i="7"/>
  <c r="B21" i="7"/>
  <c r="B20" i="7"/>
  <c r="B15" i="7"/>
  <c r="B16" i="7"/>
  <c r="B17" i="7"/>
  <c r="B18" i="7"/>
  <c r="B19" i="7"/>
  <c r="B14" i="7"/>
  <c r="B114" i="10"/>
  <c r="B111" i="10"/>
  <c r="B112" i="10"/>
  <c r="B113" i="10"/>
  <c r="B110" i="10"/>
  <c r="B80" i="10"/>
  <c r="B81" i="10"/>
  <c r="B79" i="10"/>
  <c r="B51" i="10"/>
  <c r="B52" i="10"/>
  <c r="B53" i="10"/>
  <c r="B50" i="10"/>
  <c r="B18" i="10"/>
  <c r="B19" i="10"/>
  <c r="B20" i="10"/>
  <c r="B17" i="10"/>
  <c r="B43" i="12"/>
  <c r="B44" i="12"/>
  <c r="B45" i="12"/>
  <c r="B42" i="12"/>
  <c r="B15" i="12"/>
  <c r="B16" i="12"/>
  <c r="B17" i="12"/>
  <c r="B14" i="12"/>
  <c r="B80" i="11"/>
  <c r="B81" i="11"/>
  <c r="B79" i="11"/>
  <c r="B43" i="11"/>
  <c r="B41" i="11"/>
  <c r="B42" i="11"/>
  <c r="B39" i="11"/>
  <c r="B40" i="11"/>
  <c r="B38" i="11"/>
  <c r="B17" i="11"/>
  <c r="B18" i="11"/>
  <c r="B16" i="11"/>
  <c r="B254" i="15"/>
  <c r="B255" i="15"/>
  <c r="B256" i="15"/>
  <c r="B257" i="15"/>
  <c r="B253" i="15"/>
  <c r="B214" i="15"/>
  <c r="B213" i="15"/>
  <c r="B212" i="15"/>
  <c r="B210" i="15"/>
  <c r="B211" i="15"/>
  <c r="B209" i="15"/>
  <c r="B167" i="15"/>
  <c r="B168" i="15"/>
  <c r="B166" i="15"/>
  <c r="B118" i="15"/>
  <c r="B119" i="15"/>
  <c r="B120" i="15"/>
  <c r="B121" i="15"/>
  <c r="B122" i="15"/>
  <c r="B117" i="15"/>
  <c r="B67" i="15"/>
  <c r="B68" i="15"/>
  <c r="B61" i="15"/>
  <c r="B62" i="15"/>
  <c r="B63" i="15"/>
  <c r="B64" i="15"/>
  <c r="B65" i="15"/>
  <c r="B66" i="15"/>
  <c r="B60" i="15"/>
  <c r="B22" i="15"/>
  <c r="B23" i="15"/>
  <c r="B20" i="15"/>
  <c r="B21" i="15"/>
  <c r="B19" i="15"/>
  <c r="B16" i="14"/>
  <c r="B17" i="14"/>
  <c r="B18" i="14"/>
  <c r="B19" i="14"/>
  <c r="B63" i="14"/>
  <c r="B64" i="14"/>
  <c r="B65" i="14"/>
  <c r="B66" i="14"/>
  <c r="B67" i="14"/>
  <c r="B103" i="14"/>
  <c r="B104" i="14"/>
  <c r="B105" i="14"/>
  <c r="B106" i="14"/>
  <c r="B107" i="14"/>
  <c r="B102" i="14"/>
  <c r="B62" i="14"/>
  <c r="B15" i="14"/>
  <c r="D734" i="23"/>
  <c r="F734" i="23" s="1"/>
  <c r="H734" i="23" s="1"/>
  <c r="D733" i="23"/>
  <c r="F733" i="23" s="1"/>
  <c r="H733" i="23" s="1"/>
  <c r="D732" i="23"/>
  <c r="F732" i="23" s="1"/>
  <c r="H732" i="23" s="1"/>
  <c r="C725" i="23"/>
  <c r="C726" i="23" s="1"/>
  <c r="C721" i="23"/>
  <c r="C707" i="23"/>
  <c r="C704" i="23"/>
  <c r="C694" i="23"/>
  <c r="D696" i="23" s="1"/>
  <c r="F696" i="23" s="1"/>
  <c r="H696" i="23" s="1"/>
  <c r="C687" i="23"/>
  <c r="C689" i="23" s="1"/>
  <c r="C680" i="23"/>
  <c r="C682" i="23" s="1"/>
  <c r="D675" i="23"/>
  <c r="F675" i="23" s="1"/>
  <c r="H675" i="23" s="1"/>
  <c r="D674" i="23"/>
  <c r="F674" i="23" s="1"/>
  <c r="H674" i="23" s="1"/>
  <c r="D673" i="23"/>
  <c r="F673" i="23" s="1"/>
  <c r="H673" i="23" s="1"/>
  <c r="C666" i="23"/>
  <c r="C667" i="23" s="1"/>
  <c r="D662" i="23"/>
  <c r="F662" i="23" s="1"/>
  <c r="H662" i="23" s="1"/>
  <c r="D661" i="23"/>
  <c r="F661" i="23" s="1"/>
  <c r="H661" i="23" s="1"/>
  <c r="D660" i="23"/>
  <c r="F660" i="23" s="1"/>
  <c r="H660" i="23" s="1"/>
  <c r="D655" i="23"/>
  <c r="F655" i="23" s="1"/>
  <c r="H655" i="23" s="1"/>
  <c r="D654" i="23"/>
  <c r="F654" i="23" s="1"/>
  <c r="H654" i="23" s="1"/>
  <c r="D653" i="23"/>
  <c r="F653" i="23" s="1"/>
  <c r="H653" i="23" s="1"/>
  <c r="E645" i="23"/>
  <c r="E647" i="23" s="1"/>
  <c r="E638" i="23"/>
  <c r="E640" i="23" s="1"/>
  <c r="C633" i="23"/>
  <c r="C632" i="23"/>
  <c r="D628" i="23"/>
  <c r="F628" i="23" s="1"/>
  <c r="H628" i="23" s="1"/>
  <c r="D627" i="23"/>
  <c r="F627" i="23" s="1"/>
  <c r="H627" i="23" s="1"/>
  <c r="D621" i="23"/>
  <c r="F621" i="23" s="1"/>
  <c r="H621" i="23" s="1"/>
  <c r="D620" i="23"/>
  <c r="F620" i="23" s="1"/>
  <c r="H620" i="23" s="1"/>
  <c r="C614" i="23"/>
  <c r="C601" i="23"/>
  <c r="C593" i="23" s="1"/>
  <c r="C596" i="23" s="1"/>
  <c r="D589" i="23"/>
  <c r="F589" i="23" s="1"/>
  <c r="H589" i="23" s="1"/>
  <c r="D588" i="23"/>
  <c r="F588" i="23" s="1"/>
  <c r="H588" i="23" s="1"/>
  <c r="D587" i="23"/>
  <c r="F587" i="23" s="1"/>
  <c r="H587" i="23" s="1"/>
  <c r="E581" i="23"/>
  <c r="E580" i="23"/>
  <c r="E573" i="23"/>
  <c r="F573" i="23" s="1"/>
  <c r="C568" i="23"/>
  <c r="C564" i="23"/>
  <c r="C565" i="23" s="1"/>
  <c r="C567" i="23" s="1"/>
  <c r="C558" i="23"/>
  <c r="C549" i="23"/>
  <c r="C544" i="23"/>
  <c r="C538" i="23"/>
  <c r="E531" i="23"/>
  <c r="C527" i="23"/>
  <c r="C528" i="23" s="1"/>
  <c r="C522" i="23"/>
  <c r="C524" i="23" s="1"/>
  <c r="C516" i="23"/>
  <c r="C513" i="23"/>
  <c r="D509" i="23"/>
  <c r="F509" i="23" s="1"/>
  <c r="H509" i="23" s="1"/>
  <c r="D508" i="23"/>
  <c r="F508" i="23" s="1"/>
  <c r="H508" i="23" s="1"/>
  <c r="D507" i="23"/>
  <c r="F507" i="23" s="1"/>
  <c r="H507" i="23" s="1"/>
  <c r="D501" i="23"/>
  <c r="F501" i="23" s="1"/>
  <c r="H501" i="23" s="1"/>
  <c r="F500" i="23"/>
  <c r="H500" i="23" s="1"/>
  <c r="D500" i="23"/>
  <c r="D499" i="23"/>
  <c r="F499" i="23" s="1"/>
  <c r="H499" i="23" s="1"/>
  <c r="C483" i="23"/>
  <c r="C474" i="23"/>
  <c r="C476" i="23" s="1"/>
  <c r="C470" i="23"/>
  <c r="D455" i="23"/>
  <c r="D453" i="23"/>
  <c r="D451" i="23"/>
  <c r="D450" i="23"/>
  <c r="C444" i="23"/>
  <c r="C429" i="23"/>
  <c r="C428" i="23"/>
  <c r="C426" i="23"/>
  <c r="C418" i="23"/>
  <c r="C411" i="23"/>
  <c r="C406" i="23"/>
  <c r="C383" i="23" s="1"/>
  <c r="C395" i="23"/>
  <c r="C393" i="23"/>
  <c r="C388" i="23"/>
  <c r="C387" i="23"/>
  <c r="C386" i="23"/>
  <c r="C385" i="23"/>
  <c r="B385" i="23"/>
  <c r="C384" i="23"/>
  <c r="B384" i="23"/>
  <c r="B383" i="23"/>
  <c r="B382" i="23"/>
  <c r="E364" i="23"/>
  <c r="E351" i="23"/>
  <c r="E348" i="23"/>
  <c r="E346" i="23"/>
  <c r="E345" i="23"/>
  <c r="E339" i="23"/>
  <c r="D338" i="23"/>
  <c r="E338" i="23" s="1"/>
  <c r="E337" i="23"/>
  <c r="D337" i="23"/>
  <c r="E334" i="23"/>
  <c r="E333" i="23"/>
  <c r="E325" i="23"/>
  <c r="E323" i="23"/>
  <c r="E322" i="23"/>
  <c r="E316" i="23"/>
  <c r="D315" i="23"/>
  <c r="E315" i="23" s="1"/>
  <c r="E313" i="23"/>
  <c r="D312" i="23"/>
  <c r="E312" i="23" s="1"/>
  <c r="C294" i="23"/>
  <c r="C427" i="23" s="1"/>
  <c r="C430" i="23" s="1"/>
  <c r="C286" i="23"/>
  <c r="B279" i="23"/>
  <c r="B278" i="23"/>
  <c r="C277" i="23"/>
  <c r="C276" i="23"/>
  <c r="C412" i="23" s="1"/>
  <c r="C272" i="23"/>
  <c r="C271" i="23"/>
  <c r="D349" i="23" s="1"/>
  <c r="E349" i="23" s="1"/>
  <c r="C269" i="23"/>
  <c r="D350" i="23" s="1"/>
  <c r="E350" i="23" s="1"/>
  <c r="C268" i="23"/>
  <c r="D317" i="23" s="1"/>
  <c r="E317" i="23" s="1"/>
  <c r="C266" i="23"/>
  <c r="D335" i="23" s="1"/>
  <c r="E335" i="23" s="1"/>
  <c r="D260" i="23"/>
  <c r="C436" i="23" s="1"/>
  <c r="C260" i="23"/>
  <c r="C420" i="23" s="1"/>
  <c r="C247" i="23"/>
  <c r="C245" i="23"/>
  <c r="C250" i="23" s="1"/>
  <c r="C251" i="23" s="1"/>
  <c r="C231" i="23"/>
  <c r="C228" i="23"/>
  <c r="C230" i="23" s="1"/>
  <c r="C220" i="23"/>
  <c r="C218" i="23"/>
  <c r="C217" i="23"/>
  <c r="C216" i="23"/>
  <c r="C208" i="23"/>
  <c r="C207" i="23"/>
  <c r="C206" i="23"/>
  <c r="C210" i="23" s="1"/>
  <c r="C211" i="23" s="1"/>
  <c r="C205" i="23"/>
  <c r="C198" i="23"/>
  <c r="C195" i="23"/>
  <c r="C194" i="23"/>
  <c r="C193" i="23"/>
  <c r="C189" i="23"/>
  <c r="C181" i="23"/>
  <c r="C180" i="23"/>
  <c r="C179" i="23"/>
  <c r="C172" i="23"/>
  <c r="C174" i="23" s="1"/>
  <c r="C158" i="23" s="1"/>
  <c r="C162" i="23" s="1"/>
  <c r="C166" i="23"/>
  <c r="C165" i="23"/>
  <c r="C161" i="23"/>
  <c r="B161" i="23"/>
  <c r="B160" i="23"/>
  <c r="B159" i="23"/>
  <c r="C133" i="23"/>
  <c r="C118" i="23"/>
  <c r="C196" i="23" s="1"/>
  <c r="C113" i="23"/>
  <c r="C107" i="23"/>
  <c r="C112" i="23" s="1"/>
  <c r="C114" i="23" s="1"/>
  <c r="D101" i="23"/>
  <c r="D100" i="23"/>
  <c r="D99" i="23"/>
  <c r="D102" i="23" s="1"/>
  <c r="C90" i="23"/>
  <c r="C410" i="23" s="1"/>
  <c r="E65" i="23"/>
  <c r="E64" i="23"/>
  <c r="E63" i="23"/>
  <c r="E62" i="23"/>
  <c r="E61" i="23"/>
  <c r="E60" i="23"/>
  <c r="E59" i="23"/>
  <c r="E58" i="23"/>
  <c r="E57" i="23"/>
  <c r="E56" i="23"/>
  <c r="E55" i="23"/>
  <c r="E54" i="23"/>
  <c r="E53" i="23"/>
  <c r="E52" i="23"/>
  <c r="E51" i="23"/>
  <c r="E50" i="23"/>
  <c r="E49" i="23"/>
  <c r="E48" i="23"/>
  <c r="E47" i="23"/>
  <c r="E46" i="23"/>
  <c r="E45" i="23"/>
  <c r="E44" i="23"/>
  <c r="E43" i="23"/>
  <c r="E42" i="23"/>
  <c r="C183" i="23" l="1"/>
  <c r="C159" i="23" s="1"/>
  <c r="C163" i="23" s="1"/>
  <c r="D314" i="23"/>
  <c r="D363" i="23" s="1"/>
  <c r="E363" i="23" s="1"/>
  <c r="E365" i="23" s="1"/>
  <c r="C278" i="23" s="1"/>
  <c r="D327" i="23"/>
  <c r="E327" i="23" s="1"/>
  <c r="C419" i="23"/>
  <c r="C435" i="23"/>
  <c r="C437" i="23" s="1"/>
  <c r="E574" i="23"/>
  <c r="E575" i="23" s="1"/>
  <c r="D697" i="23"/>
  <c r="F697" i="23" s="1"/>
  <c r="H697" i="23" s="1"/>
  <c r="D698" i="23"/>
  <c r="F698" i="23" s="1"/>
  <c r="H698" i="23" s="1"/>
  <c r="C413" i="23"/>
  <c r="C223" i="23"/>
  <c r="C164" i="23" s="1"/>
  <c r="C267" i="23"/>
  <c r="D326" i="23"/>
  <c r="E326" i="23" s="1"/>
  <c r="E340" i="23"/>
  <c r="C275" i="23" s="1"/>
  <c r="F574" i="23"/>
  <c r="F575" i="23" s="1"/>
  <c r="G573" i="23"/>
  <c r="C200" i="23"/>
  <c r="C160" i="23" s="1"/>
  <c r="C421" i="23"/>
  <c r="D375" i="23"/>
  <c r="E375" i="23" s="1"/>
  <c r="C391" i="23"/>
  <c r="C399" i="23" s="1"/>
  <c r="C382" i="23" s="1"/>
  <c r="E314" i="23"/>
  <c r="E318" i="23" s="1"/>
  <c r="C273" i="23" s="1"/>
  <c r="D347" i="23" l="1"/>
  <c r="E347" i="23" s="1"/>
  <c r="E352" i="23" s="1"/>
  <c r="D369" i="23"/>
  <c r="E369" i="23" s="1"/>
  <c r="E371" i="23" s="1"/>
  <c r="C279" i="23" s="1"/>
  <c r="D324" i="23"/>
  <c r="E324" i="23" s="1"/>
  <c r="E328" i="23" s="1"/>
  <c r="C274" i="23" s="1"/>
  <c r="D376" i="23"/>
  <c r="E376" i="23" s="1"/>
  <c r="E378" i="23" s="1"/>
  <c r="C280" i="23" s="1"/>
  <c r="G574" i="23"/>
  <c r="G575" i="23" s="1"/>
  <c r="H573" i="23"/>
  <c r="I573" i="23" l="1"/>
  <c r="H574" i="23"/>
  <c r="H575" i="23" s="1"/>
  <c r="J573" i="23" l="1"/>
  <c r="I574" i="23"/>
  <c r="I575" i="23" s="1"/>
  <c r="K573" i="23" l="1"/>
  <c r="J574" i="23"/>
  <c r="J575" i="23" s="1"/>
  <c r="L573" i="23" l="1"/>
  <c r="K574" i="23"/>
  <c r="K575" i="23" s="1"/>
  <c r="L574" i="23" l="1"/>
  <c r="L575" i="23" s="1"/>
  <c r="M573" i="23"/>
  <c r="M574" i="23" l="1"/>
  <c r="M575" i="23" s="1"/>
  <c r="N573" i="23"/>
  <c r="N574" i="23" l="1"/>
  <c r="N575" i="23" s="1"/>
  <c r="O573" i="23"/>
  <c r="O574" i="23" l="1"/>
  <c r="O575" i="23" s="1"/>
  <c r="P573" i="23"/>
  <c r="P574" i="23" l="1"/>
  <c r="P575" i="23" s="1"/>
  <c r="Q573" i="23"/>
  <c r="Q574" i="23" s="1"/>
  <c r="Q575" i="23" s="1"/>
  <c r="F131" i="16" l="1"/>
  <c r="F127" i="16"/>
  <c r="F124" i="16"/>
  <c r="F119" i="16"/>
  <c r="F116" i="16"/>
  <c r="F112" i="16"/>
  <c r="F104" i="16"/>
  <c r="F98" i="16"/>
  <c r="F89" i="16"/>
  <c r="F84" i="16"/>
  <c r="F81" i="16"/>
  <c r="F77" i="16"/>
  <c r="F73" i="16"/>
  <c r="F69" i="16"/>
  <c r="F65" i="16"/>
  <c r="F62" i="16"/>
  <c r="F56" i="16"/>
  <c r="F53" i="16"/>
  <c r="F48" i="16"/>
  <c r="F42" i="16"/>
  <c r="F39" i="16"/>
  <c r="F33" i="16"/>
  <c r="F24" i="16"/>
  <c r="F19" i="16"/>
  <c r="F13" i="16"/>
  <c r="F7" i="16"/>
  <c r="F2" i="16"/>
  <c r="H45" i="15" l="1"/>
  <c r="H70" i="11"/>
  <c r="C99" i="15"/>
  <c r="H46" i="15"/>
  <c r="A42" i="22" l="1"/>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E42" i="21"/>
  <c r="E43" i="21"/>
  <c r="D42" i="21"/>
  <c r="D43" i="21"/>
  <c r="A43" i="21" l="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G8" i="3"/>
  <c r="H8" i="3" s="1"/>
  <c r="L8" i="3" s="1"/>
  <c r="B4" i="11" l="1"/>
  <c r="H53" i="12"/>
  <c r="C36" i="10" l="1"/>
  <c r="C35" i="10"/>
  <c r="C64" i="10"/>
  <c r="H133" i="10"/>
  <c r="C62" i="10"/>
  <c r="H35" i="10" l="1"/>
  <c r="H36" i="10"/>
  <c r="C139" i="10" l="1"/>
  <c r="C138" i="10"/>
  <c r="H137" i="10"/>
  <c r="H134" i="10"/>
  <c r="H31" i="7"/>
  <c r="H125" i="10" l="1"/>
  <c r="A40" i="19" l="1"/>
  <c r="A39" i="19"/>
  <c r="A38" i="19"/>
  <c r="A37" i="19"/>
  <c r="A36" i="19"/>
  <c r="A35" i="19"/>
  <c r="A34" i="19"/>
  <c r="A33" i="19"/>
  <c r="A32" i="19"/>
  <c r="A31" i="19"/>
  <c r="A30" i="19"/>
  <c r="A29" i="19"/>
  <c r="A28" i="19"/>
  <c r="A27" i="19"/>
  <c r="A26" i="19"/>
  <c r="A25" i="19"/>
  <c r="A24" i="19"/>
  <c r="A23" i="19"/>
  <c r="A22" i="19"/>
  <c r="A21" i="19"/>
  <c r="A17" i="19"/>
  <c r="A20" i="19"/>
  <c r="A19" i="19"/>
  <c r="A18" i="19"/>
  <c r="A16" i="19"/>
  <c r="A15" i="19"/>
  <c r="A14" i="19"/>
  <c r="A13" i="19"/>
  <c r="A12" i="19"/>
  <c r="A11" i="19"/>
  <c r="A10" i="19"/>
  <c r="A9" i="19"/>
  <c r="A8" i="19"/>
  <c r="A7" i="19"/>
  <c r="A6" i="19"/>
  <c r="B11" i="4" l="1"/>
  <c r="B10" i="4"/>
  <c r="B9" i="4"/>
  <c r="B8" i="4"/>
  <c r="B4" i="4"/>
  <c r="B10" i="3"/>
  <c r="B9" i="3"/>
  <c r="B8" i="3"/>
  <c r="B4" i="3"/>
  <c r="B9" i="7"/>
  <c r="B8" i="7"/>
  <c r="B4" i="7"/>
  <c r="B11" i="10"/>
  <c r="B109" i="10" s="1"/>
  <c r="B10" i="10"/>
  <c r="B9" i="10"/>
  <c r="B8" i="10"/>
  <c r="B4" i="10"/>
  <c r="B9" i="12"/>
  <c r="B8" i="12"/>
  <c r="B4" i="12"/>
  <c r="B10" i="11"/>
  <c r="B9" i="11"/>
  <c r="B8" i="11"/>
  <c r="H238" i="15" l="1"/>
  <c r="C231" i="15" l="1"/>
  <c r="H198" i="15" l="1"/>
  <c r="H197" i="15"/>
  <c r="H194" i="15"/>
  <c r="H186" i="15"/>
  <c r="H181" i="15"/>
  <c r="H178" i="15"/>
  <c r="H174" i="15"/>
  <c r="B13" i="15" l="1"/>
  <c r="B252" i="15" s="1"/>
  <c r="B12" i="15"/>
  <c r="B208" i="15" s="1"/>
  <c r="B11" i="15"/>
  <c r="B165" i="15" s="1"/>
  <c r="B10" i="15"/>
  <c r="B9" i="15"/>
  <c r="B8" i="15"/>
  <c r="B17" i="15" s="1"/>
  <c r="B4" i="15"/>
  <c r="B10" i="14"/>
  <c r="B9" i="14"/>
  <c r="B60" i="14" s="1"/>
  <c r="B8" i="14"/>
  <c r="B4" i="14"/>
  <c r="C92" i="15"/>
  <c r="C75" i="15"/>
  <c r="C74" i="15"/>
  <c r="H79" i="15"/>
  <c r="C45" i="14" l="1"/>
  <c r="H40" i="15" l="1"/>
  <c r="H41" i="15"/>
  <c r="C36" i="15"/>
  <c r="C39" i="15"/>
  <c r="C38" i="15"/>
  <c r="C35" i="15"/>
  <c r="C33" i="15"/>
  <c r="C32" i="15"/>
  <c r="H105" i="15"/>
  <c r="H104" i="15"/>
  <c r="H101" i="15"/>
  <c r="H90" i="15"/>
  <c r="H84" i="15"/>
  <c r="C81" i="15"/>
  <c r="H80" i="15"/>
  <c r="H77" i="15"/>
  <c r="C76" i="15"/>
  <c r="B251" i="15"/>
  <c r="B58" i="15"/>
  <c r="H284" i="15"/>
  <c r="H282" i="15"/>
  <c r="H281" i="15"/>
  <c r="H279" i="15"/>
  <c r="C278" i="15"/>
  <c r="H272" i="15"/>
  <c r="H244" i="15"/>
  <c r="H242" i="15"/>
  <c r="H241" i="15"/>
  <c r="H239" i="15"/>
  <c r="H229" i="15"/>
  <c r="H227" i="15"/>
  <c r="H223" i="15"/>
  <c r="H157" i="15"/>
  <c r="H156" i="15"/>
  <c r="H153" i="15"/>
  <c r="H143" i="15"/>
  <c r="H141" i="15"/>
  <c r="H136" i="15"/>
  <c r="H128" i="15"/>
  <c r="H132" i="15"/>
  <c r="H51" i="15"/>
  <c r="H50" i="15"/>
  <c r="H47" i="15"/>
  <c r="H31" i="15"/>
  <c r="B207" i="15" l="1"/>
  <c r="B116" i="15"/>
  <c r="B115" i="15"/>
  <c r="H32" i="15"/>
  <c r="H33" i="15"/>
  <c r="H97" i="15"/>
  <c r="H98" i="15"/>
  <c r="H121" i="14" l="1"/>
  <c r="H120" i="14"/>
  <c r="H123" i="14"/>
  <c r="C118" i="14"/>
  <c r="H131" i="14"/>
  <c r="H128" i="14"/>
  <c r="B101" i="14"/>
  <c r="B13" i="14"/>
  <c r="H91" i="14" l="1"/>
  <c r="H88" i="14"/>
  <c r="H85" i="14"/>
  <c r="H74" i="14"/>
  <c r="H51" i="14"/>
  <c r="H48" i="14"/>
  <c r="C38" i="14"/>
  <c r="H37" i="14"/>
  <c r="H36" i="14"/>
  <c r="C33" i="14"/>
  <c r="H28" i="14"/>
  <c r="L7" i="3"/>
  <c r="I32" i="19" s="1"/>
  <c r="N7" i="3"/>
  <c r="K32" i="19" s="1"/>
  <c r="R7" i="3"/>
  <c r="O32" i="19" s="1"/>
  <c r="T7" i="3"/>
  <c r="Q32" i="19" s="1"/>
  <c r="L11" i="3"/>
  <c r="N11" i="3"/>
  <c r="R11" i="3"/>
  <c r="T11" i="3"/>
  <c r="H25" i="12"/>
  <c r="H26" i="12"/>
  <c r="H32" i="12"/>
  <c r="H29" i="12"/>
  <c r="H54" i="11"/>
  <c r="H69" i="11"/>
  <c r="H65" i="11" l="1"/>
  <c r="H64" i="11"/>
  <c r="H61" i="11"/>
  <c r="H59" i="11"/>
  <c r="H57" i="11"/>
  <c r="H80" i="7" l="1"/>
  <c r="H41" i="7"/>
  <c r="C30" i="7"/>
  <c r="H90" i="11"/>
  <c r="C27" i="11"/>
  <c r="H60" i="12" l="1"/>
  <c r="H57" i="12"/>
  <c r="H56" i="12" s="1"/>
  <c r="C34" i="12"/>
  <c r="C108" i="11"/>
  <c r="C67" i="11"/>
  <c r="H30" i="11"/>
  <c r="H29" i="11"/>
  <c r="C64" i="12" l="1"/>
  <c r="C33" i="12"/>
  <c r="C66" i="11"/>
  <c r="C65" i="12"/>
  <c r="H63" i="12"/>
  <c r="H106" i="11"/>
  <c r="H29" i="10" l="1"/>
  <c r="C103" i="10"/>
  <c r="C102" i="10"/>
  <c r="H101" i="10"/>
  <c r="H98" i="10"/>
  <c r="C94" i="10"/>
  <c r="C93" i="10"/>
  <c r="B41" i="12" l="1"/>
  <c r="B13" i="12" s="1"/>
  <c r="H93" i="10"/>
  <c r="C71" i="10" l="1"/>
  <c r="C70" i="10"/>
  <c r="H69" i="10"/>
  <c r="H66" i="10"/>
  <c r="H40" i="10"/>
  <c r="C42" i="10"/>
  <c r="C41" i="10"/>
  <c r="H37" i="10"/>
  <c r="H62" i="10" l="1"/>
  <c r="H34" i="10"/>
  <c r="H32" i="10"/>
  <c r="H85" i="7" l="1"/>
  <c r="H82" i="7"/>
  <c r="H81" i="7"/>
  <c r="H79" i="7"/>
  <c r="H77" i="7"/>
  <c r="C76" i="7"/>
  <c r="C75" i="7"/>
  <c r="H71" i="7"/>
  <c r="H75" i="7" l="1"/>
  <c r="H40" i="7" l="1"/>
  <c r="H42" i="7"/>
  <c r="B56" i="7"/>
  <c r="B12" i="7"/>
  <c r="H87" i="7"/>
  <c r="H86" i="7" s="1"/>
  <c r="H45" i="7" l="1"/>
  <c r="B68" i="3" l="1"/>
  <c r="B47" i="3"/>
  <c r="H83" i="3"/>
  <c r="H85" i="3" s="1"/>
  <c r="H79" i="3"/>
  <c r="H59" i="3"/>
  <c r="H63" i="3"/>
  <c r="H60" i="3"/>
  <c r="H102" i="4" l="1"/>
  <c r="B85" i="4"/>
  <c r="H78" i="4"/>
  <c r="H75" i="4"/>
  <c r="B63" i="4"/>
  <c r="H55" i="4"/>
  <c r="H52" i="4"/>
  <c r="B42" i="4"/>
  <c r="H36" i="4"/>
  <c r="H33" i="4"/>
  <c r="H32" i="4"/>
  <c r="H29" i="4"/>
  <c r="H28" i="4"/>
  <c r="B15" i="4"/>
  <c r="H36" i="3"/>
  <c r="C35" i="3"/>
  <c r="C34" i="3"/>
  <c r="H33" i="3"/>
  <c r="H30" i="3"/>
  <c r="H28" i="3"/>
  <c r="B14" i="3"/>
  <c r="H38" i="4" l="1"/>
  <c r="F8" i="4" l="1"/>
  <c r="G8" i="4"/>
  <c r="B78" i="11"/>
  <c r="B37" i="11" s="1"/>
  <c r="B15" i="11" s="1"/>
  <c r="D37" i="19" l="1"/>
  <c r="C37" i="19"/>
  <c r="H8" i="4"/>
  <c r="H63" i="10"/>
  <c r="H132" i="10"/>
  <c r="H131" i="10"/>
  <c r="E37" i="19" l="1"/>
  <c r="I8" i="4"/>
  <c r="F37" i="19" l="1"/>
  <c r="J8" i="4"/>
  <c r="H235" i="15"/>
  <c r="H234" i="15"/>
  <c r="G37" i="19" l="1"/>
  <c r="K8" i="4"/>
  <c r="H231" i="15"/>
  <c r="H37" i="19" l="1"/>
  <c r="L8" i="4"/>
  <c r="H193" i="15"/>
  <c r="H192" i="15"/>
  <c r="I37" i="19" l="1"/>
  <c r="M8" i="4"/>
  <c r="J37" i="19" l="1"/>
  <c r="N8" i="4"/>
  <c r="H190" i="15"/>
  <c r="H151" i="15"/>
  <c r="H191" i="15"/>
  <c r="H152" i="15"/>
  <c r="H35" i="15"/>
  <c r="K37" i="19" l="1"/>
  <c r="O8" i="4"/>
  <c r="H278" i="15"/>
  <c r="H236" i="15"/>
  <c r="H237" i="15"/>
  <c r="L37" i="19" l="1"/>
  <c r="P8" i="4"/>
  <c r="H68" i="11"/>
  <c r="M37" i="19" l="1"/>
  <c r="D40" i="21" s="1"/>
  <c r="Q8" i="4"/>
  <c r="H99" i="11"/>
  <c r="H102" i="11"/>
  <c r="N37" i="19" l="1"/>
  <c r="R8" i="4"/>
  <c r="H100" i="11"/>
  <c r="H97" i="11"/>
  <c r="H98" i="11"/>
  <c r="H101" i="11"/>
  <c r="H277" i="15"/>
  <c r="H276" i="15"/>
  <c r="H275" i="15"/>
  <c r="H232" i="15"/>
  <c r="H233" i="15"/>
  <c r="O37" i="19" l="1"/>
  <c r="S8" i="4"/>
  <c r="H39" i="7"/>
  <c r="H38" i="7"/>
  <c r="H37" i="7"/>
  <c r="P37" i="19" l="1"/>
  <c r="T8" i="4"/>
  <c r="Q37" i="19" l="1"/>
  <c r="U8" i="4"/>
  <c r="H100" i="15"/>
  <c r="H43" i="15"/>
  <c r="H42" i="15"/>
  <c r="H39" i="14"/>
  <c r="H40" i="14"/>
  <c r="H41" i="14"/>
  <c r="H122" i="14" l="1"/>
  <c r="R37" i="19"/>
  <c r="V8" i="4"/>
  <c r="H86" i="14"/>
  <c r="H42" i="14"/>
  <c r="H189" i="15"/>
  <c r="H87" i="14"/>
  <c r="H43" i="14"/>
  <c r="S37" i="19" l="1"/>
  <c r="W8" i="4"/>
  <c r="T37" i="19" l="1"/>
  <c r="X8" i="4"/>
  <c r="U37" i="19" l="1"/>
  <c r="E40" i="21" s="1"/>
  <c r="H126" i="14"/>
  <c r="H77" i="14"/>
  <c r="H95" i="15"/>
  <c r="H125" i="14"/>
  <c r="H94" i="15"/>
  <c r="H127" i="14"/>
  <c r="H96" i="15"/>
  <c r="H78" i="14"/>
  <c r="H78" i="15"/>
  <c r="H38" i="14" l="1"/>
  <c r="H99" i="15" l="1"/>
  <c r="H92" i="15"/>
  <c r="H150" i="15"/>
  <c r="H76" i="14"/>
  <c r="H145" i="15" l="1"/>
  <c r="H268" i="15"/>
  <c r="H188" i="15"/>
  <c r="H119" i="14"/>
  <c r="H123" i="10"/>
  <c r="H184" i="15"/>
  <c r="H73" i="7"/>
  <c r="H30" i="10"/>
  <c r="H27" i="12"/>
  <c r="H270" i="15"/>
  <c r="H139" i="15"/>
  <c r="H55" i="11"/>
  <c r="H46" i="14"/>
  <c r="H225" i="15"/>
  <c r="H82" i="15"/>
  <c r="H91" i="10"/>
  <c r="H73" i="14"/>
  <c r="H74" i="4"/>
  <c r="H25" i="14"/>
  <c r="H93" i="15"/>
  <c r="H84" i="14"/>
  <c r="H149" i="15"/>
  <c r="H44" i="14"/>
  <c r="H130" i="10"/>
  <c r="H118" i="14"/>
  <c r="H65" i="10"/>
  <c r="H64" i="10"/>
  <c r="H31" i="14"/>
  <c r="H32" i="14"/>
  <c r="H33" i="14"/>
  <c r="H35" i="14"/>
  <c r="H78" i="7" l="1"/>
  <c r="H60" i="11"/>
  <c r="H230" i="15"/>
  <c r="H85" i="15"/>
  <c r="H144" i="15"/>
  <c r="H139" i="10"/>
  <c r="H53" i="14"/>
  <c r="H57" i="4"/>
  <c r="H93" i="14"/>
  <c r="H108" i="11"/>
  <c r="C107" i="11" s="1"/>
  <c r="H199" i="15"/>
  <c r="H106" i="15"/>
  <c r="H32" i="11"/>
  <c r="H67" i="11"/>
  <c r="H65" i="12"/>
  <c r="H283" i="15"/>
  <c r="H103" i="10"/>
  <c r="H35" i="4"/>
  <c r="H133" i="14"/>
  <c r="H52" i="15"/>
  <c r="H42" i="10"/>
  <c r="H80" i="4"/>
  <c r="H158" i="15"/>
  <c r="H34" i="12"/>
  <c r="H89" i="7"/>
  <c r="H243" i="15"/>
  <c r="H71" i="10"/>
  <c r="H38" i="3"/>
  <c r="H47" i="7"/>
  <c r="H135" i="10"/>
  <c r="H90" i="14"/>
  <c r="H50" i="14"/>
  <c r="H49" i="14"/>
  <c r="H67" i="10"/>
  <c r="H38" i="10"/>
  <c r="H129" i="14"/>
  <c r="H99" i="10"/>
  <c r="H130" i="14"/>
  <c r="H76" i="4"/>
  <c r="H36" i="7"/>
  <c r="H124" i="10"/>
  <c r="H83" i="15"/>
  <c r="H92" i="10"/>
  <c r="H140" i="15"/>
  <c r="H74" i="7"/>
  <c r="H47" i="14"/>
  <c r="H28" i="12"/>
  <c r="H185" i="15"/>
  <c r="H31" i="10"/>
  <c r="H56" i="11"/>
  <c r="H59" i="12"/>
  <c r="H58" i="12" s="1"/>
  <c r="H226" i="15"/>
  <c r="H271" i="15"/>
  <c r="H136" i="10"/>
  <c r="H240" i="15"/>
  <c r="H77" i="4"/>
  <c r="H103" i="15"/>
  <c r="H44" i="7"/>
  <c r="H49" i="15"/>
  <c r="H81" i="3"/>
  <c r="H196" i="15"/>
  <c r="H89" i="14"/>
  <c r="H35" i="3"/>
  <c r="H39" i="10"/>
  <c r="H54" i="4"/>
  <c r="H68" i="10"/>
  <c r="H100" i="10"/>
  <c r="H31" i="4"/>
  <c r="H280" i="15"/>
  <c r="H105" i="11"/>
  <c r="H155" i="15"/>
  <c r="H32" i="7"/>
  <c r="H83" i="7"/>
  <c r="H269" i="15"/>
  <c r="H82" i="14"/>
  <c r="H62" i="11"/>
  <c r="H63" i="11"/>
  <c r="H61" i="12"/>
  <c r="H31" i="12"/>
  <c r="H62" i="12"/>
  <c r="H30" i="12"/>
  <c r="H126" i="10"/>
  <c r="H228" i="15"/>
  <c r="H33" i="10"/>
  <c r="H76" i="7"/>
  <c r="H94" i="10"/>
  <c r="H187" i="15"/>
  <c r="H81" i="15"/>
  <c r="H273" i="15"/>
  <c r="H58" i="11"/>
  <c r="H142" i="15"/>
  <c r="H45" i="14"/>
  <c r="H118" i="10"/>
  <c r="H172" i="15"/>
  <c r="H27" i="15"/>
  <c r="H56" i="3"/>
  <c r="H49" i="4"/>
  <c r="H72" i="15"/>
  <c r="H86" i="10"/>
  <c r="H57" i="10"/>
  <c r="H21" i="12"/>
  <c r="H100" i="4"/>
  <c r="H23" i="14"/>
  <c r="H77" i="3"/>
  <c r="H261" i="15"/>
  <c r="H23" i="11"/>
  <c r="H67" i="7"/>
  <c r="H25" i="4"/>
  <c r="H218" i="15"/>
  <c r="H71" i="14"/>
  <c r="H24" i="10"/>
  <c r="H26" i="7"/>
  <c r="H47" i="11"/>
  <c r="H126" i="15"/>
  <c r="H26" i="3"/>
  <c r="H72" i="4"/>
  <c r="H111" i="14"/>
  <c r="H75" i="14"/>
  <c r="H224" i="15"/>
  <c r="H102" i="15"/>
  <c r="H80" i="3"/>
  <c r="H154" i="15"/>
  <c r="H48" i="15"/>
  <c r="H30" i="4"/>
  <c r="H195" i="15"/>
  <c r="H62" i="3"/>
  <c r="H82" i="3"/>
  <c r="H104" i="11"/>
  <c r="H61" i="3"/>
  <c r="H43" i="7"/>
  <c r="H103" i="4"/>
  <c r="H32" i="3"/>
  <c r="H34" i="3"/>
  <c r="H53" i="4"/>
  <c r="H129" i="10"/>
  <c r="H39" i="15"/>
  <c r="H89" i="15"/>
  <c r="H183" i="15"/>
  <c r="H83" i="14"/>
  <c r="H266" i="15"/>
  <c r="H97" i="10"/>
  <c r="H138" i="15"/>
  <c r="H117" i="14"/>
  <c r="H51" i="11"/>
  <c r="H87" i="15"/>
  <c r="H120" i="10" l="1"/>
  <c r="H91" i="15"/>
  <c r="H79" i="14"/>
  <c r="H23" i="12"/>
  <c r="H30" i="7"/>
  <c r="H71" i="4"/>
  <c r="H49" i="11"/>
  <c r="H55" i="3"/>
  <c r="H74" i="15"/>
  <c r="H26" i="14"/>
  <c r="H26" i="10"/>
  <c r="H87" i="11"/>
  <c r="H176" i="15"/>
  <c r="H76" i="3"/>
  <c r="H130" i="15"/>
  <c r="H69" i="7"/>
  <c r="H99" i="4"/>
  <c r="H134" i="15"/>
  <c r="H27" i="4"/>
  <c r="H88" i="10"/>
  <c r="H28" i="7"/>
  <c r="H51" i="4"/>
  <c r="H25" i="3"/>
  <c r="H29" i="15"/>
  <c r="H221" i="15"/>
  <c r="H59" i="10"/>
  <c r="H264" i="15"/>
  <c r="H179" i="15"/>
  <c r="H34" i="15"/>
  <c r="H113" i="14"/>
  <c r="H34" i="7"/>
  <c r="H35" i="7"/>
  <c r="H138" i="10"/>
  <c r="H52" i="14"/>
  <c r="H107" i="11"/>
  <c r="H103" i="11" s="1"/>
  <c r="H96" i="11" s="1"/>
  <c r="H95" i="11" s="1"/>
  <c r="H94" i="11" s="1"/>
  <c r="H93" i="11" s="1"/>
  <c r="H92" i="11" s="1"/>
  <c r="H91" i="11" s="1"/>
  <c r="H92" i="14"/>
  <c r="H33" i="12"/>
  <c r="H34" i="4"/>
  <c r="H88" i="7"/>
  <c r="H66" i="11"/>
  <c r="H41" i="10"/>
  <c r="H46" i="7"/>
  <c r="H70" i="10"/>
  <c r="H31" i="11"/>
  <c r="H79" i="4"/>
  <c r="H64" i="12"/>
  <c r="H56" i="4"/>
  <c r="H102" i="10"/>
  <c r="H132" i="14"/>
  <c r="H37" i="3"/>
  <c r="H29" i="14"/>
  <c r="H37" i="15"/>
  <c r="H128" i="10"/>
  <c r="H137" i="15"/>
  <c r="H116" i="14"/>
  <c r="H182" i="15"/>
  <c r="H267" i="15"/>
  <c r="H38" i="15"/>
  <c r="H88" i="15"/>
  <c r="H33" i="7"/>
  <c r="H96" i="10"/>
  <c r="H122" i="10"/>
  <c r="H72" i="7"/>
  <c r="H31" i="3"/>
  <c r="H263" i="15"/>
  <c r="H89" i="11"/>
  <c r="H175" i="15"/>
  <c r="H220" i="15"/>
  <c r="H27" i="11"/>
  <c r="H81" i="14"/>
  <c r="H115" i="14"/>
  <c r="H52" i="11"/>
  <c r="H129" i="15"/>
  <c r="H90" i="10"/>
  <c r="H86" i="15"/>
  <c r="H133" i="15"/>
  <c r="H36" i="15"/>
  <c r="H119" i="10"/>
  <c r="H262" i="15"/>
  <c r="H26" i="4"/>
  <c r="H87" i="10"/>
  <c r="H27" i="3"/>
  <c r="H58" i="10"/>
  <c r="H22" i="12"/>
  <c r="H112" i="14"/>
  <c r="H28" i="15"/>
  <c r="H68" i="7"/>
  <c r="H78" i="3"/>
  <c r="H25" i="10"/>
  <c r="H73" i="4"/>
  <c r="H24" i="14"/>
  <c r="H219" i="15"/>
  <c r="H72" i="14"/>
  <c r="H127" i="15"/>
  <c r="H48" i="11"/>
  <c r="H173" i="15"/>
  <c r="H73" i="15"/>
  <c r="H27" i="7"/>
  <c r="H57" i="3"/>
  <c r="H50" i="4"/>
  <c r="H101" i="4"/>
  <c r="H30" i="14"/>
  <c r="H59" i="4" l="1"/>
  <c r="H37" i="4"/>
  <c r="E8" i="4" s="1"/>
  <c r="H127" i="10"/>
  <c r="H180" i="15"/>
  <c r="H135" i="15"/>
  <c r="H28" i="10"/>
  <c r="H61" i="10"/>
  <c r="H53" i="11"/>
  <c r="H55" i="12"/>
  <c r="H54" i="12" s="1"/>
  <c r="H28" i="11"/>
  <c r="H44" i="15"/>
  <c r="H106" i="4"/>
  <c r="I106" i="4" s="1"/>
  <c r="H121" i="10"/>
  <c r="H27" i="14"/>
  <c r="H89" i="10"/>
  <c r="H29" i="7"/>
  <c r="H53" i="7" s="1"/>
  <c r="H114" i="14"/>
  <c r="H138" i="14" s="1"/>
  <c r="H60" i="10"/>
  <c r="H222" i="15"/>
  <c r="H245" i="15" s="1"/>
  <c r="H50" i="11"/>
  <c r="H265" i="15"/>
  <c r="H286" i="15" s="1"/>
  <c r="F13" i="15" s="1"/>
  <c r="H75" i="15"/>
  <c r="H177" i="15"/>
  <c r="H80" i="14"/>
  <c r="H97" i="14" s="1"/>
  <c r="F9" i="14" s="1"/>
  <c r="H52" i="12"/>
  <c r="H51" i="12" s="1"/>
  <c r="H50" i="12" s="1"/>
  <c r="H49" i="12" s="1"/>
  <c r="H86" i="11"/>
  <c r="H85" i="11" s="1"/>
  <c r="H70" i="7"/>
  <c r="H88" i="11"/>
  <c r="H131" i="15"/>
  <c r="H30" i="15"/>
  <c r="H55" i="15" s="1"/>
  <c r="H27" i="10"/>
  <c r="H26" i="11"/>
  <c r="H25" i="11" s="1"/>
  <c r="H24" i="11" s="1"/>
  <c r="H24" i="12"/>
  <c r="H37" i="12" s="1"/>
  <c r="H84" i="3"/>
  <c r="H82" i="4"/>
  <c r="I82" i="4" s="1"/>
  <c r="E11" i="4" s="1"/>
  <c r="H73" i="11" l="1"/>
  <c r="H74" i="11"/>
  <c r="G9" i="11" s="1"/>
  <c r="H54" i="15"/>
  <c r="K8" i="15" s="1"/>
  <c r="H201" i="15"/>
  <c r="P11" i="15" s="1"/>
  <c r="H34" i="11"/>
  <c r="I34" i="11" s="1"/>
  <c r="E8" i="11" s="1"/>
  <c r="E11" i="11" s="1"/>
  <c r="Y11" i="4"/>
  <c r="B40" i="19"/>
  <c r="C43" i="21" s="1"/>
  <c r="F43" i="21" s="1"/>
  <c r="Y8" i="4"/>
  <c r="G119" i="16" s="1"/>
  <c r="B37" i="19"/>
  <c r="C40" i="21" s="1"/>
  <c r="F40" i="21" s="1"/>
  <c r="F8" i="12"/>
  <c r="C22" i="19" s="1"/>
  <c r="I37" i="12"/>
  <c r="E8" i="12" s="1"/>
  <c r="B22" i="19" s="1"/>
  <c r="I138" i="14"/>
  <c r="E10" i="14" s="1"/>
  <c r="F10" i="14"/>
  <c r="H74" i="10"/>
  <c r="H202" i="15"/>
  <c r="F11" i="15" s="1"/>
  <c r="C14" i="19" s="1"/>
  <c r="H60" i="4"/>
  <c r="I59" i="4"/>
  <c r="F9" i="4"/>
  <c r="F10" i="3"/>
  <c r="F9" i="3"/>
  <c r="I84" i="3"/>
  <c r="E10" i="3" s="1"/>
  <c r="H52" i="7"/>
  <c r="H142" i="10"/>
  <c r="H246" i="15"/>
  <c r="H67" i="12"/>
  <c r="H95" i="14"/>
  <c r="I95" i="14" s="1"/>
  <c r="E9" i="14" s="1"/>
  <c r="H143" i="10"/>
  <c r="F11" i="10" s="1"/>
  <c r="H44" i="10"/>
  <c r="H139" i="14"/>
  <c r="I10" i="14" s="1"/>
  <c r="F8" i="7"/>
  <c r="C30" i="19" s="1"/>
  <c r="C8" i="19"/>
  <c r="G9" i="14"/>
  <c r="H58" i="3"/>
  <c r="H95" i="10"/>
  <c r="H106" i="10" s="1"/>
  <c r="I106" i="10" s="1"/>
  <c r="E10" i="10" s="1"/>
  <c r="H29" i="3"/>
  <c r="H43" i="3" s="1"/>
  <c r="H84" i="7"/>
  <c r="H91" i="7" s="1"/>
  <c r="H76" i="15"/>
  <c r="H109" i="15" s="1"/>
  <c r="H110" i="15" s="1"/>
  <c r="H34" i="14"/>
  <c r="H57" i="14" s="1"/>
  <c r="H160" i="15"/>
  <c r="H161" i="15"/>
  <c r="G10" i="15" s="1"/>
  <c r="C16" i="19"/>
  <c r="G13" i="15"/>
  <c r="H285" i="15"/>
  <c r="H111" i="11"/>
  <c r="G10" i="11" s="1"/>
  <c r="H110" i="11"/>
  <c r="H247" i="15"/>
  <c r="F12" i="15" s="1"/>
  <c r="V40" i="19" l="1"/>
  <c r="B43" i="21" s="1"/>
  <c r="B42" i="22" s="1"/>
  <c r="G42" i="22" s="1"/>
  <c r="G131" i="16"/>
  <c r="B35" i="19"/>
  <c r="G9" i="3"/>
  <c r="D34" i="19" s="1"/>
  <c r="C34" i="19"/>
  <c r="G10" i="3"/>
  <c r="D35" i="19" s="1"/>
  <c r="C35" i="19"/>
  <c r="H108" i="15"/>
  <c r="W9" i="15" s="1"/>
  <c r="T12" i="19" s="1"/>
  <c r="I54" i="15"/>
  <c r="E8" i="15" s="1"/>
  <c r="B11" i="19" s="1"/>
  <c r="H203" i="15"/>
  <c r="K11" i="15" s="1"/>
  <c r="I201" i="15"/>
  <c r="E11" i="15" s="1"/>
  <c r="P8" i="15"/>
  <c r="Q8" i="15" s="1"/>
  <c r="F8" i="11"/>
  <c r="G8" i="11" s="1"/>
  <c r="L8" i="15"/>
  <c r="R8" i="15"/>
  <c r="S8" i="15" s="1"/>
  <c r="T8" i="15" s="1"/>
  <c r="Q11" i="19" s="1"/>
  <c r="F8" i="15"/>
  <c r="C11" i="19" s="1"/>
  <c r="P9" i="14"/>
  <c r="M8" i="19" s="1"/>
  <c r="I91" i="7"/>
  <c r="G9" i="7"/>
  <c r="H75" i="10"/>
  <c r="F9" i="10" s="1"/>
  <c r="P9" i="10"/>
  <c r="Q9" i="10" s="1"/>
  <c r="I74" i="10"/>
  <c r="E9" i="10" s="1"/>
  <c r="B26" i="19" s="1"/>
  <c r="I160" i="15"/>
  <c r="F10" i="15" s="1"/>
  <c r="C13" i="19" s="1"/>
  <c r="Q10" i="15"/>
  <c r="G11" i="15"/>
  <c r="D14" i="19" s="1"/>
  <c r="C38" i="19"/>
  <c r="C36" i="19" s="1"/>
  <c r="F7" i="4"/>
  <c r="F12" i="4"/>
  <c r="K11" i="10"/>
  <c r="I142" i="10"/>
  <c r="E11" i="10" s="1"/>
  <c r="V37" i="19"/>
  <c r="B40" i="21" s="1"/>
  <c r="B39" i="22" s="1"/>
  <c r="F39" i="22" s="1"/>
  <c r="P8" i="7"/>
  <c r="M30" i="19" s="1"/>
  <c r="I52" i="7"/>
  <c r="E8" i="7" s="1"/>
  <c r="B30" i="19" s="1"/>
  <c r="H96" i="14"/>
  <c r="F9" i="12"/>
  <c r="G9" i="12" s="1"/>
  <c r="I67" i="12"/>
  <c r="E9" i="12" s="1"/>
  <c r="E7" i="12" s="1"/>
  <c r="I246" i="15"/>
  <c r="E12" i="15" s="1"/>
  <c r="B15" i="19" s="1"/>
  <c r="P12" i="15"/>
  <c r="Q12" i="15" s="1"/>
  <c r="O10" i="11"/>
  <c r="I110" i="11"/>
  <c r="F10" i="11" s="1"/>
  <c r="C20" i="19" s="1"/>
  <c r="I285" i="15"/>
  <c r="E13" i="15" s="1"/>
  <c r="B16" i="19" s="1"/>
  <c r="P13" i="15"/>
  <c r="I44" i="10"/>
  <c r="E8" i="10" s="1"/>
  <c r="B25" i="19" s="1"/>
  <c r="F8" i="10"/>
  <c r="C25" i="19" s="1"/>
  <c r="P9" i="11"/>
  <c r="M19" i="19" s="1"/>
  <c r="I73" i="11"/>
  <c r="F9" i="11" s="1"/>
  <c r="C19" i="19" s="1"/>
  <c r="G9" i="4"/>
  <c r="E10" i="4"/>
  <c r="E9" i="4"/>
  <c r="I43" i="3"/>
  <c r="E8" i="3" s="1"/>
  <c r="I8" i="3"/>
  <c r="F33" i="19" s="1"/>
  <c r="C28" i="19"/>
  <c r="G11" i="10"/>
  <c r="B19" i="19"/>
  <c r="Q10" i="11"/>
  <c r="P10" i="11"/>
  <c r="M20" i="19" s="1"/>
  <c r="H9" i="11"/>
  <c r="D19" i="19"/>
  <c r="H92" i="7"/>
  <c r="B18" i="19"/>
  <c r="G8" i="7"/>
  <c r="D30" i="19" s="1"/>
  <c r="B13" i="19"/>
  <c r="B9" i="19"/>
  <c r="G8" i="12"/>
  <c r="D22" i="19" s="1"/>
  <c r="G12" i="15"/>
  <c r="C15" i="19"/>
  <c r="G10" i="14"/>
  <c r="C9" i="19"/>
  <c r="B78" i="10"/>
  <c r="B48" i="10" s="1"/>
  <c r="B15" i="10" s="1"/>
  <c r="F10" i="10"/>
  <c r="K10" i="10"/>
  <c r="B27" i="19"/>
  <c r="H56" i="14"/>
  <c r="I56" i="14" s="1"/>
  <c r="E8" i="14" s="1"/>
  <c r="H64" i="3"/>
  <c r="I64" i="3" s="1"/>
  <c r="E9" i="3" s="1"/>
  <c r="F8" i="14"/>
  <c r="K8" i="14"/>
  <c r="J8" i="14"/>
  <c r="F9" i="19"/>
  <c r="J10" i="14"/>
  <c r="B8" i="19"/>
  <c r="H13" i="15"/>
  <c r="D16" i="19"/>
  <c r="H9" i="14"/>
  <c r="D8" i="19"/>
  <c r="H10" i="3" l="1"/>
  <c r="H11" i="3" s="1"/>
  <c r="G11" i="3"/>
  <c r="J9" i="3"/>
  <c r="G34" i="19" s="1"/>
  <c r="G7" i="3"/>
  <c r="D32" i="19" s="1"/>
  <c r="H42" i="22"/>
  <c r="F42" i="22"/>
  <c r="M42" i="22" s="1"/>
  <c r="G39" i="22"/>
  <c r="E7" i="3"/>
  <c r="H39" i="22"/>
  <c r="O9" i="15"/>
  <c r="L12" i="19" s="1"/>
  <c r="B23" i="19"/>
  <c r="B21" i="19" s="1"/>
  <c r="V9" i="15"/>
  <c r="S12" i="19" s="1"/>
  <c r="S9" i="15"/>
  <c r="P12" i="19" s="1"/>
  <c r="X9" i="15"/>
  <c r="U12" i="19" s="1"/>
  <c r="P9" i="15"/>
  <c r="M12" i="19" s="1"/>
  <c r="R9" i="15"/>
  <c r="O12" i="19" s="1"/>
  <c r="U9" i="15"/>
  <c r="R12" i="19" s="1"/>
  <c r="Q9" i="15"/>
  <c r="N12" i="19" s="1"/>
  <c r="T9" i="15"/>
  <c r="Q12" i="19" s="1"/>
  <c r="I108" i="15"/>
  <c r="O11" i="19"/>
  <c r="Q9" i="14"/>
  <c r="N8" i="19" s="1"/>
  <c r="H11" i="19"/>
  <c r="E10" i="12"/>
  <c r="M11" i="19"/>
  <c r="C18" i="19"/>
  <c r="C17" i="19" s="1"/>
  <c r="G8" i="15"/>
  <c r="H8" i="15" s="1"/>
  <c r="M26" i="19"/>
  <c r="Q9" i="11"/>
  <c r="R9" i="11" s="1"/>
  <c r="O19" i="19" s="1"/>
  <c r="E7" i="7"/>
  <c r="B31" i="19"/>
  <c r="B29" i="19" s="1"/>
  <c r="F9" i="7"/>
  <c r="F7" i="7" s="1"/>
  <c r="O39" i="22"/>
  <c r="M39" i="22"/>
  <c r="P39" i="22"/>
  <c r="N39" i="22"/>
  <c r="H11" i="15"/>
  <c r="E14" i="19" s="1"/>
  <c r="F7" i="11"/>
  <c r="D38" i="19"/>
  <c r="D36" i="19" s="1"/>
  <c r="G12" i="4"/>
  <c r="G7" i="4"/>
  <c r="E7" i="14"/>
  <c r="M15" i="19"/>
  <c r="Q8" i="7"/>
  <c r="N30" i="19" s="1"/>
  <c r="G10" i="7"/>
  <c r="B38" i="19"/>
  <c r="E7" i="4"/>
  <c r="E12" i="4"/>
  <c r="G8" i="10"/>
  <c r="H8" i="10" s="1"/>
  <c r="F11" i="11"/>
  <c r="Y10" i="4"/>
  <c r="B39" i="19"/>
  <c r="C42" i="21" s="1"/>
  <c r="F42" i="21" s="1"/>
  <c r="H9" i="4"/>
  <c r="H65" i="3"/>
  <c r="M8" i="3"/>
  <c r="J33" i="19" s="1"/>
  <c r="F10" i="12"/>
  <c r="F7" i="12"/>
  <c r="C23" i="19"/>
  <c r="C21" i="19" s="1"/>
  <c r="G9" i="15"/>
  <c r="H9" i="15" s="1"/>
  <c r="E7" i="15"/>
  <c r="E14" i="15"/>
  <c r="E10" i="7"/>
  <c r="E12" i="10"/>
  <c r="R9" i="10"/>
  <c r="N26" i="19"/>
  <c r="D28" i="19"/>
  <c r="H11" i="10"/>
  <c r="D20" i="19"/>
  <c r="H10" i="11"/>
  <c r="B20" i="19"/>
  <c r="B17" i="19" s="1"/>
  <c r="G9" i="10"/>
  <c r="C26" i="19"/>
  <c r="L20" i="19"/>
  <c r="E7" i="10"/>
  <c r="D18" i="19"/>
  <c r="G7" i="11"/>
  <c r="B28" i="19"/>
  <c r="E19" i="19"/>
  <c r="C22" i="21" s="1"/>
  <c r="I9" i="11"/>
  <c r="G10" i="10"/>
  <c r="C27" i="19"/>
  <c r="H28" i="19"/>
  <c r="L11" i="10"/>
  <c r="F7" i="10"/>
  <c r="R10" i="11"/>
  <c r="O20" i="19" s="1"/>
  <c r="S10" i="11"/>
  <c r="N20" i="19"/>
  <c r="E7" i="11"/>
  <c r="F12" i="10"/>
  <c r="L10" i="10"/>
  <c r="H27" i="19"/>
  <c r="H9" i="12"/>
  <c r="D23" i="19"/>
  <c r="D21" i="19" s="1"/>
  <c r="H8" i="11"/>
  <c r="G11" i="11"/>
  <c r="B33" i="19"/>
  <c r="C36" i="21" s="1"/>
  <c r="E11" i="3"/>
  <c r="B34" i="19"/>
  <c r="C37" i="21" s="1"/>
  <c r="F7" i="3"/>
  <c r="C32" i="19" s="1"/>
  <c r="D15" i="19"/>
  <c r="H12" i="15"/>
  <c r="H10" i="14"/>
  <c r="D9" i="19"/>
  <c r="G7" i="12"/>
  <c r="H8" i="12"/>
  <c r="E22" i="19" s="1"/>
  <c r="C25" i="21" s="1"/>
  <c r="G10" i="12"/>
  <c r="H8" i="7"/>
  <c r="E30" i="19" s="1"/>
  <c r="C33" i="21" s="1"/>
  <c r="I13" i="15"/>
  <c r="E16" i="19"/>
  <c r="C19" i="21" s="1"/>
  <c r="H10" i="15"/>
  <c r="D13" i="19"/>
  <c r="N11" i="19"/>
  <c r="G9" i="19"/>
  <c r="K10" i="14"/>
  <c r="L11" i="15"/>
  <c r="H14" i="19"/>
  <c r="M16" i="19"/>
  <c r="Q13" i="15"/>
  <c r="P8" i="14"/>
  <c r="I9" i="14"/>
  <c r="E8" i="19"/>
  <c r="C11" i="21" s="1"/>
  <c r="G7" i="19"/>
  <c r="B12" i="19"/>
  <c r="Q11" i="15"/>
  <c r="M14" i="19"/>
  <c r="P11" i="19"/>
  <c r="U8" i="15"/>
  <c r="H7" i="19"/>
  <c r="L8" i="14"/>
  <c r="B14" i="19"/>
  <c r="C7" i="19"/>
  <c r="C6" i="19" s="1"/>
  <c r="F7" i="14"/>
  <c r="G8" i="14"/>
  <c r="F11" i="14"/>
  <c r="M8" i="15"/>
  <c r="I11" i="19"/>
  <c r="N15" i="19"/>
  <c r="R12" i="15"/>
  <c r="N42" i="22" l="1"/>
  <c r="O42" i="22"/>
  <c r="P42" i="22"/>
  <c r="E35" i="19"/>
  <c r="C38" i="21" s="1"/>
  <c r="I10" i="3"/>
  <c r="H7" i="3"/>
  <c r="E32" i="19" s="1"/>
  <c r="J11" i="3"/>
  <c r="M9" i="3"/>
  <c r="J34" i="19" s="1"/>
  <c r="J7" i="3"/>
  <c r="G32" i="19" s="1"/>
  <c r="V39" i="19"/>
  <c r="B42" i="21" s="1"/>
  <c r="B41" i="22" s="1"/>
  <c r="G41" i="22" s="1"/>
  <c r="G127" i="16"/>
  <c r="F9" i="15"/>
  <c r="F14" i="15" s="1"/>
  <c r="E15" i="21"/>
  <c r="R9" i="14"/>
  <c r="S9" i="14" s="1"/>
  <c r="D11" i="19"/>
  <c r="C31" i="19"/>
  <c r="C29" i="19" s="1"/>
  <c r="N19" i="19"/>
  <c r="S9" i="11"/>
  <c r="P19" i="19" s="1"/>
  <c r="Q7" i="15"/>
  <c r="B24" i="19"/>
  <c r="R8" i="7"/>
  <c r="O30" i="19" s="1"/>
  <c r="I11" i="15"/>
  <c r="J11" i="15" s="1"/>
  <c r="G14" i="19" s="1"/>
  <c r="F10" i="7"/>
  <c r="C17" i="21"/>
  <c r="D25" i="19"/>
  <c r="C24" i="19"/>
  <c r="H9" i="7"/>
  <c r="H7" i="7" s="1"/>
  <c r="D31" i="19"/>
  <c r="D29" i="19" s="1"/>
  <c r="G7" i="7"/>
  <c r="B36" i="19"/>
  <c r="Q14" i="15"/>
  <c r="E38" i="19"/>
  <c r="E36" i="19" s="1"/>
  <c r="H7" i="4"/>
  <c r="H12" i="4"/>
  <c r="I9" i="4"/>
  <c r="Q8" i="3"/>
  <c r="N33" i="19" s="1"/>
  <c r="D36" i="21"/>
  <c r="G7" i="10"/>
  <c r="D17" i="19"/>
  <c r="G7" i="15"/>
  <c r="H7" i="15"/>
  <c r="H14" i="15"/>
  <c r="G14" i="15"/>
  <c r="B10" i="19"/>
  <c r="E18" i="19"/>
  <c r="C21" i="21" s="1"/>
  <c r="H7" i="11"/>
  <c r="T10" i="11"/>
  <c r="P20" i="19"/>
  <c r="E25" i="19"/>
  <c r="H10" i="10"/>
  <c r="D27" i="19"/>
  <c r="F19" i="19"/>
  <c r="J9" i="11"/>
  <c r="I10" i="11"/>
  <c r="E20" i="19"/>
  <c r="C23" i="21" s="1"/>
  <c r="E28" i="19"/>
  <c r="C31" i="21" s="1"/>
  <c r="I11" i="10"/>
  <c r="G12" i="10"/>
  <c r="I28" i="19"/>
  <c r="M11" i="10"/>
  <c r="H9" i="10"/>
  <c r="D26" i="19"/>
  <c r="M10" i="10"/>
  <c r="I27" i="19"/>
  <c r="S9" i="10"/>
  <c r="O26" i="19"/>
  <c r="I9" i="12"/>
  <c r="E23" i="19"/>
  <c r="E21" i="19" s="1"/>
  <c r="C24" i="21" s="1"/>
  <c r="I8" i="11"/>
  <c r="H11" i="11"/>
  <c r="G7" i="14"/>
  <c r="H8" i="14"/>
  <c r="D7" i="19"/>
  <c r="D6" i="19" s="1"/>
  <c r="G11" i="14"/>
  <c r="I7" i="19"/>
  <c r="M8" i="14"/>
  <c r="I10" i="15"/>
  <c r="E13" i="19"/>
  <c r="C16" i="21" s="1"/>
  <c r="R13" i="15"/>
  <c r="N16" i="19"/>
  <c r="M9" i="15"/>
  <c r="J12" i="19" s="1"/>
  <c r="N9" i="15"/>
  <c r="K12" i="19" s="1"/>
  <c r="L9" i="15"/>
  <c r="K9" i="15"/>
  <c r="J13" i="15"/>
  <c r="F16" i="19"/>
  <c r="E11" i="19"/>
  <c r="I8" i="15"/>
  <c r="E9" i="19"/>
  <c r="C12" i="21" s="1"/>
  <c r="R10" i="14"/>
  <c r="Q10" i="14"/>
  <c r="N9" i="19" s="1"/>
  <c r="B32" i="19"/>
  <c r="N14" i="19"/>
  <c r="R11" i="15"/>
  <c r="R11" i="19"/>
  <c r="V8" i="15"/>
  <c r="H9" i="19"/>
  <c r="L10" i="14"/>
  <c r="I8" i="7"/>
  <c r="F30" i="19" s="1"/>
  <c r="F11" i="3"/>
  <c r="E11" i="14"/>
  <c r="B7" i="19"/>
  <c r="J11" i="19"/>
  <c r="N8" i="15"/>
  <c r="F8" i="19"/>
  <c r="J9" i="14"/>
  <c r="I8" i="10"/>
  <c r="I12" i="15"/>
  <c r="E15" i="19"/>
  <c r="C18" i="21" s="1"/>
  <c r="S12" i="15"/>
  <c r="O15" i="19"/>
  <c r="N13" i="19"/>
  <c r="R10" i="15"/>
  <c r="M7" i="19"/>
  <c r="Q8" i="14"/>
  <c r="M11" i="15"/>
  <c r="I14" i="19"/>
  <c r="I8" i="12"/>
  <c r="F22" i="19" s="1"/>
  <c r="H10" i="12"/>
  <c r="H7" i="12"/>
  <c r="P9" i="3" l="1"/>
  <c r="S9" i="3" s="1"/>
  <c r="P34" i="19" s="1"/>
  <c r="F41" i="22"/>
  <c r="P41" i="22" s="1"/>
  <c r="H41" i="22"/>
  <c r="C35" i="21"/>
  <c r="F35" i="19"/>
  <c r="I7" i="3"/>
  <c r="F32" i="19" s="1"/>
  <c r="K10" i="3"/>
  <c r="K7" i="3" s="1"/>
  <c r="I11" i="3"/>
  <c r="F7" i="15"/>
  <c r="M34" i="19"/>
  <c r="D37" i="21" s="1"/>
  <c r="C12" i="19"/>
  <c r="C10" i="19" s="1"/>
  <c r="C41" i="19" s="1"/>
  <c r="O8" i="19"/>
  <c r="T9" i="11"/>
  <c r="U9" i="11" s="1"/>
  <c r="C14" i="21"/>
  <c r="S8" i="7"/>
  <c r="P30" i="19" s="1"/>
  <c r="F14" i="19"/>
  <c r="C28" i="21"/>
  <c r="C26" i="21"/>
  <c r="C39" i="21"/>
  <c r="B6" i="19"/>
  <c r="C41" i="21"/>
  <c r="D24" i="19"/>
  <c r="F38" i="19"/>
  <c r="I7" i="4"/>
  <c r="I12" i="4"/>
  <c r="H12" i="10"/>
  <c r="I9" i="7"/>
  <c r="E31" i="19"/>
  <c r="E29" i="19" s="1"/>
  <c r="C32" i="21" s="1"/>
  <c r="R14" i="15"/>
  <c r="R7" i="15"/>
  <c r="H10" i="7"/>
  <c r="J9" i="4"/>
  <c r="U8" i="3"/>
  <c r="I7" i="11"/>
  <c r="F18" i="19"/>
  <c r="F25" i="19"/>
  <c r="N10" i="19"/>
  <c r="I9" i="10"/>
  <c r="E26" i="19"/>
  <c r="C29" i="21" s="1"/>
  <c r="J10" i="11"/>
  <c r="F20" i="19"/>
  <c r="H7" i="10"/>
  <c r="J28" i="19"/>
  <c r="N11" i="10"/>
  <c r="T9" i="10"/>
  <c r="P26" i="19"/>
  <c r="G19" i="19"/>
  <c r="K9" i="11"/>
  <c r="U10" i="11"/>
  <c r="Q20" i="19"/>
  <c r="F28" i="19"/>
  <c r="J11" i="10"/>
  <c r="I10" i="10"/>
  <c r="E27" i="19"/>
  <c r="C30" i="21" s="1"/>
  <c r="N10" i="10"/>
  <c r="J27" i="19"/>
  <c r="E17" i="19"/>
  <c r="C20" i="21" s="1"/>
  <c r="J9" i="12"/>
  <c r="F23" i="19"/>
  <c r="J8" i="11"/>
  <c r="I11" i="11"/>
  <c r="N11" i="15"/>
  <c r="J14" i="19"/>
  <c r="D12" i="19"/>
  <c r="D10" i="19" s="1"/>
  <c r="J9" i="15"/>
  <c r="G12" i="19" s="1"/>
  <c r="I9" i="15"/>
  <c r="I7" i="15" s="1"/>
  <c r="O16" i="19"/>
  <c r="S13" i="15"/>
  <c r="J7" i="19"/>
  <c r="N8" i="14"/>
  <c r="S10" i="14"/>
  <c r="O9" i="19"/>
  <c r="G16" i="19"/>
  <c r="K13" i="15"/>
  <c r="T12" i="15"/>
  <c r="P15" i="19"/>
  <c r="K9" i="14"/>
  <c r="G8" i="19"/>
  <c r="G6" i="19" s="1"/>
  <c r="J11" i="14"/>
  <c r="J7" i="14"/>
  <c r="S11" i="19"/>
  <c r="W8" i="15"/>
  <c r="R8" i="14"/>
  <c r="N7" i="19"/>
  <c r="Q7" i="14"/>
  <c r="Q11" i="14"/>
  <c r="S11" i="15"/>
  <c r="O14" i="19"/>
  <c r="I12" i="19"/>
  <c r="H7" i="14"/>
  <c r="H11" i="14"/>
  <c r="E7" i="19"/>
  <c r="E6" i="19" s="1"/>
  <c r="I8" i="14"/>
  <c r="O8" i="14"/>
  <c r="O13" i="19"/>
  <c r="S10" i="15"/>
  <c r="J8" i="7"/>
  <c r="G30" i="19" s="1"/>
  <c r="F13" i="19"/>
  <c r="J10" i="15"/>
  <c r="M10" i="14"/>
  <c r="I9" i="19"/>
  <c r="F15" i="19"/>
  <c r="J12" i="15"/>
  <c r="H12" i="19"/>
  <c r="J8" i="12"/>
  <c r="G22" i="19" s="1"/>
  <c r="I10" i="12"/>
  <c r="I7" i="12"/>
  <c r="J8" i="10"/>
  <c r="K11" i="19"/>
  <c r="O8" i="15"/>
  <c r="T9" i="14"/>
  <c r="P8" i="19"/>
  <c r="F11" i="19"/>
  <c r="J8" i="15"/>
  <c r="K11" i="3" l="1"/>
  <c r="M41" i="22"/>
  <c r="O41" i="22"/>
  <c r="N41" i="22"/>
  <c r="V9" i="3"/>
  <c r="S34" i="19" s="1"/>
  <c r="H35" i="19"/>
  <c r="M10" i="3"/>
  <c r="O10" i="3"/>
  <c r="R33" i="19"/>
  <c r="E36" i="21" s="1"/>
  <c r="F36" i="21" s="1"/>
  <c r="Y8" i="3"/>
  <c r="Q19" i="19"/>
  <c r="T8" i="7"/>
  <c r="Q30" i="19" s="1"/>
  <c r="D41" i="19"/>
  <c r="I12" i="10"/>
  <c r="C10" i="21"/>
  <c r="C9" i="21"/>
  <c r="C34" i="21"/>
  <c r="F36" i="19"/>
  <c r="F21" i="19"/>
  <c r="N6" i="19"/>
  <c r="B41" i="19"/>
  <c r="J9" i="7"/>
  <c r="J10" i="7" s="1"/>
  <c r="F31" i="19"/>
  <c r="I10" i="7"/>
  <c r="I7" i="7"/>
  <c r="G38" i="19"/>
  <c r="G36" i="19" s="1"/>
  <c r="J7" i="4"/>
  <c r="J12" i="4"/>
  <c r="I14" i="15"/>
  <c r="S7" i="15"/>
  <c r="S14" i="15"/>
  <c r="K9" i="4"/>
  <c r="J7" i="15"/>
  <c r="J14" i="15"/>
  <c r="Y9" i="15"/>
  <c r="E24" i="19"/>
  <c r="C27" i="21" s="1"/>
  <c r="K28" i="19"/>
  <c r="O11" i="10"/>
  <c r="J9" i="10"/>
  <c r="F26" i="19"/>
  <c r="V9" i="11"/>
  <c r="R19" i="19"/>
  <c r="R20" i="19"/>
  <c r="V10" i="11"/>
  <c r="O10" i="10"/>
  <c r="K27" i="19"/>
  <c r="L9" i="11"/>
  <c r="H19" i="19"/>
  <c r="I7" i="10"/>
  <c r="U9" i="10"/>
  <c r="Q26" i="19"/>
  <c r="G25" i="19"/>
  <c r="J7" i="11"/>
  <c r="G18" i="19"/>
  <c r="G28" i="19"/>
  <c r="O10" i="19"/>
  <c r="J10" i="10"/>
  <c r="G27" i="19" s="1"/>
  <c r="F27" i="19"/>
  <c r="K10" i="11"/>
  <c r="G20" i="19"/>
  <c r="F17" i="19"/>
  <c r="K9" i="12"/>
  <c r="G23" i="19"/>
  <c r="G21" i="19" s="1"/>
  <c r="K8" i="11"/>
  <c r="J11" i="11"/>
  <c r="L9" i="14"/>
  <c r="H8" i="19"/>
  <c r="H6" i="19" s="1"/>
  <c r="K11" i="14"/>
  <c r="K7" i="14"/>
  <c r="K8" i="12"/>
  <c r="H22" i="19" s="1"/>
  <c r="J10" i="12"/>
  <c r="J7" i="12"/>
  <c r="N10" i="14"/>
  <c r="J9" i="19"/>
  <c r="L13" i="15"/>
  <c r="H16" i="19"/>
  <c r="K7" i="19"/>
  <c r="E12" i="19"/>
  <c r="P7" i="3"/>
  <c r="M32" i="19" s="1"/>
  <c r="P11" i="3"/>
  <c r="H32" i="19"/>
  <c r="P16" i="19"/>
  <c r="T13" i="15"/>
  <c r="L11" i="19"/>
  <c r="K10" i="15"/>
  <c r="G13" i="19"/>
  <c r="P13" i="19"/>
  <c r="T10" i="15"/>
  <c r="U10" i="15"/>
  <c r="G11" i="19"/>
  <c r="K8" i="10"/>
  <c r="O7" i="19"/>
  <c r="O6" i="19" s="1"/>
  <c r="S8" i="14"/>
  <c r="R11" i="14"/>
  <c r="R7" i="14"/>
  <c r="T10" i="14"/>
  <c r="P9" i="19"/>
  <c r="O11" i="15"/>
  <c r="K14" i="19"/>
  <c r="T11" i="19"/>
  <c r="X8" i="15"/>
  <c r="K12" i="15"/>
  <c r="G15" i="19"/>
  <c r="L7" i="19"/>
  <c r="U9" i="14"/>
  <c r="Q8" i="19"/>
  <c r="F12" i="19"/>
  <c r="K8" i="7"/>
  <c r="H30" i="19" s="1"/>
  <c r="F7" i="19"/>
  <c r="I11" i="14"/>
  <c r="I7" i="14"/>
  <c r="P14" i="19"/>
  <c r="T11" i="15"/>
  <c r="U12" i="15"/>
  <c r="Q15" i="19"/>
  <c r="V11" i="3" l="1"/>
  <c r="X9" i="3"/>
  <c r="X7" i="3" s="1"/>
  <c r="U32" i="19" s="1"/>
  <c r="V7" i="3"/>
  <c r="S32" i="19" s="1"/>
  <c r="L35" i="19"/>
  <c r="Q10" i="3"/>
  <c r="O11" i="3"/>
  <c r="O7" i="3"/>
  <c r="L32" i="19" s="1"/>
  <c r="M11" i="3"/>
  <c r="M7" i="3"/>
  <c r="J32" i="19" s="1"/>
  <c r="J35" i="19"/>
  <c r="V33" i="19"/>
  <c r="B36" i="21" s="1"/>
  <c r="B35" i="22" s="1"/>
  <c r="G35" i="22" s="1"/>
  <c r="G104" i="16"/>
  <c r="V12" i="19"/>
  <c r="B15" i="21" s="1"/>
  <c r="B14" i="22" s="1"/>
  <c r="G24" i="16"/>
  <c r="D14" i="21"/>
  <c r="U8" i="7"/>
  <c r="R30" i="19" s="1"/>
  <c r="J7" i="7"/>
  <c r="F10" i="19"/>
  <c r="D15" i="21"/>
  <c r="F6" i="19"/>
  <c r="D10" i="21"/>
  <c r="E10" i="19"/>
  <c r="C13" i="21" s="1"/>
  <c r="C15" i="21"/>
  <c r="F29" i="19"/>
  <c r="T7" i="15"/>
  <c r="T14" i="15"/>
  <c r="K7" i="15"/>
  <c r="K14" i="15"/>
  <c r="H38" i="19"/>
  <c r="K7" i="4"/>
  <c r="K12" i="4"/>
  <c r="K9" i="7"/>
  <c r="K10" i="7" s="1"/>
  <c r="G31" i="19"/>
  <c r="G29" i="19" s="1"/>
  <c r="L9" i="4"/>
  <c r="F24" i="19"/>
  <c r="V9" i="10"/>
  <c r="R26" i="19"/>
  <c r="W9" i="11"/>
  <c r="S19" i="19"/>
  <c r="H20" i="19"/>
  <c r="L10" i="11"/>
  <c r="G17" i="19"/>
  <c r="M9" i="11"/>
  <c r="I19" i="19"/>
  <c r="K9" i="10"/>
  <c r="K12" i="10" s="1"/>
  <c r="G26" i="19"/>
  <c r="G24" i="19" s="1"/>
  <c r="S20" i="19"/>
  <c r="W10" i="11"/>
  <c r="H25" i="19"/>
  <c r="J12" i="10"/>
  <c r="L28" i="19"/>
  <c r="P11" i="10"/>
  <c r="K7" i="11"/>
  <c r="H18" i="19"/>
  <c r="J7" i="10"/>
  <c r="P10" i="10"/>
  <c r="L27" i="19"/>
  <c r="L9" i="12"/>
  <c r="H23" i="19"/>
  <c r="H21" i="19" s="1"/>
  <c r="L8" i="11"/>
  <c r="K11" i="11"/>
  <c r="L10" i="15"/>
  <c r="H13" i="19"/>
  <c r="R15" i="19"/>
  <c r="V12" i="15"/>
  <c r="L14" i="19"/>
  <c r="D17" i="21" s="1"/>
  <c r="G10" i="19"/>
  <c r="L8" i="12"/>
  <c r="I22" i="19" s="1"/>
  <c r="K10" i="12"/>
  <c r="K7" i="12"/>
  <c r="Q9" i="19"/>
  <c r="U10" i="14"/>
  <c r="M13" i="15"/>
  <c r="I16" i="19"/>
  <c r="L8" i="7"/>
  <c r="I30" i="19" s="1"/>
  <c r="V10" i="15"/>
  <c r="R13" i="19"/>
  <c r="U13" i="15"/>
  <c r="Q16" i="19"/>
  <c r="H15" i="19"/>
  <c r="L12" i="15"/>
  <c r="U11" i="15"/>
  <c r="Q14" i="19"/>
  <c r="U11" i="19"/>
  <c r="E14" i="21" s="1"/>
  <c r="L8" i="10"/>
  <c r="Q13" i="19"/>
  <c r="O10" i="14"/>
  <c r="K9" i="19"/>
  <c r="V9" i="14"/>
  <c r="R8" i="19"/>
  <c r="P7" i="19"/>
  <c r="S7" i="14"/>
  <c r="S11" i="14"/>
  <c r="T8" i="14"/>
  <c r="Y8" i="15"/>
  <c r="G19" i="16" s="1"/>
  <c r="P10" i="19"/>
  <c r="M9" i="14"/>
  <c r="I8" i="19"/>
  <c r="L11" i="14"/>
  <c r="L7" i="14"/>
  <c r="Y9" i="3" l="1"/>
  <c r="X11" i="3"/>
  <c r="U34" i="19"/>
  <c r="E37" i="21" s="1"/>
  <c r="F37" i="21" s="1"/>
  <c r="D38" i="21"/>
  <c r="D35" i="21"/>
  <c r="F35" i="22"/>
  <c r="O35" i="22" s="1"/>
  <c r="H35" i="22"/>
  <c r="S10" i="3"/>
  <c r="Q7" i="3"/>
  <c r="N32" i="19" s="1"/>
  <c r="N35" i="19"/>
  <c r="Q11" i="3"/>
  <c r="G112" i="16"/>
  <c r="V34" i="19"/>
  <c r="B37" i="21" s="1"/>
  <c r="B36" i="22" s="1"/>
  <c r="H36" i="22" s="1"/>
  <c r="F14" i="21"/>
  <c r="V8" i="7"/>
  <c r="S30" i="19" s="1"/>
  <c r="U14" i="15"/>
  <c r="F15" i="21"/>
  <c r="F14" i="22" s="1"/>
  <c r="E41" i="19"/>
  <c r="C44" i="21" s="1"/>
  <c r="P6" i="19"/>
  <c r="H36" i="19"/>
  <c r="I6" i="19"/>
  <c r="F41" i="19"/>
  <c r="K7" i="7"/>
  <c r="U7" i="15"/>
  <c r="L14" i="15"/>
  <c r="L7" i="15"/>
  <c r="I38" i="19"/>
  <c r="I36" i="19" s="1"/>
  <c r="L7" i="4"/>
  <c r="L12" i="4"/>
  <c r="L9" i="7"/>
  <c r="L7" i="7" s="1"/>
  <c r="H31" i="19"/>
  <c r="M9" i="4"/>
  <c r="G41" i="19"/>
  <c r="W9" i="10"/>
  <c r="S26" i="19"/>
  <c r="L9" i="10"/>
  <c r="L7" i="10" s="1"/>
  <c r="H26" i="19"/>
  <c r="H24" i="19" s="1"/>
  <c r="I20" i="19"/>
  <c r="M10" i="11"/>
  <c r="N10" i="11" s="1"/>
  <c r="K20" i="19" s="1"/>
  <c r="I25" i="19"/>
  <c r="Q10" i="10"/>
  <c r="M27" i="19"/>
  <c r="D30" i="21" s="1"/>
  <c r="K7" i="10"/>
  <c r="L7" i="11"/>
  <c r="I18" i="19"/>
  <c r="M28" i="19"/>
  <c r="D31" i="21" s="1"/>
  <c r="Q11" i="10"/>
  <c r="N9" i="11"/>
  <c r="J19" i="19"/>
  <c r="T19" i="19"/>
  <c r="X9" i="11"/>
  <c r="U19" i="19" s="1"/>
  <c r="H17" i="19"/>
  <c r="T20" i="19"/>
  <c r="X10" i="11"/>
  <c r="U20" i="19" s="1"/>
  <c r="M9" i="12"/>
  <c r="I23" i="19"/>
  <c r="I21" i="19" s="1"/>
  <c r="M8" i="11"/>
  <c r="L11" i="11"/>
  <c r="S13" i="19"/>
  <c r="W10" i="15"/>
  <c r="Q7" i="19"/>
  <c r="Q6" i="19" s="1"/>
  <c r="T7" i="14"/>
  <c r="U8" i="14"/>
  <c r="T11" i="14"/>
  <c r="V10" i="14"/>
  <c r="R9" i="19"/>
  <c r="S15" i="19"/>
  <c r="W12" i="15"/>
  <c r="P10" i="14"/>
  <c r="L9" i="19"/>
  <c r="R16" i="19"/>
  <c r="V13" i="15"/>
  <c r="M12" i="15"/>
  <c r="I15" i="19"/>
  <c r="N13" i="15"/>
  <c r="J16" i="19"/>
  <c r="J8" i="19"/>
  <c r="J6" i="19" s="1"/>
  <c r="N9" i="14"/>
  <c r="M7" i="14"/>
  <c r="M11" i="14"/>
  <c r="V11" i="19"/>
  <c r="B14" i="21" s="1"/>
  <c r="B13" i="22" s="1"/>
  <c r="Q10" i="19"/>
  <c r="R14" i="19"/>
  <c r="V11" i="15"/>
  <c r="M8" i="12"/>
  <c r="J22" i="19" s="1"/>
  <c r="L10" i="12"/>
  <c r="L7" i="12"/>
  <c r="H10" i="19"/>
  <c r="M10" i="15"/>
  <c r="I13" i="19"/>
  <c r="W9" i="14"/>
  <c r="S8" i="19"/>
  <c r="M8" i="10"/>
  <c r="M8" i="7"/>
  <c r="J30" i="19" s="1"/>
  <c r="P35" i="22" l="1"/>
  <c r="M35" i="22"/>
  <c r="N35" i="22"/>
  <c r="P35" i="19"/>
  <c r="U10" i="3"/>
  <c r="S11" i="3"/>
  <c r="S7" i="3"/>
  <c r="P32" i="19" s="1"/>
  <c r="H13" i="22"/>
  <c r="G36" i="22"/>
  <c r="F36" i="22"/>
  <c r="P36" i="22" s="1"/>
  <c r="W8" i="7"/>
  <c r="T30" i="19" s="1"/>
  <c r="F13" i="22"/>
  <c r="P13" i="22" s="1"/>
  <c r="G13" i="22"/>
  <c r="H14" i="22"/>
  <c r="G14" i="22"/>
  <c r="E23" i="21"/>
  <c r="V14" i="15"/>
  <c r="E22" i="21"/>
  <c r="H29" i="19"/>
  <c r="O14" i="22"/>
  <c r="M14" i="22"/>
  <c r="P14" i="22"/>
  <c r="N14" i="22"/>
  <c r="V7" i="15"/>
  <c r="M9" i="7"/>
  <c r="M7" i="7" s="1"/>
  <c r="I31" i="19"/>
  <c r="I29" i="19" s="1"/>
  <c r="M7" i="15"/>
  <c r="M14" i="15"/>
  <c r="L10" i="7"/>
  <c r="J38" i="19"/>
  <c r="M12" i="4"/>
  <c r="M7" i="4"/>
  <c r="N9" i="4"/>
  <c r="L12" i="10"/>
  <c r="J25" i="19"/>
  <c r="J18" i="19"/>
  <c r="M7" i="11"/>
  <c r="I17" i="19"/>
  <c r="J20" i="19"/>
  <c r="D23" i="21" s="1"/>
  <c r="Y10" i="11"/>
  <c r="R10" i="19"/>
  <c r="N28" i="19"/>
  <c r="R11" i="10"/>
  <c r="O9" i="11"/>
  <c r="L19" i="19" s="1"/>
  <c r="K19" i="19"/>
  <c r="M9" i="10"/>
  <c r="I26" i="19"/>
  <c r="I24" i="19" s="1"/>
  <c r="I10" i="19"/>
  <c r="R10" i="10"/>
  <c r="N27" i="19"/>
  <c r="X9" i="10"/>
  <c r="U26" i="19" s="1"/>
  <c r="T26" i="19"/>
  <c r="N9" i="12"/>
  <c r="J23" i="19"/>
  <c r="J21" i="19" s="1"/>
  <c r="N8" i="11"/>
  <c r="M11" i="11"/>
  <c r="O9" i="14"/>
  <c r="K8" i="19"/>
  <c r="K6" i="19" s="1"/>
  <c r="N11" i="14"/>
  <c r="N7" i="14"/>
  <c r="R7" i="19"/>
  <c r="R6" i="19" s="1"/>
  <c r="V8" i="14"/>
  <c r="U7" i="14"/>
  <c r="U11" i="14"/>
  <c r="M7" i="12"/>
  <c r="M10" i="12"/>
  <c r="N8" i="12"/>
  <c r="K22" i="19" s="1"/>
  <c r="M9" i="19"/>
  <c r="M6" i="19" s="1"/>
  <c r="P7" i="14"/>
  <c r="P11" i="14"/>
  <c r="X12" i="15"/>
  <c r="T15" i="19"/>
  <c r="N8" i="7"/>
  <c r="K30" i="19" s="1"/>
  <c r="S14" i="19"/>
  <c r="W11" i="15"/>
  <c r="W13" i="15"/>
  <c r="S16" i="19"/>
  <c r="N12" i="15"/>
  <c r="J15" i="19"/>
  <c r="X10" i="15"/>
  <c r="T13" i="19"/>
  <c r="X9" i="14"/>
  <c r="T8" i="19"/>
  <c r="K16" i="19"/>
  <c r="O13" i="15"/>
  <c r="L16" i="19" s="1"/>
  <c r="N8" i="10"/>
  <c r="N10" i="15"/>
  <c r="J13" i="19"/>
  <c r="W10" i="14"/>
  <c r="S9" i="19"/>
  <c r="R35" i="19" l="1"/>
  <c r="U7" i="3"/>
  <c r="R32" i="19" s="1"/>
  <c r="U11" i="3"/>
  <c r="W10" i="3"/>
  <c r="Y10" i="3" s="1"/>
  <c r="V35" i="19" s="1"/>
  <c r="B38" i="21" s="1"/>
  <c r="B37" i="22" s="1"/>
  <c r="H37" i="22" s="1"/>
  <c r="H34" i="22" s="1"/>
  <c r="N36" i="22"/>
  <c r="V20" i="19"/>
  <c r="B23" i="21" s="1"/>
  <c r="B22" i="22" s="1"/>
  <c r="G62" i="16"/>
  <c r="M36" i="22"/>
  <c r="O36" i="22"/>
  <c r="X8" i="7"/>
  <c r="U30" i="19" s="1"/>
  <c r="E33" i="21" s="1"/>
  <c r="O13" i="22"/>
  <c r="N13" i="22"/>
  <c r="M13" i="22"/>
  <c r="F23" i="21"/>
  <c r="E29" i="21"/>
  <c r="W7" i="15"/>
  <c r="D22" i="21"/>
  <c r="F22" i="21" s="1"/>
  <c r="M10" i="7"/>
  <c r="D19" i="21"/>
  <c r="J36" i="19"/>
  <c r="H41" i="19"/>
  <c r="D12" i="21"/>
  <c r="W14" i="15"/>
  <c r="K38" i="19"/>
  <c r="K36" i="19" s="1"/>
  <c r="N12" i="4"/>
  <c r="N7" i="4"/>
  <c r="Y9" i="11"/>
  <c r="N9" i="7"/>
  <c r="N10" i="7" s="1"/>
  <c r="J31" i="19"/>
  <c r="J29" i="19" s="1"/>
  <c r="N7" i="15"/>
  <c r="N14" i="15"/>
  <c r="O9" i="4"/>
  <c r="I41" i="19"/>
  <c r="K18" i="19"/>
  <c r="N7" i="11"/>
  <c r="J17" i="19"/>
  <c r="S10" i="10"/>
  <c r="O27" i="19"/>
  <c r="O28" i="19"/>
  <c r="S11" i="10"/>
  <c r="N9" i="10"/>
  <c r="N12" i="10" s="1"/>
  <c r="J26" i="19"/>
  <c r="J24" i="19" s="1"/>
  <c r="M12" i="10"/>
  <c r="K25" i="19"/>
  <c r="S10" i="19"/>
  <c r="M7" i="10"/>
  <c r="O9" i="12"/>
  <c r="K23" i="19"/>
  <c r="K21" i="19" s="1"/>
  <c r="O8" i="11"/>
  <c r="N11" i="11"/>
  <c r="S7" i="19"/>
  <c r="S6" i="19" s="1"/>
  <c r="V7" i="14"/>
  <c r="V11" i="14"/>
  <c r="W8" i="14"/>
  <c r="U15" i="19"/>
  <c r="E18" i="21" s="1"/>
  <c r="N10" i="12"/>
  <c r="N7" i="12"/>
  <c r="O8" i="12"/>
  <c r="L22" i="19" s="1"/>
  <c r="O8" i="7"/>
  <c r="U8" i="19"/>
  <c r="E11" i="21" s="1"/>
  <c r="Y9" i="14"/>
  <c r="G7" i="16" s="1"/>
  <c r="O8" i="10"/>
  <c r="P8" i="10" s="1"/>
  <c r="J10" i="19"/>
  <c r="O10" i="15"/>
  <c r="K13" i="19"/>
  <c r="X13" i="15"/>
  <c r="X7" i="15" s="1"/>
  <c r="T16" i="19"/>
  <c r="T14" i="19"/>
  <c r="U13" i="19"/>
  <c r="E16" i="21" s="1"/>
  <c r="T9" i="19"/>
  <c r="X10" i="14"/>
  <c r="O12" i="15"/>
  <c r="L15" i="19" s="1"/>
  <c r="K15" i="19"/>
  <c r="L8" i="19"/>
  <c r="O7" i="14"/>
  <c r="O11" i="14"/>
  <c r="G116" i="16" l="1"/>
  <c r="W11" i="3"/>
  <c r="Y11" i="3" s="1"/>
  <c r="W7" i="3"/>
  <c r="T32" i="19" s="1"/>
  <c r="E35" i="21" s="1"/>
  <c r="F35" i="21" s="1"/>
  <c r="T35" i="19"/>
  <c r="E38" i="21" s="1"/>
  <c r="F38" i="21" s="1"/>
  <c r="F22" i="22"/>
  <c r="M22" i="22" s="1"/>
  <c r="V19" i="19"/>
  <c r="B22" i="21" s="1"/>
  <c r="B21" i="22" s="1"/>
  <c r="H21" i="22" s="1"/>
  <c r="G56" i="16"/>
  <c r="G37" i="22"/>
  <c r="G34" i="22" s="1"/>
  <c r="F37" i="22"/>
  <c r="P37" i="22" s="1"/>
  <c r="P34" i="22" s="1"/>
  <c r="H22" i="22"/>
  <c r="G22" i="22"/>
  <c r="D18" i="21"/>
  <c r="F18" i="21" s="1"/>
  <c r="L6" i="19"/>
  <c r="D9" i="21" s="1"/>
  <c r="D11" i="21"/>
  <c r="F11" i="21" s="1"/>
  <c r="K17" i="19"/>
  <c r="Y8" i="7"/>
  <c r="G89" i="16" s="1"/>
  <c r="L30" i="19"/>
  <c r="D33" i="21" s="1"/>
  <c r="F33" i="21" s="1"/>
  <c r="X14" i="15"/>
  <c r="L38" i="19"/>
  <c r="L36" i="19" s="1"/>
  <c r="O12" i="4"/>
  <c r="O7" i="4"/>
  <c r="P10" i="15"/>
  <c r="O7" i="15"/>
  <c r="O14" i="15"/>
  <c r="O9" i="7"/>
  <c r="O10" i="7" s="1"/>
  <c r="K31" i="19"/>
  <c r="K29" i="19" s="1"/>
  <c r="N7" i="7"/>
  <c r="P9" i="4"/>
  <c r="V8" i="19"/>
  <c r="B11" i="21" s="1"/>
  <c r="B10" i="22" s="1"/>
  <c r="N7" i="10"/>
  <c r="J41" i="19"/>
  <c r="T10" i="10"/>
  <c r="P27" i="19"/>
  <c r="L18" i="19"/>
  <c r="L17" i="19" s="1"/>
  <c r="O7" i="11"/>
  <c r="L25" i="19"/>
  <c r="Y12" i="15"/>
  <c r="T10" i="19"/>
  <c r="O9" i="10"/>
  <c r="O12" i="10" s="1"/>
  <c r="K26" i="19"/>
  <c r="P28" i="19"/>
  <c r="T11" i="10"/>
  <c r="P9" i="12"/>
  <c r="L23" i="19"/>
  <c r="L21" i="19" s="1"/>
  <c r="P8" i="11"/>
  <c r="O11" i="11"/>
  <c r="L13" i="19"/>
  <c r="L10" i="19" s="1"/>
  <c r="T7" i="19"/>
  <c r="T6" i="19" s="1"/>
  <c r="W7" i="14"/>
  <c r="W11" i="14"/>
  <c r="X8" i="14"/>
  <c r="Y8" i="14" s="1"/>
  <c r="G2" i="16" s="1"/>
  <c r="U9" i="19"/>
  <c r="E12" i="21" s="1"/>
  <c r="F12" i="21" s="1"/>
  <c r="Y10" i="14"/>
  <c r="K10" i="19"/>
  <c r="U14" i="19"/>
  <c r="E17" i="21" s="1"/>
  <c r="F17" i="21" s="1"/>
  <c r="Y11" i="15"/>
  <c r="O10" i="12"/>
  <c r="P8" i="12"/>
  <c r="M22" i="19" s="1"/>
  <c r="D25" i="21" s="1"/>
  <c r="O7" i="12"/>
  <c r="U16" i="19"/>
  <c r="E19" i="21" s="1"/>
  <c r="F19" i="21" s="1"/>
  <c r="Y13" i="15"/>
  <c r="Y7" i="3" l="1"/>
  <c r="V32" i="19" s="1"/>
  <c r="B35" i="21" s="1"/>
  <c r="B34" i="22" s="1"/>
  <c r="E34" i="22" s="1"/>
  <c r="P22" i="22"/>
  <c r="N37" i="22"/>
  <c r="N34" i="22" s="1"/>
  <c r="F21" i="22"/>
  <c r="M21" i="22" s="1"/>
  <c r="G21" i="22"/>
  <c r="V14" i="19"/>
  <c r="B17" i="21" s="1"/>
  <c r="B16" i="22" s="1"/>
  <c r="G39" i="16"/>
  <c r="N22" i="22"/>
  <c r="O22" i="22"/>
  <c r="V16" i="19"/>
  <c r="B19" i="21" s="1"/>
  <c r="B18" i="22" s="1"/>
  <c r="H18" i="22" s="1"/>
  <c r="G48" i="16"/>
  <c r="V9" i="19"/>
  <c r="B12" i="21" s="1"/>
  <c r="B11" i="22" s="1"/>
  <c r="G11" i="22" s="1"/>
  <c r="G13" i="16"/>
  <c r="V15" i="19"/>
  <c r="B18" i="21" s="1"/>
  <c r="B17" i="22" s="1"/>
  <c r="H17" i="22" s="1"/>
  <c r="G42" i="16"/>
  <c r="O37" i="22"/>
  <c r="O34" i="22" s="1"/>
  <c r="M37" i="22"/>
  <c r="M34" i="22" s="1"/>
  <c r="F34" i="22"/>
  <c r="L34" i="22" s="1"/>
  <c r="K24" i="19"/>
  <c r="K41" i="19" s="1"/>
  <c r="F10" i="22"/>
  <c r="G10" i="22"/>
  <c r="H10" i="22"/>
  <c r="O7" i="7"/>
  <c r="M13" i="19"/>
  <c r="P14" i="15"/>
  <c r="Y14" i="15" s="1"/>
  <c r="P7" i="15"/>
  <c r="Y7" i="15" s="1"/>
  <c r="M38" i="19"/>
  <c r="M36" i="19" s="1"/>
  <c r="D39" i="21" s="1"/>
  <c r="P7" i="4"/>
  <c r="P12" i="4"/>
  <c r="P9" i="7"/>
  <c r="L31" i="19"/>
  <c r="L29" i="19" s="1"/>
  <c r="Y10" i="15"/>
  <c r="V30" i="19"/>
  <c r="B33" i="21" s="1"/>
  <c r="B32" i="22" s="1"/>
  <c r="H32" i="22" s="1"/>
  <c r="Q9" i="4"/>
  <c r="O7" i="10"/>
  <c r="Y7" i="14"/>
  <c r="M25" i="19"/>
  <c r="M24" i="19" s="1"/>
  <c r="P12" i="10"/>
  <c r="P7" i="10"/>
  <c r="L26" i="19"/>
  <c r="L24" i="19" s="1"/>
  <c r="Y9" i="10"/>
  <c r="Q28" i="19"/>
  <c r="U11" i="10"/>
  <c r="U10" i="19"/>
  <c r="E13" i="21" s="1"/>
  <c r="U10" i="10"/>
  <c r="Q27" i="19"/>
  <c r="M18" i="19"/>
  <c r="M17" i="19" s="1"/>
  <c r="D20" i="21" s="1"/>
  <c r="P7" i="11"/>
  <c r="Q9" i="12"/>
  <c r="M23" i="19"/>
  <c r="M21" i="19" s="1"/>
  <c r="D24" i="21" s="1"/>
  <c r="P11" i="11"/>
  <c r="U7" i="19"/>
  <c r="X11" i="14"/>
  <c r="X7" i="14"/>
  <c r="Q8" i="10"/>
  <c r="P10" i="12"/>
  <c r="Q8" i="12"/>
  <c r="N22" i="19" s="1"/>
  <c r="P7" i="12"/>
  <c r="N21" i="22" l="1"/>
  <c r="D34" i="22"/>
  <c r="O21" i="22"/>
  <c r="P21" i="22"/>
  <c r="K34" i="22"/>
  <c r="G32" i="22"/>
  <c r="G17" i="22"/>
  <c r="F17" i="22"/>
  <c r="N17" i="22" s="1"/>
  <c r="G18" i="22"/>
  <c r="F18" i="22"/>
  <c r="O18" i="22" s="1"/>
  <c r="V26" i="19"/>
  <c r="B29" i="21" s="1"/>
  <c r="B28" i="22" s="1"/>
  <c r="G77" i="16"/>
  <c r="F32" i="22"/>
  <c r="O32" i="22" s="1"/>
  <c r="V13" i="19"/>
  <c r="B16" i="21" s="1"/>
  <c r="B15" i="22" s="1"/>
  <c r="G33" i="16"/>
  <c r="F11" i="22"/>
  <c r="O11" i="22" s="1"/>
  <c r="H11" i="22"/>
  <c r="F16" i="22"/>
  <c r="H16" i="22"/>
  <c r="G16" i="22"/>
  <c r="J34" i="22"/>
  <c r="C34" i="22"/>
  <c r="I34" i="22"/>
  <c r="D41" i="21"/>
  <c r="U6" i="19"/>
  <c r="E9" i="21" s="1"/>
  <c r="F9" i="21" s="1"/>
  <c r="E10" i="21"/>
  <c r="F10" i="21" s="1"/>
  <c r="D27" i="21"/>
  <c r="D28" i="21"/>
  <c r="D26" i="21"/>
  <c r="M10" i="19"/>
  <c r="D13" i="21" s="1"/>
  <c r="F13" i="21" s="1"/>
  <c r="D16" i="21"/>
  <c r="F16" i="21" s="1"/>
  <c r="D21" i="21"/>
  <c r="D29" i="21"/>
  <c r="F29" i="21" s="1"/>
  <c r="P10" i="22"/>
  <c r="M10" i="22"/>
  <c r="N10" i="22"/>
  <c r="O10" i="22"/>
  <c r="L41" i="19"/>
  <c r="Q9" i="7"/>
  <c r="M31" i="19"/>
  <c r="M29" i="19" s="1"/>
  <c r="P10" i="7"/>
  <c r="P7" i="7"/>
  <c r="N38" i="19"/>
  <c r="Q12" i="4"/>
  <c r="Q7" i="4"/>
  <c r="R9" i="4"/>
  <c r="R28" i="19"/>
  <c r="V11" i="10"/>
  <c r="N25" i="19"/>
  <c r="Q12" i="10"/>
  <c r="Q7" i="10"/>
  <c r="N18" i="19"/>
  <c r="Q7" i="11"/>
  <c r="V10" i="10"/>
  <c r="R27" i="19"/>
  <c r="R9" i="12"/>
  <c r="N23" i="19"/>
  <c r="Q11" i="11"/>
  <c r="R8" i="10"/>
  <c r="Q10" i="12"/>
  <c r="Q7" i="12"/>
  <c r="R8" i="12"/>
  <c r="O22" i="19" s="1"/>
  <c r="V7" i="19"/>
  <c r="B10" i="21" s="1"/>
  <c r="B9" i="22" s="1"/>
  <c r="Y11" i="14"/>
  <c r="V10" i="19" l="1"/>
  <c r="B13" i="21" s="1"/>
  <c r="B12" i="22" s="1"/>
  <c r="V6" i="19"/>
  <c r="B9" i="21" s="1"/>
  <c r="B8" i="22" s="1"/>
  <c r="N32" i="22"/>
  <c r="M32" i="22"/>
  <c r="P32" i="22"/>
  <c r="N18" i="22"/>
  <c r="P18" i="22"/>
  <c r="M17" i="22"/>
  <c r="O17" i="22"/>
  <c r="P17" i="22"/>
  <c r="M18" i="22"/>
  <c r="P11" i="22"/>
  <c r="N11" i="22"/>
  <c r="M11" i="22"/>
  <c r="N16" i="22"/>
  <c r="P16" i="22"/>
  <c r="M16" i="22"/>
  <c r="O16" i="22"/>
  <c r="N17" i="19"/>
  <c r="M41" i="19"/>
  <c r="D44" i="21" s="1"/>
  <c r="N24" i="19"/>
  <c r="H9" i="22"/>
  <c r="H8" i="22" s="1"/>
  <c r="F9" i="22"/>
  <c r="G9" i="22"/>
  <c r="N36" i="19"/>
  <c r="F28" i="22"/>
  <c r="H28" i="22"/>
  <c r="G28" i="22"/>
  <c r="D34" i="21"/>
  <c r="D32" i="21"/>
  <c r="N21" i="19"/>
  <c r="H15" i="22"/>
  <c r="H12" i="22" s="1"/>
  <c r="G15" i="22"/>
  <c r="F15" i="22"/>
  <c r="O38" i="19"/>
  <c r="O36" i="19" s="1"/>
  <c r="R7" i="4"/>
  <c r="R12" i="4"/>
  <c r="R9" i="7"/>
  <c r="N31" i="19"/>
  <c r="Q7" i="7"/>
  <c r="Q10" i="7"/>
  <c r="S9" i="4"/>
  <c r="W10" i="10"/>
  <c r="S27" i="19"/>
  <c r="O25" i="19"/>
  <c r="O24" i="19" s="1"/>
  <c r="R12" i="10"/>
  <c r="R7" i="10"/>
  <c r="O18" i="19"/>
  <c r="O17" i="19" s="1"/>
  <c r="R7" i="11"/>
  <c r="S28" i="19"/>
  <c r="W11" i="10"/>
  <c r="X11" i="10" s="1"/>
  <c r="S9" i="12"/>
  <c r="O23" i="19"/>
  <c r="O21" i="19" s="1"/>
  <c r="R11" i="11"/>
  <c r="R7" i="12"/>
  <c r="S8" i="12"/>
  <c r="P22" i="19" s="1"/>
  <c r="R10" i="12"/>
  <c r="S8" i="10"/>
  <c r="E12" i="22" l="1"/>
  <c r="G8" i="22"/>
  <c r="O28" i="22"/>
  <c r="M28" i="22"/>
  <c r="N28" i="22"/>
  <c r="P28" i="22"/>
  <c r="F8" i="22"/>
  <c r="O9" i="22"/>
  <c r="O8" i="22" s="1"/>
  <c r="N9" i="22"/>
  <c r="N8" i="22" s="1"/>
  <c r="M9" i="22"/>
  <c r="M8" i="22" s="1"/>
  <c r="P9" i="22"/>
  <c r="P8" i="22" s="1"/>
  <c r="O15" i="22"/>
  <c r="O12" i="22" s="1"/>
  <c r="P15" i="22"/>
  <c r="P12" i="22" s="1"/>
  <c r="M15" i="22"/>
  <c r="M12" i="22" s="1"/>
  <c r="N15" i="22"/>
  <c r="N12" i="22" s="1"/>
  <c r="F12" i="22"/>
  <c r="C12" i="22" s="1"/>
  <c r="E8" i="22"/>
  <c r="N29" i="19"/>
  <c r="G12" i="22"/>
  <c r="D12" i="22" s="1"/>
  <c r="S9" i="7"/>
  <c r="O31" i="19"/>
  <c r="O29" i="19" s="1"/>
  <c r="O41" i="19" s="1"/>
  <c r="R10" i="7"/>
  <c r="R7" i="7"/>
  <c r="P38" i="19"/>
  <c r="P36" i="19" s="1"/>
  <c r="S7" i="4"/>
  <c r="S12" i="4"/>
  <c r="T9" i="4"/>
  <c r="X10" i="10"/>
  <c r="T27" i="19"/>
  <c r="S7" i="11"/>
  <c r="P18" i="19"/>
  <c r="P17" i="19" s="1"/>
  <c r="P25" i="19"/>
  <c r="P24" i="19" s="1"/>
  <c r="S7" i="10"/>
  <c r="S12" i="10"/>
  <c r="T28" i="19"/>
  <c r="T9" i="12"/>
  <c r="P23" i="19"/>
  <c r="P21" i="19" s="1"/>
  <c r="S11" i="11"/>
  <c r="S7" i="12"/>
  <c r="S10" i="12"/>
  <c r="T8" i="12"/>
  <c r="Q22" i="19" s="1"/>
  <c r="T8" i="10"/>
  <c r="I8" i="22" l="1"/>
  <c r="I12" i="22"/>
  <c r="L8" i="22"/>
  <c r="J8" i="22"/>
  <c r="K8" i="22"/>
  <c r="D8" i="22"/>
  <c r="C8" i="22"/>
  <c r="N41" i="19"/>
  <c r="K12" i="22"/>
  <c r="J12" i="22"/>
  <c r="L12" i="22"/>
  <c r="Q38" i="19"/>
  <c r="Q36" i="19" s="1"/>
  <c r="T7" i="4"/>
  <c r="T12" i="4"/>
  <c r="T9" i="7"/>
  <c r="P31" i="19"/>
  <c r="S7" i="7"/>
  <c r="S10" i="7"/>
  <c r="U9" i="4"/>
  <c r="U28" i="19"/>
  <c r="E31" i="21" s="1"/>
  <c r="F31" i="21" s="1"/>
  <c r="Y11" i="10"/>
  <c r="U27" i="19"/>
  <c r="E30" i="21" s="1"/>
  <c r="F30" i="21" s="1"/>
  <c r="Y10" i="10"/>
  <c r="T7" i="11"/>
  <c r="Q18" i="19"/>
  <c r="Q17" i="19" s="1"/>
  <c r="Q25" i="19"/>
  <c r="Q24" i="19" s="1"/>
  <c r="T7" i="10"/>
  <c r="T12" i="10"/>
  <c r="U9" i="12"/>
  <c r="Q23" i="19"/>
  <c r="T11" i="11"/>
  <c r="T7" i="12"/>
  <c r="T10" i="12"/>
  <c r="U8" i="12"/>
  <c r="R22" i="19" s="1"/>
  <c r="U8" i="10"/>
  <c r="V27" i="19" l="1"/>
  <c r="B30" i="21" s="1"/>
  <c r="B29" i="22" s="1"/>
  <c r="H29" i="22" s="1"/>
  <c r="G81" i="16"/>
  <c r="V28" i="19"/>
  <c r="B31" i="21" s="1"/>
  <c r="B30" i="22" s="1"/>
  <c r="H30" i="22" s="1"/>
  <c r="G84" i="16"/>
  <c r="P29" i="19"/>
  <c r="Q21" i="19"/>
  <c r="U9" i="7"/>
  <c r="Q31" i="19"/>
  <c r="Q29" i="19" s="1"/>
  <c r="T10" i="7"/>
  <c r="T7" i="7"/>
  <c r="R38" i="19"/>
  <c r="R36" i="19" s="1"/>
  <c r="U12" i="4"/>
  <c r="U7" i="4"/>
  <c r="V9" i="4"/>
  <c r="R18" i="19"/>
  <c r="R17" i="19" s="1"/>
  <c r="U7" i="11"/>
  <c r="R25" i="19"/>
  <c r="R24" i="19" s="1"/>
  <c r="U7" i="10"/>
  <c r="U12" i="10"/>
  <c r="V9" i="12"/>
  <c r="R23" i="19"/>
  <c r="R21" i="19" s="1"/>
  <c r="U11" i="11"/>
  <c r="U7" i="12"/>
  <c r="V8" i="12"/>
  <c r="S22" i="19" s="1"/>
  <c r="U10" i="12"/>
  <c r="V8" i="10"/>
  <c r="F29" i="22" l="1"/>
  <c r="N29" i="22" s="1"/>
  <c r="G29" i="22"/>
  <c r="G30" i="22"/>
  <c r="F30" i="22"/>
  <c r="Q41" i="19"/>
  <c r="P41" i="19"/>
  <c r="S38" i="19"/>
  <c r="V12" i="4"/>
  <c r="V7" i="4"/>
  <c r="V9" i="7"/>
  <c r="R31" i="19"/>
  <c r="R29" i="19" s="1"/>
  <c r="R41" i="19" s="1"/>
  <c r="U7" i="7"/>
  <c r="U10" i="7"/>
  <c r="W9" i="4"/>
  <c r="S25" i="19"/>
  <c r="V7" i="10"/>
  <c r="V12" i="10"/>
  <c r="S18" i="19"/>
  <c r="V7" i="11"/>
  <c r="W9" i="12"/>
  <c r="S23" i="19"/>
  <c r="V11" i="11"/>
  <c r="W8" i="10"/>
  <c r="V7" i="12"/>
  <c r="W8" i="12"/>
  <c r="T22" i="19" s="1"/>
  <c r="V10" i="12"/>
  <c r="P29" i="22" l="1"/>
  <c r="O29" i="22"/>
  <c r="M29" i="22"/>
  <c r="M30" i="22"/>
  <c r="N30" i="22"/>
  <c r="O30" i="22"/>
  <c r="P30" i="22"/>
  <c r="S17" i="19"/>
  <c r="S24" i="19"/>
  <c r="S21" i="19"/>
  <c r="S36" i="19"/>
  <c r="W9" i="7"/>
  <c r="S31" i="19"/>
  <c r="S29" i="19" s="1"/>
  <c r="V10" i="7"/>
  <c r="V7" i="7"/>
  <c r="T38" i="19"/>
  <c r="T36" i="19" s="1"/>
  <c r="W12" i="4"/>
  <c r="W7" i="4"/>
  <c r="X9" i="4"/>
  <c r="T18" i="19"/>
  <c r="T17" i="19" s="1"/>
  <c r="W7" i="11"/>
  <c r="T25" i="19"/>
  <c r="T24" i="19" s="1"/>
  <c r="W7" i="10"/>
  <c r="W12" i="10"/>
  <c r="X9" i="12"/>
  <c r="T23" i="19"/>
  <c r="T21" i="19" s="1"/>
  <c r="W11" i="11"/>
  <c r="W7" i="12"/>
  <c r="X8" i="12"/>
  <c r="U22" i="19" s="1"/>
  <c r="E25" i="21" s="1"/>
  <c r="F25" i="21" s="1"/>
  <c r="W10" i="12"/>
  <c r="X8" i="10"/>
  <c r="S41" i="19" l="1"/>
  <c r="U38" i="19"/>
  <c r="U36" i="19" s="1"/>
  <c r="X7" i="4"/>
  <c r="X12" i="4"/>
  <c r="X9" i="7"/>
  <c r="T31" i="19"/>
  <c r="W7" i="7"/>
  <c r="W10" i="7"/>
  <c r="Y9" i="4"/>
  <c r="G124" i="16" s="1"/>
  <c r="U18" i="19"/>
  <c r="U17" i="19" s="1"/>
  <c r="E20" i="21" s="1"/>
  <c r="F20" i="21" s="1"/>
  <c r="X7" i="11"/>
  <c r="U25" i="19"/>
  <c r="U24" i="19" s="1"/>
  <c r="E27" i="21" s="1"/>
  <c r="F27" i="21" s="1"/>
  <c r="X12" i="10"/>
  <c r="X7" i="10"/>
  <c r="U23" i="19"/>
  <c r="Y9" i="12"/>
  <c r="X11" i="11"/>
  <c r="Y8" i="11"/>
  <c r="Y8" i="10"/>
  <c r="X10" i="12"/>
  <c r="X7" i="12"/>
  <c r="Y7" i="12" s="1"/>
  <c r="Y8" i="12"/>
  <c r="G65" i="16" s="1"/>
  <c r="V25" i="19" l="1"/>
  <c r="B28" i="21" s="1"/>
  <c r="B27" i="22" s="1"/>
  <c r="G73" i="16"/>
  <c r="V18" i="19"/>
  <c r="B21" i="21" s="1"/>
  <c r="B20" i="22" s="1"/>
  <c r="G53" i="16"/>
  <c r="V23" i="19"/>
  <c r="B26" i="21" s="1"/>
  <c r="B25" i="22" s="1"/>
  <c r="G69" i="16"/>
  <c r="E21" i="21"/>
  <c r="F21" i="21" s="1"/>
  <c r="E41" i="21"/>
  <c r="F41" i="21" s="1"/>
  <c r="T29" i="19"/>
  <c r="E39" i="21"/>
  <c r="F39" i="21" s="1"/>
  <c r="U21" i="19"/>
  <c r="E24" i="21" s="1"/>
  <c r="F24" i="21" s="1"/>
  <c r="E26" i="21"/>
  <c r="F26" i="21" s="1"/>
  <c r="E28" i="21"/>
  <c r="F28" i="21" s="1"/>
  <c r="U31" i="19"/>
  <c r="U29" i="19" s="1"/>
  <c r="X7" i="7"/>
  <c r="Y7" i="7" s="1"/>
  <c r="X10" i="7"/>
  <c r="Y9" i="7"/>
  <c r="G98" i="16" s="1"/>
  <c r="V38" i="19"/>
  <c r="B41" i="21" s="1"/>
  <c r="B40" i="22" s="1"/>
  <c r="Y12" i="4"/>
  <c r="Y7" i="4"/>
  <c r="Y10" i="12"/>
  <c r="V22" i="19"/>
  <c r="B25" i="21" s="1"/>
  <c r="B24" i="22" s="1"/>
  <c r="Y7" i="11"/>
  <c r="Y11" i="11"/>
  <c r="Y12" i="10"/>
  <c r="Y7" i="10"/>
  <c r="V24" i="19" l="1"/>
  <c r="B27" i="21" s="1"/>
  <c r="B26" i="22" s="1"/>
  <c r="V17" i="19"/>
  <c r="B20" i="21" s="1"/>
  <c r="B19" i="22" s="1"/>
  <c r="F24" i="22"/>
  <c r="H24" i="22"/>
  <c r="G24" i="22"/>
  <c r="G40" i="22"/>
  <c r="G38" i="22" s="1"/>
  <c r="G141" i="16"/>
  <c r="H20" i="22"/>
  <c r="H19" i="22" s="1"/>
  <c r="F20" i="22"/>
  <c r="G20" i="22"/>
  <c r="H40" i="22"/>
  <c r="H38" i="22" s="1"/>
  <c r="F40" i="22"/>
  <c r="N40" i="22" s="1"/>
  <c r="N38" i="22" s="1"/>
  <c r="U41" i="19"/>
  <c r="E34" i="21"/>
  <c r="F34" i="21" s="1"/>
  <c r="F25" i="22"/>
  <c r="G25" i="22"/>
  <c r="H25" i="22"/>
  <c r="H27" i="22"/>
  <c r="H26" i="22" s="1"/>
  <c r="F27" i="22"/>
  <c r="G27" i="22"/>
  <c r="V36" i="19"/>
  <c r="B39" i="21" s="1"/>
  <c r="B38" i="22" s="1"/>
  <c r="T41" i="19"/>
  <c r="E32" i="21"/>
  <c r="F32" i="21" s="1"/>
  <c r="V31" i="19"/>
  <c r="B34" i="21" s="1"/>
  <c r="B33" i="22" s="1"/>
  <c r="Y10" i="7"/>
  <c r="V21" i="19"/>
  <c r="B24" i="21" s="1"/>
  <c r="B23" i="22" s="1"/>
  <c r="H23" i="22" l="1"/>
  <c r="E23" i="22" s="1"/>
  <c r="E26" i="22"/>
  <c r="E19" i="22"/>
  <c r="F33" i="22"/>
  <c r="F31" i="22" s="1"/>
  <c r="D38" i="22"/>
  <c r="E38" i="22"/>
  <c r="O24" i="22"/>
  <c r="M24" i="22"/>
  <c r="N24" i="22"/>
  <c r="P24" i="22"/>
  <c r="M20" i="22"/>
  <c r="M19" i="22" s="1"/>
  <c r="P20" i="22"/>
  <c r="P19" i="22" s="1"/>
  <c r="N20" i="22"/>
  <c r="N19" i="22" s="1"/>
  <c r="O20" i="22"/>
  <c r="O19" i="22" s="1"/>
  <c r="F19" i="22"/>
  <c r="C19" i="22" s="1"/>
  <c r="G19" i="22"/>
  <c r="D19" i="22" s="1"/>
  <c r="E44" i="21"/>
  <c r="F44" i="21" s="1"/>
  <c r="M40" i="22"/>
  <c r="M38" i="22" s="1"/>
  <c r="P40" i="22"/>
  <c r="P38" i="22" s="1"/>
  <c r="G33" i="22"/>
  <c r="G31" i="22" s="1"/>
  <c r="H33" i="22"/>
  <c r="H31" i="22" s="1"/>
  <c r="O40" i="22"/>
  <c r="O38" i="22" s="1"/>
  <c r="F38" i="22"/>
  <c r="C38" i="22" s="1"/>
  <c r="G26" i="22"/>
  <c r="D26" i="22" s="1"/>
  <c r="V29" i="19"/>
  <c r="B32" i="21" s="1"/>
  <c r="B31" i="22" s="1"/>
  <c r="O27" i="22"/>
  <c r="O26" i="22" s="1"/>
  <c r="N27" i="22"/>
  <c r="N26" i="22" s="1"/>
  <c r="P27" i="22"/>
  <c r="P26" i="22" s="1"/>
  <c r="M27" i="22"/>
  <c r="M26" i="22" s="1"/>
  <c r="F26" i="22"/>
  <c r="C26" i="22" s="1"/>
  <c r="G23" i="22"/>
  <c r="O25" i="22"/>
  <c r="P25" i="22"/>
  <c r="M25" i="22"/>
  <c r="N25" i="22"/>
  <c r="F23" i="22"/>
  <c r="N33" i="22" l="1"/>
  <c r="N31" i="22" s="1"/>
  <c r="J31" i="22" s="1"/>
  <c r="M33" i="22"/>
  <c r="M31" i="22" s="1"/>
  <c r="I31" i="22" s="1"/>
  <c r="O33" i="22"/>
  <c r="O31" i="22" s="1"/>
  <c r="K31" i="22" s="1"/>
  <c r="P33" i="22"/>
  <c r="P31" i="22" s="1"/>
  <c r="L31" i="22" s="1"/>
  <c r="P23" i="22"/>
  <c r="N23" i="22"/>
  <c r="C31" i="22"/>
  <c r="E31" i="22"/>
  <c r="M23" i="22"/>
  <c r="I23" i="22" s="1"/>
  <c r="O23" i="22"/>
  <c r="K23" i="22" s="1"/>
  <c r="D31" i="22"/>
  <c r="I19" i="22"/>
  <c r="K19" i="22"/>
  <c r="J19" i="22"/>
  <c r="L19" i="22"/>
  <c r="V41" i="19"/>
  <c r="L38" i="22"/>
  <c r="H43" i="22"/>
  <c r="I38" i="22"/>
  <c r="K38" i="22"/>
  <c r="J38" i="22"/>
  <c r="L26" i="22"/>
  <c r="J26" i="22"/>
  <c r="K26" i="22"/>
  <c r="C23" i="22"/>
  <c r="F43" i="22"/>
  <c r="D45" i="21"/>
  <c r="C45" i="21"/>
  <c r="D23" i="22"/>
  <c r="G43" i="22"/>
  <c r="I26" i="22"/>
  <c r="E45" i="21"/>
  <c r="N43" i="22" l="1"/>
  <c r="J43" i="22" s="1"/>
  <c r="P43" i="22"/>
  <c r="L43" i="22" s="1"/>
  <c r="M43" i="22"/>
  <c r="I43" i="22" s="1"/>
  <c r="O43" i="22"/>
  <c r="K43" i="22" s="1"/>
  <c r="W39" i="19"/>
  <c r="B44" i="21"/>
  <c r="W11" i="19"/>
  <c r="W27" i="19"/>
  <c r="W15" i="19"/>
  <c r="W12" i="19"/>
  <c r="W21" i="19"/>
  <c r="W35" i="19"/>
  <c r="W10" i="19"/>
  <c r="W40" i="19"/>
  <c r="W8" i="19"/>
  <c r="W17" i="19"/>
  <c r="W25" i="19"/>
  <c r="W22" i="19"/>
  <c r="W34" i="19"/>
  <c r="W37" i="19"/>
  <c r="W14" i="19"/>
  <c r="W28" i="19"/>
  <c r="W18" i="19"/>
  <c r="W16" i="19"/>
  <c r="W24" i="19"/>
  <c r="W32" i="19"/>
  <c r="W6" i="19"/>
  <c r="W9" i="19"/>
  <c r="X19" i="19" s="1"/>
  <c r="W38" i="19"/>
  <c r="W13" i="19"/>
  <c r="W30" i="19"/>
  <c r="W19" i="19"/>
  <c r="W20" i="19"/>
  <c r="W36" i="19"/>
  <c r="W23" i="19"/>
  <c r="W26" i="19"/>
  <c r="W29" i="19"/>
  <c r="W31" i="19"/>
  <c r="W33" i="19"/>
  <c r="W7" i="19"/>
  <c r="B43" i="22" l="1"/>
  <c r="W41" i="19"/>
  <c r="C43" i="22" l="1"/>
  <c r="E43" i="22"/>
  <c r="D43" i="22"/>
</calcChain>
</file>

<file path=xl/sharedStrings.xml><?xml version="1.0" encoding="utf-8"?>
<sst xmlns="http://schemas.openxmlformats.org/spreadsheetml/2006/main" count="2794" uniqueCount="1155">
  <si>
    <t xml:space="preserve">Tabla. Estimación de costos por proyecto (COP del 2022) </t>
  </si>
  <si>
    <t>Total</t>
  </si>
  <si>
    <t>Proyecto</t>
  </si>
  <si>
    <t xml:space="preserve">Fecha de inicio </t>
  </si>
  <si>
    <t>Fecha de finalización</t>
  </si>
  <si>
    <t>Concepto</t>
  </si>
  <si>
    <t>Cantidad</t>
  </si>
  <si>
    <t>Unidad</t>
  </si>
  <si>
    <t>Valor</t>
  </si>
  <si>
    <t>%/dedicación</t>
  </si>
  <si>
    <t>Meses</t>
  </si>
  <si>
    <t>Total año</t>
  </si>
  <si>
    <t>Mesas de trabajo presenciales</t>
  </si>
  <si>
    <t>Global</t>
  </si>
  <si>
    <t>Mesas de trabajo virtuales</t>
  </si>
  <si>
    <t>Plataformas de información</t>
  </si>
  <si>
    <t>Costo anual</t>
  </si>
  <si>
    <t>Talleres y/o eventos de divulgación nacionales y/o regionales presenciales</t>
  </si>
  <si>
    <t>Talleres y/o eventos de divulgación nacionales y/o regionales virtuales</t>
  </si>
  <si>
    <t>Campaña Publicitaria Institucional</t>
  </si>
  <si>
    <t>Campaña Publicitaria Regional</t>
  </si>
  <si>
    <t>Stand de promoción y divulgación en eventos regionales</t>
  </si>
  <si>
    <t>Stand de promoción y divulgación en eventos nacionales</t>
  </si>
  <si>
    <t>Pendones</t>
  </si>
  <si>
    <t>Plan de Medios Radial Institucional</t>
  </si>
  <si>
    <t>Vallas Publicitarias regionales</t>
  </si>
  <si>
    <t>Folletos/ Recetarios</t>
  </si>
  <si>
    <t>Pautas en redes sociales</t>
  </si>
  <si>
    <t>Degustaciones</t>
  </si>
  <si>
    <t>Giras técnicas, visitas y/o demostraciones de método</t>
  </si>
  <si>
    <t>Cursos libres virtuales</t>
  </si>
  <si>
    <t>Por persona</t>
  </si>
  <si>
    <t>Cursos cortos</t>
  </si>
  <si>
    <t>25 personas capacitadas</t>
  </si>
  <si>
    <t>Cursos cortos virtuales</t>
  </si>
  <si>
    <t>Equipo humano</t>
  </si>
  <si>
    <t>Persona/promedio/mes</t>
  </si>
  <si>
    <t>Desplazamientos aéreos del equipo humano nacional</t>
  </si>
  <si>
    <t>Tiquetes y viáticos</t>
  </si>
  <si>
    <t>Desplazamiento terrestre equipo humano nacional</t>
  </si>
  <si>
    <t>Desplazamientos y viáticos</t>
  </si>
  <si>
    <t>Equipo en región</t>
  </si>
  <si>
    <t>Promedio salario</t>
  </si>
  <si>
    <t>Rodamiento</t>
  </si>
  <si>
    <t>Apoyos tecnológicos</t>
  </si>
  <si>
    <t>Convenios con expertos, médicos, universidades, horeca.</t>
  </si>
  <si>
    <t>Por definir</t>
  </si>
  <si>
    <t>Otras formas de aumento</t>
  </si>
  <si>
    <t>Dedicación</t>
  </si>
  <si>
    <t>Plataformas/ base de datos</t>
  </si>
  <si>
    <t>Viaje  internacional</t>
  </si>
  <si>
    <t>Viáticos Internacional</t>
  </si>
  <si>
    <t>persona/semana</t>
  </si>
  <si>
    <t>Misiones Comerciales</t>
  </si>
  <si>
    <t>Persona/semana</t>
  </si>
  <si>
    <t>Asociaciones/empresa</t>
  </si>
  <si>
    <t>Incentivo valor agregado  pequeñas  empresas</t>
  </si>
  <si>
    <t>Incentivo valor agregado  medianas  empresas</t>
  </si>
  <si>
    <t xml:space="preserve">Talleres y/ o eventos de divulgación nacionales y/o regionales </t>
  </si>
  <si>
    <t>Talleres y/o eventos de divulgación nacional y/o regional virtuales</t>
  </si>
  <si>
    <t>Ferias Comerciales internacionales</t>
  </si>
  <si>
    <t>5 empresas y/o personas</t>
  </si>
  <si>
    <t>Rueda de negocio  virtual</t>
  </si>
  <si>
    <t>20 asistentes</t>
  </si>
  <si>
    <t>Certificaciones diferenciadoras</t>
  </si>
  <si>
    <t>Incentivo al desarrollo de  marcas para pequeñas empresas</t>
  </si>
  <si>
    <t>Incentivo al desarrollo de marcas  para medianas  empresas</t>
  </si>
  <si>
    <t>Otros mecanismos de posicionamiento</t>
  </si>
  <si>
    <t xml:space="preserve">Se estima 12 mesas de trabajo presencial y virtuales, 4 talleres y/o eventos de divulgación nacionales, 2 talleres y/o eventos por región, 2 talleres y/o eventos prácticos por región. Se estima compra de plataformas de base de datos, 4 stands de promoción y divulgación nacional y 7 regionales, un monto global para pautas en redes sociales, 1 campaña publicitaria nacional, 2 ferias comerciales nacionales, 7 ruedas de negocios presenciales y 7 virtuales.  Se estima incentivar al desarrollo de marcas para 10 empresas anualmente, 5 micro, 3 pequeñas y 2 medianas empresas para intervenir 10 empresas anualmente, , el valor estimado se halla de acuerdo a la Resolución 957 del 2019  de la DIAN, relacionado con la clasificación de las empresas por el valor de ingresos, en micro, pequeñas y medianas, se tomó el valor de los ingresos  y se estimó un porcentaje del 3%, 1% y 0.2%, partiendo de este valor, se considero un incentivo de 40%, 25% y 20% respectivamente. Se considera por presupuestar otros mecanismos de posicionamiento. Se estima un equipo humano  de 5 personas con un salario promedio mensual de $5.464.475 por 12 meses, se estima desplazamientos de 10 viajes con sus tiquetes, viáticos y desplazamientos. </t>
  </si>
  <si>
    <t>Rueda de negocio presencial</t>
  </si>
  <si>
    <t>Rueda de negocio virtual</t>
  </si>
  <si>
    <t>Promedio persona salario</t>
  </si>
  <si>
    <t>5 años</t>
  </si>
  <si>
    <t>Por organización</t>
  </si>
  <si>
    <t>10 años</t>
  </si>
  <si>
    <t>Certificaciones/sellos</t>
  </si>
  <si>
    <t>Certificaciones BPA</t>
  </si>
  <si>
    <t>Desarrollo de monitoreo</t>
  </si>
  <si>
    <t>Desplazamiento terrestre y viáticos equipo humano</t>
  </si>
  <si>
    <t>Desplazamiento aéreo equipo humano</t>
  </si>
  <si>
    <t>Otras formas de implementación</t>
  </si>
  <si>
    <t>Desplazamientos, viáticos del equipo humano</t>
  </si>
  <si>
    <t xml:space="preserve">Global </t>
  </si>
  <si>
    <t>Desarrollador de plataforma</t>
  </si>
  <si>
    <t>Materia de divulgación y promocional</t>
  </si>
  <si>
    <t>Tiquetes y viáticos Internacionales</t>
  </si>
  <si>
    <t xml:space="preserve">Equipo humano </t>
  </si>
  <si>
    <t xml:space="preserve">Promedio persona </t>
  </si>
  <si>
    <t xml:space="preserve">Desplazamiento y viáticos Equipo Humano terrestre </t>
  </si>
  <si>
    <t>Desplazamiento y viáticos Equipo Humano aéreo</t>
  </si>
  <si>
    <t xml:space="preserve">Equipo humano región </t>
  </si>
  <si>
    <t xml:space="preserve"> Apoyos tecnológicos</t>
  </si>
  <si>
    <t>Implementación de la estrategia financiera</t>
  </si>
  <si>
    <t xml:space="preserve">Por definir </t>
  </si>
  <si>
    <t>Fortalecimiento</t>
  </si>
  <si>
    <t>Mesas de trabajo virtual</t>
  </si>
  <si>
    <t>Talleres y/ o eventos de divulgación nacionales y/o regionales</t>
  </si>
  <si>
    <t>Material de divulgación y promocional</t>
  </si>
  <si>
    <t>Desplazamientos, viáticos del equipo humano terrestre</t>
  </si>
  <si>
    <t>Desplazamientos, viáticos del equipo humano aéreo</t>
  </si>
  <si>
    <t>Equipo humano en región</t>
  </si>
  <si>
    <t xml:space="preserve"> Mesas de trabajo virtual </t>
  </si>
  <si>
    <t>Funcionamiento del sistema</t>
  </si>
  <si>
    <t xml:space="preserve">Se estima realizar 1 taller nacional y los talleres presenciales por región para divulgación de instrumentos (13), para la realización de los estudios requeridos de diseño y mejora de los diferentes instrumentos se proyecta realizar mesas de trabajo presenciales una nacional y una por cada región (se priorizan las 4 regiones de papa de los departamentos de Cundinamarca, Boyacá, Nariño y Antioquia) y dos mesas de trabajo virtuales a nivel regional (priorizando 4) se incluye mesas internacionales para conocer experiencias (2), para el desarrollo de las actividades se proyectan 3 profesionales con un promedio salarial de $8.963.563 para el apoyo de las actividades del proyecto a nivel nacional, considerando el desplazamiento y viáticos. El proyecto contempla acciones de contribuir en el recaudo de la cuota de fomento de la papa y otras formas de fortalecimiento se deja por definir, considerando el nivel de información con que se cuenta. </t>
  </si>
  <si>
    <t>Otras formas de fortalecimiento</t>
  </si>
  <si>
    <t>EJE ESTRUCTURAL</t>
  </si>
  <si>
    <t>OBJETIVO ESTRATÉGICO</t>
  </si>
  <si>
    <t>PROGRAMA</t>
  </si>
  <si>
    <t>PROYECTO</t>
  </si>
  <si>
    <t xml:space="preserve">EE1. Productividad y competitividad </t>
  </si>
  <si>
    <t>1.1. Incremento del consumo interno de papa y sus derivados</t>
  </si>
  <si>
    <t xml:space="preserve">1.1.1. Estructurar y actualizar un portafolio comercial, a nivel nacional, para los productos tanto genéricos como diferenciados de la cadena de la papa, tipificando criterios de calidad e inocuidad, propiedades nutricionales, formas de preparación, procesos industriales, entre otras.  </t>
  </si>
  <si>
    <t>EE2. Gestión ambiental y desarrollo social</t>
  </si>
  <si>
    <t>OE3. Mejorar la gestión ambiental de la cadena</t>
  </si>
  <si>
    <t>3.1.2.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</si>
  <si>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3.1.3. Promover la formalización de acuerdos entre las autoridades ambientales y los productores de papa, para el desarrollo de procesos graduales de sustitución del cultivo, en áreas de importancia ambiental en las cuales no está permitido ningún uso agropecuario, considerando las  recomendaciones que se establezcan en los Planes Maestros de Reconversión Productiva de la cadena de la papa, en áreas de producción ubicadas fuera de la frontera agrícola.</t>
  </si>
  <si>
    <t>OE4. Contribuir al ordenamiento productivo y social de la propiedad rural y al mejoramiento del entorno social de la cadena</t>
  </si>
  <si>
    <t xml:space="preserve">4. Contribución al ordenamiento productivo y social de la propiedad rural de la cadena </t>
  </si>
  <si>
    <t>4.1. Fortalecimiento de la articulación con las políticas de ordenamiento productivo y social de la propiedad rural</t>
  </si>
  <si>
    <t>4.1.2. Promover mecanismos para que los actores de la cadena de la papa participen en las instancias que definen las políticas de ordenamiento y planificación municipal y departamental.</t>
  </si>
  <si>
    <t>5. Contribución al mejoramiento del entorno social de la cadena</t>
  </si>
  <si>
    <t>EE3. Capacidades institucionales</t>
  </si>
  <si>
    <t>6.1. Impulso a los procesos de I+D+i y de extensión agrícola e industrial, para la cadena</t>
  </si>
  <si>
    <t>7.1.1. Identificar las necesidades en aspectos técnicos, humanos, físicos y presupuestales, para el fortalecimiento de las autoridades sanitarias, en concordancia con los resultados esperados en materia de sanidad e inocuidad, del POP para la cadena de la papa.</t>
  </si>
  <si>
    <t>7.1.2. Actualizar el plan estratégico de las autoridades sanitarias y de inocuidad, considerando las necesidades y particularidades regionales de la cadena de la papa y en concordancia con la normatividad vigente.</t>
  </si>
  <si>
    <t>7.1.5. Desarrollar un sistema de alerta temprana, a nivel regional y con atención en frontera, para prevenir o atender las emergencias sanitarias y para adelantar programas de erradicación y declaración de zonas libres de algunas plagas y enfermedades, apoyando la toma de decisiones del productor de papa, para el manejo integrado de las mismas.</t>
  </si>
  <si>
    <t>7.1.6. Desarrollar un sistema de monitoreo y análisis permanente, a nivel regional, que permita determinar la presencia de contaminantes en papa en fresco y en productos procesados, contribuyendo a enfocar las medidas normativas para su control en todos los eslabones de la cadena, y recomendando los ajustes necesarios, en las prácticas agrícolas, de cosecha, transporte y almacenamiento, así como en el procesamiento industrial.</t>
  </si>
  <si>
    <t xml:space="preserve">7.1.8. Diseñar e implementar una estrategia de comunicación y divulgación de la normatividad del sistema IVC con acompañamiento técnico por parte de las entidades que lo conforman, dirigida a los diferentes actores de la cadena, de manera diferenciada según la región, el tipo de actividad, y la capacidad instalada, y con enfoque en la universalización de la gestión de IVC. </t>
  </si>
  <si>
    <t>7.2. Revisión y actualización de la normatividad de la cadena</t>
  </si>
  <si>
    <t xml:space="preserve">8.1.1. Adoptar como política pública el Plan de Ordenamiento Productivo para la cadena de la papa, mediante resolución expedida por el Minagricultura. </t>
  </si>
  <si>
    <t>8.1.2. Establecer el cronograma anual detallado, para la implementación del Plan de Ordenamiento Productivo de la cadena de la papa.</t>
  </si>
  <si>
    <t xml:space="preserve">8.1.4. Estructurar el presupuesto para cada uno de los proyectos de este Plan de Acción, teniendo en cuenta la estimación de costos del portafolio de programas y proyectos, los actores líderes y aliados, y los instrumentos de política identificados en el entorno político y gestionar ante las entidades pertinentes, tanto nacionales como locales, los recursos requeridos su implementación. </t>
  </si>
  <si>
    <t>8.3.4. Realizar un estudio del mercado nacional e internacional de la papa y sus derivados, incluidos los diferenciados, actualizando permanentemente la información sobre el comportamiento de la demanda de estos, así como caracterizar el consumo nacional de la papa y sus derivados, en sus diferentes segmentos de mercado, escalas de producción y tipos de industria.</t>
  </si>
  <si>
    <t xml:space="preserve">8.4.1.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</si>
  <si>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8.4.2.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</si>
  <si>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Giras técnicas, visitas y/o demostraciones de método.</t>
  </si>
  <si>
    <t xml:space="preserve">Cursos cortos </t>
  </si>
  <si>
    <t>Cursos libres</t>
  </si>
  <si>
    <t>Diplomado</t>
  </si>
  <si>
    <t>Diplomado virtual</t>
  </si>
  <si>
    <t>Certificaciones Buenas Prácticas Manufacturares BPM</t>
  </si>
  <si>
    <t>Otros mecanismos de mejora</t>
  </si>
  <si>
    <t>Ruedas de negocios virtuales</t>
  </si>
  <si>
    <t>Ruedas de negocios presenciales</t>
  </si>
  <si>
    <t>Ferias comerciales nacionales</t>
  </si>
  <si>
    <t>Personas</t>
  </si>
  <si>
    <t>Ferias comerciales internacionales</t>
  </si>
  <si>
    <t xml:space="preserve">Mesas de trabajo </t>
  </si>
  <si>
    <t xml:space="preserve">Mesas de trabajo virtual </t>
  </si>
  <si>
    <t>Plan de Medios radial Institucional</t>
  </si>
  <si>
    <t xml:space="preserve">Gestor normativo </t>
  </si>
  <si>
    <t xml:space="preserve">Gestor admisibilidad y defensa comercial </t>
  </si>
  <si>
    <t>Material promocional</t>
  </si>
  <si>
    <t>Viaje Internacional y viáticos</t>
  </si>
  <si>
    <t>1.1.2. Analizar de manera periódica, tendencias, y oportunidades relacionados con el consumo de papa y sus derivados y productos sustitutos, la dinámica de precios y costos y la estructura de comercialización, a lo largo de la cadena, a partir de los estudios que se desarrollen al respecto en la actividad 8.3.4.</t>
  </si>
  <si>
    <t>1.2.3. Identificar y fortalecer las empresas con potencial exportador, y promover mecanismos de relacionamiento entre industriales locales y clientes internacionales.</t>
  </si>
  <si>
    <t>1.2.4. Realizar acompañamiento técnico, comercial, financiero, legal, normativo, entre otros, a las empresas potenciales para la exportación de los productos de la cadena de la papa.</t>
  </si>
  <si>
    <t xml:space="preserve">1.2.6. Impulsar el diseño e implementación de acciones de promoción y comercialización, lideradas por ProColombia para las empresas de la cadena de la papa, que permitan posicionar y consolidar sus productos, incluyendo mecanismos como ruedas de negocios, participación en ferias, misiones comerciales, entre otros.  </t>
  </si>
  <si>
    <t>2. Mejora de la productividad en la producción y procesamiento de papa</t>
  </si>
  <si>
    <t>3. Mejora del desempeño ambiental de la cadena de la papa</t>
  </si>
  <si>
    <t>3.1. Contribución a la gestión del ordenamiento ambiental, fuera de la frontera agrícola</t>
  </si>
  <si>
    <t xml:space="preserve">3.2.6. Realizar procesos de capacitación y divulgación sobre instrumentos financieros y no financieros dirigidos a la sostenibilidad ambiental en la producción de la papa, como líneas de crédito especiales, reconocimiento económico por captura de GEI, bonos de carbono, entre otros. </t>
  </si>
  <si>
    <t>3.3. Aumento en la incorporación de prácticas sostenibles en la comercialización, adecuación y procesamiento de papa y sus derivados</t>
  </si>
  <si>
    <t>3.3.3. Realizar el acompañamiento técnico y financiero a MiPymes procesadoras de papa, para mejorar la infraestructura y equipamiento, requeridos en la incorporación de tecnologías de producción bajas en carbono, modelos de economía circular, manejo adecuado de residuos y energías alternativas.</t>
  </si>
  <si>
    <t>4.1.4. Realizar acompañamiento técnico en los procesos de uso y aprovechamiento eficiente del suelo para los productores de papa, en el marco de la frontera agrícola, y en coordinación con actores públicos y privados, a través de la formulación e implementación de los Planes Maestros de Reconversión Productiva - PMRP,  elaborados por la UPRA con la actores regionales de la cadena.</t>
  </si>
  <si>
    <t>4.2. Promoción del acceso y la seguridad jurídica en la tenencia de la tierra</t>
  </si>
  <si>
    <t>4.2.1. Generar espacios de articulación entre los gremios de la cadena de la papa, Minagricultura, la ANT, y Entidades Territoriales, para socializar, divulgar e implementar lineamientos y programas de regularización de la propiedad en los predios para el cultivo de papa.</t>
  </si>
  <si>
    <t xml:space="preserve">4.2.2. Realizar acompañamiento a los productores de papa en los procesos de regularización de la propiedad, para favorecer su acceso a los programas y beneficios que contribuyan a mejorar el desarrollo de la actividad productiva. </t>
  </si>
  <si>
    <t>4.2.4. Brindar acompañamiento y orientación a los productores de papa en diferentes modalidades de acceso a tierras, como contratos de arrendamiento, riesgo compartido, sociedades de siembre, entre otras, teniendo en cuenta las minutas de contratos de arrendamiento, recomendadas por la UPRA, y otros instrumentos que se consideren pertinentes.</t>
  </si>
  <si>
    <t>OE5. Fortalecer la gestión en Investigación, Desarrollo e Innovación en la cadena</t>
  </si>
  <si>
    <t>6. Fortalecimiento de la investigación, desarrollo e innovación, en la cadena de la papa</t>
  </si>
  <si>
    <t>OE5. Fortalecer la gestión en Investigación, Desarrollo  e Innovación en la cadena</t>
  </si>
  <si>
    <t>6.2. Fortalecimiento del talento humano en I+D+i, y en extensionismo agrícola e industrial</t>
  </si>
  <si>
    <t>6.2.2. Promover acuerdos con instituciones educativas para fortalecer la formación en las áreas básicas del conocimiento y en las áreas temáticas, acordes con las necesidades de I+D+i y extensionismo agrícola e industrial de la cadena de la papa.</t>
  </si>
  <si>
    <t>OE 6. Fortalecer la gestión institucional para la cadena de la papa</t>
  </si>
  <si>
    <t>7. Mejora de la gestión institucional en la sanidad y calidad de la papa y sus derivados</t>
  </si>
  <si>
    <t>7.1. Fortalecimiento del Sistema de Inspección, Vigilancia y Control a lo largo de la cadena</t>
  </si>
  <si>
    <t>7.1.7. Fortalecer la capacidad operativa del Sistema de IVC, tanto en infraestructura de laboratorios e instalaciones, como en talento humano, para el efectivo control de calidad e inocuidad y poder contar con la trazabilidad, que favorezca tanto la seguridad  en el consumo de papa en fresco y de procesados, con criterios como los contemplados en el Codex Alimentarius, en el Sistema de Trazabilidad Vegetal (Resolución 329 de 2021 del Minagricultura), así como el cumplimiento de las normas sobre etiquetado para protección de los consumidores frente a contenidos de grasas, azúcares, sodio y otros componentes controlados, y las certificaciones de inocuidad para acceder a mercados de exportación requeridas según el país de destino.</t>
  </si>
  <si>
    <t>7.3. Mejora de la admisibilidad sanitaria y las medidas de defensa comercial para la cadena</t>
  </si>
  <si>
    <t>7.3.1. Analizar las condiciones de admisibilidad a mercados externos para la papa colombiana y sus derivados, a través de estudios y mesas técnicas con las autoridades sanitarias de los mercados objetivo.</t>
  </si>
  <si>
    <t>7.3.2. Formular el Plan de Admisibilidad Sanitaria (PAS) para la papa fresca, como instrumento para acceder a los mercados de exportación que se prioricen.</t>
  </si>
  <si>
    <t>8. Articulación de los agentes de la cadena</t>
  </si>
  <si>
    <t>8.1. Adopción, promoción y monitoreo de la política pública para la cadena de la papa</t>
  </si>
  <si>
    <t>8.1.3. Socializar y divulgar el Plan de Ordenamiento Productivo para la cadena de la papa, a nivel nacional y regional, con énfasis en departamentos y municipios con alta importancia para la cadena de la papa.</t>
  </si>
  <si>
    <t xml:space="preserve">8.1.5. Diseñar e implementar, por parte de la UPRA, el sistema de seguimiento y evaluación del Plan de Ordenamiento Productivo para la cadena de la papa, </t>
  </si>
  <si>
    <t>8.2. Fortalecimiento de la Organización de Cadena de la papa</t>
  </si>
  <si>
    <t>8.2.2. Fortalecer el Consejo Nacional de la Papa y sus Comités Regionales, de acuerdo con la alternativa óptima seleccionada, mediante un proceso concertado y participativo entre los miembros de este Consejo.</t>
  </si>
  <si>
    <t>8.2.3. Consolidar la gestión del Consejo Nacional de la Papa, a través de la gestión gradual del Plan de Ordenamiento Productivo para la cadena la papa y los Planes Maestros de Reconversión Productiva - PMRP, en articulación con los diferentes instrumentos de política relacionados con el sector.</t>
  </si>
  <si>
    <t>8.3. Desarrollo de un Sistema integral de información para la cadena de la papa</t>
  </si>
  <si>
    <t xml:space="preserve">8.3.2. Poner en funcionamiento el sistema de información para la cadena de la papa, a partir del establecimiento de acuerdos con los actores generadores de información, en articulación con el Plan estratégico estadístico del sector y con los subsistemas interoperables del Sistema Nacional Unificado de Información Rural y Agropecuaria (SNUIRA), realizando el levantamiento, procesamiento, análisis, monitoreo, actualización, publicación y divulgación de la información requerida por los diferentes actores, estableciendo con un registro de productores y área sembrada, dirigidos al monitoreo de la competitividad y sostenibilidad de la cadena estableciendo:  reportes y análisis de precio y calidad de la papa y sus derivados, indicadores de costos y eficiencia productiva y de desempeño (área, producción y rendimiento), consumo aparente, monitoreo y reporte del clima basado en escenarios de variabilidad climática y cambio climático, así como de afectación y riesgo agroclimático, a nivel nacional, regional y local, entre otros. </t>
  </si>
  <si>
    <t>8.4. Fortalecimiento y creación de instrumentos de financiamiento, comercialización, gestión de riesgos y empresarización para la cadena de la papa</t>
  </si>
  <si>
    <t xml:space="preserve">8.4.4. Diseñar y/o mejorar instrumentos de comercialización y financiación no bancaria a lo largo de la cadena de la papa, tales como contratos a futuro, con anticipo financiero y garantía FAG, entre otros. </t>
  </si>
  <si>
    <t>Mesas de trabajo</t>
  </si>
  <si>
    <t>Equipo humano nacional</t>
  </si>
  <si>
    <t>Persona</t>
  </si>
  <si>
    <t>Valor promedio</t>
  </si>
  <si>
    <t>Implementación Estrategia Financiera</t>
  </si>
  <si>
    <t>Fortalecimiento al desarrollo de nuevas variedades</t>
  </si>
  <si>
    <t>Incentivos  a la innovación  microempresas</t>
  </si>
  <si>
    <t>Incentivos  a la innovación  pequeñas empresas</t>
  </si>
  <si>
    <t>Incentivos  a la innovación  medianas empresas</t>
  </si>
  <si>
    <t>Vouchers de innovación</t>
  </si>
  <si>
    <t>Convenios</t>
  </si>
  <si>
    <t>Implementación de modelos de I+D+i</t>
  </si>
  <si>
    <t>Material de divulgación</t>
  </si>
  <si>
    <t>Giras técnicas</t>
  </si>
  <si>
    <t>Costo/30 personas</t>
  </si>
  <si>
    <t>Diplomados virtuales</t>
  </si>
  <si>
    <t>Formación tecnológica y/o universitaria</t>
  </si>
  <si>
    <t>Doctorado</t>
  </si>
  <si>
    <t>Viajes internacionales y viáticos</t>
  </si>
  <si>
    <t>Plan de medios radial Institucional</t>
  </si>
  <si>
    <t>Desarrolladores de módulos</t>
  </si>
  <si>
    <t>Plan de medios radial regional</t>
  </si>
  <si>
    <t>Material de promoción</t>
  </si>
  <si>
    <t>Otras formas de contribución</t>
  </si>
  <si>
    <t>Parcelas demostrativas o lotes modelo</t>
  </si>
  <si>
    <t xml:space="preserve">Días de campo, giras técnicas, visitas y/o demostraciones de método. </t>
  </si>
  <si>
    <t>30 personas</t>
  </si>
  <si>
    <t>Valor/persona</t>
  </si>
  <si>
    <t>Desarrollador plataforma</t>
  </si>
  <si>
    <t>ICR Soluciones individuales en riego</t>
  </si>
  <si>
    <t>Hectáreas</t>
  </si>
  <si>
    <t>LEC adecuación de tierras para uso agropecuario</t>
  </si>
  <si>
    <t>Otros tipos de captación, almacenamiento y aprovechamiento de agua</t>
  </si>
  <si>
    <t>Otras formas de promoción</t>
  </si>
  <si>
    <t>Días de campo, giras técnicas, visitas y/o demostraciones de método</t>
  </si>
  <si>
    <t>Cursos libres  virtuales</t>
  </si>
  <si>
    <t>Diplomados</t>
  </si>
  <si>
    <t>Incentivo Inversiones en tecnologías y prácticas sostenibles microempresas comercializadoras</t>
  </si>
  <si>
    <t>Incentivo Inversiones en tecnologías y prácticas sostenibles pequeñas empresas comercializadoras</t>
  </si>
  <si>
    <t>Incentivo Inversiones en tecnologías y prácticas sostenibles medianas empresas comercializadoras</t>
  </si>
  <si>
    <t>Incentivo Inversiones en tecnologías y prácticas sostenibles microempresas procesadoras</t>
  </si>
  <si>
    <t>Incentivo Inversiones en tecnologías y prácticas sostenibles pequeñas empresas procesadoras</t>
  </si>
  <si>
    <t>Incentivo Inversiones en tecnologías y prácticas sostenibles medianas empresas procesadoras</t>
  </si>
  <si>
    <t>Otras formas de mejora</t>
  </si>
  <si>
    <t>Talleres y/o eventos de divulgación nacionales y/o regionales</t>
  </si>
  <si>
    <t>Pautas redes sociales</t>
  </si>
  <si>
    <t>Implementación Planes de reconversión productiva</t>
  </si>
  <si>
    <t>Otras formas de articulación</t>
  </si>
  <si>
    <t>Campaña institucional</t>
  </si>
  <si>
    <t>Plan de medios regional</t>
  </si>
  <si>
    <t>Valor promedio/persona/mes</t>
  </si>
  <si>
    <t>Valor/30 personas</t>
  </si>
  <si>
    <t>Convenios y Programas</t>
  </si>
  <si>
    <t>Incentivo a las Tics</t>
  </si>
  <si>
    <t>Hogares</t>
  </si>
  <si>
    <t>Incentivo conectividad</t>
  </si>
  <si>
    <t>Desplazamiento aéreo y viáticos</t>
  </si>
  <si>
    <t>Desplazamiento terrestre y viáticos</t>
  </si>
  <si>
    <t>Otras formas de fomento</t>
  </si>
  <si>
    <t>Ruedas de negocio presenciales</t>
  </si>
  <si>
    <t>Mercados campesinos/circuitos cortos de comercialización</t>
  </si>
  <si>
    <t>Plan de medios radial institucional</t>
  </si>
  <si>
    <t xml:space="preserve">Incentivo modular para promover la asociatividad </t>
  </si>
  <si>
    <t>Desarrollo de proveedores</t>
  </si>
  <si>
    <t>Asistentes técnicos pequeños</t>
  </si>
  <si>
    <t>Ruedas de negocio virtuales</t>
  </si>
  <si>
    <t>Se estima 12 mesas de trabajo presencial y virtuales, 12 talleres y/o eventos de divulgación nacionales y/o regionales,  talleres y/o eventos virtuales  por región.  Se estima giras técnicas, visitas 2 por región,  cursos cortos presenciales y virtuales (4 por región), cursos libres virtuales y presenciales  por región,  diplomados presenciales y virtuales  por región, plan de medios radial institucional por región, ruedas de negocio presenciales por región, ,ruedas de negocios virtuales por región, mercados campesinos y/o circuitos cortos de comercialización dos por región.  Se estima un equipo humano  de 5 personas con un salario promedio mensual de $7.862.772 por 10 meses, se estima 8 desplazamientos terrestres y 4 desplazamientos aéreos, se estima equipo humano por región por un valor promedio de 3.931.184 con rodamiento y apoyos tecnológicos. Se estima un incentivo modular para promover la asociatividad por valor de $1.800.000 para incentivar 100 asociaciones por región, es decir 1200 agricultores.   Se deja por definir  otras formas de fomento.</t>
  </si>
  <si>
    <t>Maestría</t>
  </si>
  <si>
    <t>Comisión Contratos suministro en BMC (FAG y punta vendedora)</t>
  </si>
  <si>
    <t>tonelada negociada</t>
  </si>
  <si>
    <t>Desarrolladores de aplicaciones</t>
  </si>
  <si>
    <t>Incentivo marcas y sellos pequeñas</t>
  </si>
  <si>
    <t>Productor</t>
  </si>
  <si>
    <t xml:space="preserve">Tienda de la papa </t>
  </si>
  <si>
    <t>tiendas especializada</t>
  </si>
  <si>
    <t>Talleres tenderos</t>
  </si>
  <si>
    <t>Empresa /organización</t>
  </si>
  <si>
    <t>Incentivo Suelos degradados en distritos de riego</t>
  </si>
  <si>
    <t>Incentivo Suelos degradados por pendiente</t>
  </si>
  <si>
    <t>Por ha</t>
  </si>
  <si>
    <t>Material divulgativo</t>
  </si>
  <si>
    <t>Talleres especializados</t>
  </si>
  <si>
    <t>Bodega mediana</t>
  </si>
  <si>
    <t>Bodega Grande</t>
  </si>
  <si>
    <t>Incentivos  a la especialización empaque,  embalaje y transporte micro empresas</t>
  </si>
  <si>
    <t>Incentivos  a la especialización empaque,  embalaje y transporte  pequeñas empresas</t>
  </si>
  <si>
    <t>Incentivos  a la especialización empaque,  embalaje y transporte medianas empresas</t>
  </si>
  <si>
    <t>Talleres especializados/encuentros técnicos</t>
  </si>
  <si>
    <t>Desarrollado de software</t>
  </si>
  <si>
    <t>Especializaciones</t>
  </si>
  <si>
    <t>Análisis de agua, suelos, foliar y multiresiduos</t>
  </si>
  <si>
    <t>Total año 2 al año 11</t>
  </si>
  <si>
    <t>Total año 2 al 11</t>
  </si>
  <si>
    <t>Total 2 al 6</t>
  </si>
  <si>
    <t>Total años 2 al 11</t>
  </si>
  <si>
    <t xml:space="preserve">
OE1. Mejorar la comercialización y el consumo de la papa</t>
  </si>
  <si>
    <t>1.1.3. Diseñar e implementar una campaña integral de corto, mediano y largo plazo, para fomentar el consumo de papa y sus derivados y las preparaciones culinarias con papa, en los mercados nacional, regional y local, a partir de la oferta de productos genéricos y diferenciados, teniendo en cuenta las tendencias y potencialidades del mercado y sus diferentes segmentos (centrales de abastos, grandes, medianas y pequeñas superficies, canal tradicional, canal HORECA, Fruver, tiendas especializadas en papa, aplicaciones digitales, industrias, entre otras).</t>
  </si>
  <si>
    <t>OE1. Mejorar la comercialización y el consumo de la papa</t>
  </si>
  <si>
    <t>1.2.2. Impulsar y consolidar el posicionamiento de los productos de la cadena de la papa con los que Colombia pueda competir en el mercado internacional, teniendo en cuenta los avances en admisibilidad sanitaria (proyecto 7.3), y resaltando formas de diferenciación, de preparación, denominaciones de origen, sellos verdes, producción orgánica, sellos diferenciadores, marcas, entre otros.</t>
  </si>
  <si>
    <t>1.3. Mejora de la comercialización de la papa y sus derivados</t>
  </si>
  <si>
    <t xml:space="preserve">1.3.2. Realizar acompañamiento técnico, comercial, financiero, normativo, entre otros, a productores y organizaciones de productores, comercializadores y procesadores de papa, para reducir la intermediación, generar economías de escala, diversificar la oferta, agregar valor, y aumentar la eficiencia en la logística, a través de mecanismos como ferias comerciales, ruedas de negocios, contratos de suministro, entre otros, en articulación con los instrumentos existentes, como por ejemplo la estrategia de comercialización de agricultura por contrato y la estrategia 360 grados para la mitigación de riesgos agropecuarios. </t>
  </si>
  <si>
    <t>1.3.3. Desarrollar circuitos cortos de comercialización en mercados campesinos y comunitarios, con base en el comportamiento y tendencias del mercado, a través de la creación y fortalecimiento de alianzas y redes territoriales en las regiones productoras de papa.</t>
  </si>
  <si>
    <t xml:space="preserve">1.3.6. Impulsar la mejora de la infraestructura de comercialización local (plazas locales y centros mayoristas de origen) en puntos estratégicos a nivel regional, realizando las adecuaciones locativas requeridas e incorporando plataformas de información. </t>
  </si>
  <si>
    <t>EE1. Productividad y competitividad</t>
  </si>
  <si>
    <t xml:space="preserve">
OE2. Incrementar la productividad del cultivo y del procesamiento industrial de la papa</t>
  </si>
  <si>
    <t>2.1. Mejora de la producción de semilla certificada de papa</t>
  </si>
  <si>
    <t xml:space="preserve">2.1.1. Identificar y priorizar áreas para la producción sostenible de semilla a nivel regional, considerando las condiciones de aislamiento y sanidad óptimas, así como las épocas de oferta, teniendo en cuenta la caracterización regional de la actividad 8.3.3, la zonificación de aptitud de papa comercial y de papa industrial y otros estudios que se requieran. </t>
  </si>
  <si>
    <t>2.1.2. Promover acuerdos y alianzas, a nivel nacional y/o regional, entre productores, organizaciones de productores, universidades, centros de investigación, procesadores de papa, entre otros, para la producción sostenible de semilla certificada de papa.</t>
  </si>
  <si>
    <t>2.1.3. Impulsar la multiplicación y comercialización de semillas certificadas de papa, incluyendo las de papa nativa, a precios competitivos, a través de incentivos, instrumentos financieros, contratos a futuro, alianzas público - privadas, entre otros, para crear y fortalecer MiPymes que se dediquen a esta actividad (incluidas las organizaciones de productores), en el marco de la Resolución 3168 de 2015 del ICA, que reglamenta y controla la producción, importación, y exportación de semillas producto del mejoramiento genético para la comercialización y siembra en el país y el acuerdo 005 de 2020 del ICA.</t>
  </si>
  <si>
    <t>OE2. Incrementar la productividad del cultivo y del procesamiento industrial de la papa</t>
  </si>
  <si>
    <t>2.2. Fortalecimiento de la asistencia técnica y extensión agrícola a productores de papa</t>
  </si>
  <si>
    <t>2.2.1. Clasificar y priorizar a nivel regional, productores u organizaciones de productores de papa, según su nivel tecnológico, de mecanización, escala de producción, prácticas agronómicas y dinámica productiva, teniendo en cuenta la caracterización regional de la actividad 8.3.3 y los avances de los proyectos 5.3 sobre esquemas asociativos e integración y 6.1 sobre procesos de I+D+i.</t>
  </si>
  <si>
    <t>2.2.2. Realizar el acompañamiento a los productores y organizaciones de productores de papa, en planeación estratégica, gestión empresarial, desarrollo de alianzas comerciales y la adecuada gestión de proveedores de servicios e insumos; para estructurar un plan de negocios, acorde a sus expectativas y a las de la industria procesadora, que facilite el acceso a los recursos financieros para su ejecución, en articulación con los Planes Departamentales de Extensión Agropecuaria - PDEA (Ley 1876 de 2017).</t>
  </si>
  <si>
    <t>2.2.3. Brindar acompañamiento técnico y financiero a los productores de papa, para facilitar la compra y adopción de nuevas variedades de alto rendimiento, tolerantes a problemas bióticos y abióticos, precoces, adaptables a pisos térmicos inferiores a los tradicionales y que responden a las necesidades de los consumidores de papa fresca y procesada, en concordancia con los avances en I+D+i del proyecto 6.1, y teniendo en cuenta la Ley 1931 de 27 de julio de 2018 que establece medidas para la gestión de cambio climático, entre otros instrumentos.</t>
  </si>
  <si>
    <t>2.2.4. Promover la conexión entre empresas y/o profesionales especializados y los productores, para prestar asistencia técnica enfocada en la aplicación de tecnologías para el manejo integrado del cultivo, que incidan en el mejoramiento de los indicadores de rentabilidad y sostenibilidad del cultivo, y teniendo en cuenta los avances del proyecto 3.2 sobre promoción del manejo eficiente y sostenible del suelo y agua en el cultivo.</t>
  </si>
  <si>
    <t>2.2.6. Promover la agregación de valor en la producción de papa, aprovechando la diversidad genética de la papa con que cuenta Colombia, a través de capacitación, acompañamiento técnico, en elementos diferenciadores como, certificaciones BPA, producción orgánica, funcionalidad, sellos verdes, denominación de origen, entre otras, así como a  través de acuerdos entre productores y procesadores, y alianzas con empresas certificadoras, en el marco de la Resolución 30021 de 2017 que establece los requisitos para la Certificación en BPA en la producción primaria de vegetales y otras especies para consumo humano y la Resolución 329 de 2021 que reglamenta el sistema de Trazabilidad Vegetal.</t>
  </si>
  <si>
    <t>2.2.7. Fomentar inversiones en procesos de adecuación y mejoramiento de suelos, a través de instrumentos financieros e incentivos; y teniendo en cuenta los avances de los proyectos 3.2 sobre Promoción del manejo eficiente y sostenible del suelo y agua, y 8.4 sobre fortalecimiento y creación de instrumentos de financiamiento, para la cadena de la papa.</t>
  </si>
  <si>
    <t>2.2.9. Implementar un mecanismo de monitoreo del nivel de adopción e impacto en la productividad, la escala, la competitividad y la empresarización, de las prácticas de manejo, las tecnologías y modelos de gestión empresarial aplicados por los productores, en las regiones productoras de papa.</t>
  </si>
  <si>
    <t>2.3.  Fortalecimiento de las capacidades técnicas y empresariales de MiPymes procesadoras  de papa</t>
  </si>
  <si>
    <t>2.3.1. Identificar y seleccionar MiPymes procesadoras de papa a nivel regional, que requieran asistencia técnica y extensión agroindustrial, para el fortalecimiento de sus capacidades empresariales, y para el acondicionamiento y transporte de papa, la fabricación de derivados, y otras, teniendo en cuenta las caracterizaciones a nivel regional de la actividad 8.3.3, y de los avances en I+D+i (proyecto 6.1).</t>
  </si>
  <si>
    <t>2.3.2. Conformar y fortalecer redes colaborativas para los servicios de extensión, consolidando estrategias direccionadas a la cadena de la papa, teniendo en cuenta los desarrollos tecnológicos generados en I+D+i (Proyecto 6.1).</t>
  </si>
  <si>
    <t>2.3.3. Realizar capacitación, y prestar asistencia técnica y extensión agroindustrial a las MiPymes procesadoras, transportadoras y comercializadoras de papa, en temas de inocuidad, gestión ambiental, aprovechamiento de la papa no comercial y de los residuos del proceso industrial, entre otros, teniendo en cuenta el sistema de Trazabilidad Vegetal (Resolución 329 de 2021) y la reglamentación para la aplicación de las BPM (Decreto 3075 de 1997).</t>
  </si>
  <si>
    <t>2.3.4. Realizar el acompañamiento y capacitación básica a procesadores en planeación estratégica, gestión empresarial (monitoreo  de costos, rentabilidad y talento humano), indicadores de productividad, formación de talento humano, desarrollo de alianzas comerciales y la adecuada gestión de proveedores de servicios e insumos, que les permita la formulación o el fortalecimiento de su plan de negocios.</t>
  </si>
  <si>
    <t>2.3.5. Conectar la demanda de los procesadores y comercializadores de productos de la cadena de la papa con la asistencia técnica especializada en temas gerenciales, administrativos, de sanidad e inocuidad, procesos industriales que usan la papa como materia prima, aprovechamiento de atributos diferenciales asociados a su calidad, fabricación de nuevos productos, y gestión de la cadena de suministro.</t>
  </si>
  <si>
    <t>2.3.6. Promover la agregación de valor a través de alianzas con empresas certificadoras, en elementos diferenciadores para la papa y sus derivados (empaques, certificaciones BPM, componentes nutricionales, producción orgánica, sellos verdes, denominación de origen, entre otras).</t>
  </si>
  <si>
    <t>2.4. Promoción de la integración y las alianzas estratégicas en la cadena de la papa</t>
  </si>
  <si>
    <t>2.4.2. Realizar acompañamiento comercial y financiero a productores, organizaciones de productores, procesadores y comercializadores, para la suscripción e implementación de acuerdos comerciales, de desarrollo de proveedores y de inversión, fomentando alianzas de mediano y largo plazo que mejoren la estabilidad de la oferta y la competitividad de la cadena.</t>
  </si>
  <si>
    <t>2.4.3. Monitorear la consolidación de las alianzas estratégicas, y acuerdos comerciales y de inversión entre los agentes de la cadena en las regiones.</t>
  </si>
  <si>
    <t>2.5.4. Promover la creación de empresas agroindustriales regionales para el procesamiento de papa y fabricación de derivados, brindando acompañamiento técnico y cofinanciación para la formulación y ejecución de planes de negocio.</t>
  </si>
  <si>
    <t>2.6. Optimización de la oferta de insumos y servicios asociados a la cadena.</t>
  </si>
  <si>
    <t>2.6.1. Identificar a los proveedores de insumos y servicios comerciales, técnicos y logísticos, de las regiones productoras de papa, a partir de la caracterización regional de la actividad 8.3.3, con el fin de que adecuen su oferta con las necesidades de los productores y procesadores de papa.</t>
  </si>
  <si>
    <t>2.6.2. Promover alianzas estratégicas entre productores y procesadores de papa, con proveedores de insumos y servicios para la cadena, para lograr economías de escala y sinergias que permitan mayor eficiencia y rentabilidad en los procesos, en articulación con la Resolución 101 de 2022 por medio de la cual se reglamenta parcialmente el articulo 19 de la Ley 2183 de 2022, relacionado con las operaciones autorizadas al Fondo para el acceso a los insumos agropecuarios.</t>
  </si>
  <si>
    <t>2.6.3. Capacitar y brindar acompañamiento técnico, comercial y financiero, a MiPymes comercializadoras y adecuadoras de papa, sobre labores de selección, limpieza, clasificación, empaque, almacenamiento, entre otras, para facilitar y mejorar la comercialización de papa, en el marco del  Decreto 3075 de 1997 sobre BPM y los Planes Departamentales de Extensión Agropecuaria - PDEA (Ley 1876 de 2017).</t>
  </si>
  <si>
    <t>2.6.4. Promover la especialización en empaque, embalaje y transporte de papa y sus derivados, a través de acompañamiento técnico y de la divulgación de los instrumentos financieros disponibles a los productores, comercializadores y agroindustriales, conforme con la Resolución 0224 de 2007, por la cual se expide el Reglamento Técnico No. RTC-002 MDR de requisitos mínimos que deben cumplir los empaques de los productos agrícolas para consumo humano que se importen, se produzcan y se comercialicen en el territorio nacional.</t>
  </si>
  <si>
    <t>2.6.5. Fomentar la creación y fortalecimiento de empresas especializadas proveedoras de bienes y servicios para la cadena de la papa (insumos, labores de poscosecha, maquinaria agrícola, agricultura de precisión, logística, etc.), a través de acompañamiento técnico y de la divulgación de los instrumentos financieros disponibles, tales como la Ley 2186 del 2022 que fortalece el financiamiento de los pequeños y medianos productores agropecuarios.</t>
  </si>
  <si>
    <t>3.1.1. Realizar campañas de sensibilización y divulgación de la normatividad relacionada con los páramos y otras áreas protegidas y de exclusión, a los productores de papa con cultivos ubicados fuera de la frontera agrícola (Resolución 261 de 2018 de Minagricultura), cuya producción se encuentre vinculada a estas áreas.</t>
  </si>
  <si>
    <t>3.2. Promoción del manejo eficiente y sostenible del suelo y agua, en el cultivo de papa</t>
  </si>
  <si>
    <t>3.2.1. Brindar asistencia técnica y apoyo financiero a los productores de papa, para la adopción de buenas prácticas de recuperación, uso y manejo sostenible del suelo y en la conservación y optimización del uso del agua, tales como: labranza de conservación, rotación de cultivos, recuperación de áreas degradadas, uso de bioinsumos, manejo de residuos, aprovechamiento de biomasa, y en general las buenas prácticas agrícolas y de adopción de tecnologías de producción limpias, de acuerdo con la normatividad ambiental vigente y la disponibilidad y capacidad de regulación hídrica de las respectivas regiones productoras de papa.</t>
  </si>
  <si>
    <t xml:space="preserve">3.2.2. Realizar acompañamiento técnico a los productores de papa, en la implementación de los Planes Maestros de Reconversión Productiva - PMRP que se formulen para la cadena, en áreas con condicionantes ambientales para la producción de papa, al interior de la frontera agrícola (Resolución 261 de 2018 de Minagricultura), incluidos los habitantes tradicionales de páramo que desarrollen la actividad agrícola de bajo impacto y ambientalmente sostenible en páramos, de acuerdo con lo establecido en la Resolución 1294 de 2021 de Minagricultura y Minambiente y demás normatividad vigente (Ley 1930 de 2018 sobre gestión integral de los páramos y Resolución 886 de 2018 de Minambiente sobre zonificación y régimen de usos en las áreas de páramos delimitados).  </t>
  </si>
  <si>
    <t>3.2.3. Fomentar la financiación y cofinanciación requerida en el aumento de la capacidad de captación, almacenamiento y aprovechamiento del agua en soluciones individuales o colectivas (distritos de adecuación de tierras, sistemas de irrigación y drenaje, riego intrapredial, reservorios, reutilización, pozos profundos, entre otros) de acuerdo con las características de las regiones productoras de papa, teniendo en cuenta la Política Nacional para la Gestión Integral del Recurso Hídrico, el Plan Nacional de Riego 2020-2039 (Resolución 311 de 2020 de Minagricultura), entre otros instrumentos.</t>
  </si>
  <si>
    <t>3.2.4. Socializar, difundir, y capacitar a los productores y demás agentes de la cadena, sobre el uso adecuado de la información agroclimática disponible y actualizada, de acuerdo con las proyecciones climáticas, características de las regiones productoras de papa, y los riesgos climáticos, para orientar y favorecer la planificación de la actividad productiva primaria, en concordancia con el Plan integral de Gestión de Cambio Climático del sector agropecuario (Resolución 355 de 2021), la Ley 2169 de 2021 de impulso al desarrollo bajo en carbono del país, entre otros instrumentos.</t>
  </si>
  <si>
    <t xml:space="preserve">3.2.5. Promover la implementación del instrumento de Pago por Servicios Ambientales - PSA (CONPES 3886 de 2017 y Decreto Ley 870 de 2017), en el marco de alianzas o acuerdos público - privados o entre privados, a través de procesos de divulgación y capacitación. </t>
  </si>
  <si>
    <t>3.3.1. Realizar capacitaciones a los agentes dedicados a la comercialización, adecuación y procesamiento de papa y sus derivados, sobre la implementación de la normatividad ambiental aplicable a los procesos que desarrollan en la comercialización y en la transformación, así como capacitarlos en el registro de iniciativas de reducción de emisiones de GEI (Resolución 1447 de 2018 de Minambiente).</t>
  </si>
  <si>
    <t>3.3.2. Identificar y divulgar los desarrollos en tecnologías de producción bajas en carbono, modelos de economía circular y energías alternativas, y promover su implementación por parte de comercializadores y procesadores de papa, teniendo en cuenta la Política Nacional para la Gestión Integral de Residuos Sólidos (CONPES 3874 de 2016), la Gestión ambiental de los residuos de envases y empaques (Resolución 1407 de 2018), las metas y medidas para el impulso al desarrollo bajo en carbono del país (Ley 2169 de 2021), entre otros instrumentos.</t>
  </si>
  <si>
    <t>4.1.1. Socializar y divulgar la normatividad relacionada con la frontera agrícola (Resolución 261 de 2018 de Minagricultura), a los productores y demás actores de la cadena de la papa.</t>
  </si>
  <si>
    <t xml:space="preserve">4.1.3. Orientar las inversiones del sector privado en el cultivo de papa, al interior de la frontera agrícola, aprovechando el potencial de las unidades productivas en zonas aptas para este cultivo, y considerando los escenarios de variabilidad y cambio climático en el desarrollo especializado de las regiones productoras; a través de los instrumentos de política nacional y regional, en el marco de lo establecido en las zonificaciones de aptitud del cultivo comercial de papa y del cultivo tecnificado de papa Diacol Capiro para uso industrial.  </t>
  </si>
  <si>
    <t xml:space="preserve">4.2.3. Diseñar e implementar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(Resolución 383 de 2019 de Minagricultura). </t>
  </si>
  <si>
    <t>5.1. Contribución al incremento del nivel educativo de los actores vinculados a la cadena de la papa</t>
  </si>
  <si>
    <t>5.1.1. Realizar un análisis de las necesidades de acceso, cobertura y calidad de la educación básica primaria, secundaria y superior, de los actores vinculados a la cadena de la papa, a partir de la información generada en la caracterización regional del proyecto 8.3.</t>
  </si>
  <si>
    <t>5.1.2. Promover convenios con las entidades competentes y establecer una red colaborativa, para fomentar el acceso a programas de educación básica primaria, secundaria y superior de los actores vinculados a la cadena de la papa, en articulación con las Estrategias del Plan Especial de Educación Rural (Resolución 021598 de 2021 de Mineducación).</t>
  </si>
  <si>
    <t>5.1.3. Articular programas y gestionar incentivos y mecanismos de financiación, dirigidos a contribuir con la mejora al acceso, cobertura y calidad de la educación de los actores vinculados a la cadena de la papa.</t>
  </si>
  <si>
    <t>5.1.4. Fomentar la articulación con entidades gubernamentales, del ámbito local, regional y nacional, para mejorar el acceso tanto a equipos de cómputo como a la conectividad, con el fin de impulsar y fomentar el uso de las TIC por parte de los actores vinculados a la cadena de la papa.</t>
  </si>
  <si>
    <t>5.2. Promoción de la atención de las necesidades básicas y complementarias de los actores vinculados a la cadena.</t>
  </si>
  <si>
    <t>5.2.1. Priorizar y seleccionar productores de papa y otros actores vinculados a la cadena, según su condición de vulnerabilidad, a partir de la caracterización regional de la actividad 8.3.3.</t>
  </si>
  <si>
    <t>5.2.2. Realizar acompañamiento a los pequeños productores de papa y sus familias, con el fin de mejorar la seguridad alimentaria, enfatizando en el uso y aprovechamiento de los recursos generados en su unidad productiva, y en la incorporación de alternativas rentables de rotación e integración al sistema productivo, fomentando espacios para la comercialización rural de excedentes, tales como circuitos cortos de comercialización, mercados campesinos y comunitarios, compras públicas locales, entre otros.</t>
  </si>
  <si>
    <t xml:space="preserve">5.2.3. Contribuir con la promoción de programas a nivel local, regional y nacional, relacionados con el mejoramiento de las condiciones de: acceso y calidad de la nutrición de la población, vivienda, salud, entre otros, de los pequeños productores de papa y actores vinculados a la cadena con condiciones de vulnerabilidad. </t>
  </si>
  <si>
    <t>5.2.4. Priorizar zonas estratégicas de intervención, para el mejoramiento de la infraestructura de conectividad vial y cobertura de servicios públicos en las regiones productoras de papa, a partir de la caracterización regional de la actividad 8.3.3, y contribuir con la gestión de acciones que permitan incorporar en los procesos de planificación nacional, departamental y local, estas las necesidades priorizadas por la cadena.</t>
  </si>
  <si>
    <t>5.3. Promoción de la formalización empresarial y laboral en la cadena de la papa</t>
  </si>
  <si>
    <t>5.3.1. Capacitar y brindar acompañamiento técnico a los agentes económicos de la cadena de la papa, en constitución, aspectos laborales, financieros, tributarios y cumplimiento de normatividad laboral y ambiental.</t>
  </si>
  <si>
    <t>5.3.2.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 en articulación con el Plan Progresivo de Protección Social y de Garantía de Derechos de los trabajadores y trabajadoras rurales (Resolución 2951 de 2020 de Mintrabajo).</t>
  </si>
  <si>
    <t>5.3.3. Promover e implementar incentivos e instrumentos financieros que fomenten la formalización empresarial, ambiental y laboral de la cadena de la papa, acorde con el avance en el diseño de instrumentos de la actividad 8.4.7.</t>
  </si>
  <si>
    <t>5.4. Fomento de esquemas de asociatividad en la cadena</t>
  </si>
  <si>
    <t>5.4.1. Clasificar y seleccionar las organizaciones actuales, y los núcleos de actores con potencial asociativo, dedicados a la producción y/o comercialización y/o procesamiento de papa, teniendo en cuenta la caracterización regional de la actividad 8.3.3., y la implementación del Plan Nacional de Fomento a la Economía Solidaria y Cooperativa Rural - PLANFES (Resolución No 2950 de 2020 de Mintrabajo), y en concordancia con los lineamientos de política pública para la asociatividad rural (Resolución 161 del 2021).</t>
  </si>
  <si>
    <t>5.4.2. Capacitar y orientar a los productores, comercializadores y procesadores de papa seleccionados, en  economía solidaria, modelos de gestión empresarial.</t>
  </si>
  <si>
    <r>
      <t>5.4.3. Incentivar el fortalecimiento y crecimiento de las organizaciones seleccionadas, a través de acompañamiento comercial y financiero, para la suscripción e implementación de acuerdos comerciales</t>
    </r>
    <r>
      <rPr>
        <strike/>
        <sz val="12"/>
        <color theme="1"/>
        <rFont val="Arial"/>
        <family val="2"/>
      </rPr>
      <t xml:space="preserve">, </t>
    </r>
    <r>
      <rPr>
        <sz val="12"/>
        <color theme="1"/>
        <rFont val="Arial"/>
        <family val="2"/>
      </rPr>
      <t xml:space="preserve">desarrollo de proveedores, entre otros teniendo en cuenta el avance en el diseño de instrumentos de política de la actividad 8.4.7. </t>
    </r>
  </si>
  <si>
    <t>5.4.4. Promover las inversiones en infraestructura, equipos, capital humano y de trabajo de las organizaciones seleccionadas, a través de instrumentos financieros y no financieros teniendo en cuenta los avances en el proyecto 8.4 "Fortalecimiento y creación de instrumentos de financiamiento, comercialización, gestión de riesgos y empresarización para la cadena de la papa" y teniendo en cuenta instrumentos como el incentivo modular de alianzas productivas (Decreto 321 del 2002 y sus decretos modificatorios).</t>
  </si>
  <si>
    <t>5.4.5. Monitorear los avances de las organizaciones asistidas y seleccionar casos exitosos para realizar transferencias bajo métodos de evaluación comparativa (benchmarking) de los temas priorizados, en las regiones productoras de papa.</t>
  </si>
  <si>
    <t xml:space="preserve">6.1.5. Diseñar e implementar una estrategia financiera para la articulación, concurrencia y gestión de fuentes de inversión y financiación públicas y privadas, así como de cooperación internacional, dirigidas a la implementación del modelo de I+D+i, asistencia técnica, y extensión agrícola e industrial, para la cadena de la papa, con enfoque regional en las líneas de investigación estratégicas concertadas por la cadena de la papa. </t>
  </si>
  <si>
    <t>6.1.7. Conectar la oferta y la demanda de servicios de innovación para la cadena de la papa en propiedad intelectual, desarrollo de nuevos productos, optimización y desarrollo de nuevos procesos, inteligencia competitiva, entre otros, a través de instrumentos de política que promuevan la innovación.</t>
  </si>
  <si>
    <t>6.1.8. Impulsar la creación, desarrollo y/o fortalecimiento de modelos y/o empresas especializadas en la prestación de servicios de asistencia técnica y extensión agrícola e industrial, a través de instrumentos financieros y no financieros.</t>
  </si>
  <si>
    <t>6.1.9. Realizar el seguimiento y monitoreo de los avances en I+D+i de la cadena de la papa, considerando aspectos como vigilancia tecnológica e inteligencia competitiva y diseñar un mecanismo de monitoreo del nivel de adopción e impacto de las tecnologías generadas para esta cadena, armonizado con el SNIA (Ley 1876 de 2017).</t>
  </si>
  <si>
    <t>6.2.1. Identificar y evaluar la oferta de formación, capacitación y cobertura de investigadores, profesionales, técnicos y tecnólogos, realizando un análisis de brechas de formación, en temas específicos requeridos por la cadena de la papa, en articulación con el Subsistema Nacional de Formación y Capacitación para la Innovación Agropecuaria creado por la Ley 1876 de 2017.</t>
  </si>
  <si>
    <t>7.1.3. Evaluar y mejorar los programas del ICA dirigidos al monitoreo y control integrado de plagas y enfermedades, considerando, medidas sobre el uso de plaguicidas en el cultivo y almacenamiento, registro, períodos de retiro y demás medidas oportunas, para la prevención de riesgos fitosanitarios y de inocuidad, en articulación con el Decreto 4765 de 2008 por el cual se modifica la estructura del ICA y sus Decretos modificatorios.</t>
  </si>
  <si>
    <t xml:space="preserve">7.1.4. Desarrollar una estrategia financiera para garantizar la disponibilidad de los recursos requeridos por el Sistema Nacional de IVC, en correcta articulación interinstitucional y bajo el amparo de estándares internacionales, que fortalezcan la capacidad operativa de las autoridades sanitarias y de inocuidad, teniendo en cuenta la Política Nacional de Laboratorios: Prioridades para Mejorar el Cumplimiento de Estándares de Calidad y otros instrumentos (CONPES 3957 de 2019). </t>
  </si>
  <si>
    <t>7.2.1. Realizar un análisis y evaluación de la normatividad vigente a lo largo de la cadena de papa, identificando los requerimientos de actualización y/o nueva reglamentación, estableciendo un plan de actividades y tiempos para realizar su seguimiento y ajuste oportuno.</t>
  </si>
  <si>
    <t>7.2.2. Realizar seguimiento a la reglamentación del sistema de autorización a terceros  (Acuerdo 005 de 2020 del ICA) en cuanto a los servicios de certificación oficial de semilla.</t>
  </si>
  <si>
    <t xml:space="preserve">7.2.3. Diseñar las normas técnicas para la comercialización de la papa fresca y procesada, y promover su aplicación entre los actores de la cadena. </t>
  </si>
  <si>
    <t>7.2.4. Capacitar, socializar, y brindar acompañamiento técnico para la implementación de las normas técnicas y/o la normatividad, a los actores la cadena de la papa.</t>
  </si>
  <si>
    <t>7.3.3. Fortalecer la implementación de medidas de defensa comercial, por parte de Mincomercio, en el marco de los procedimientos y determinantes adelantados sobre prácticas comerciales irregulares, al ingreso de papa procesada a Colombia.</t>
  </si>
  <si>
    <t>8.2.1. Realizar un análisis de alternativas orientadas a que el Consejo Nacional de la Papa, fortalezca su capacidad ejecutiva, técnica y operativa, con participación representativa de los actores de la cadena tanto en el ámbito nacional como regional, así como para crear y fortalecer los comités regionales; seleccionando la alternativa óptima que cuente con factibilidad técnica, financiera y jurídica para su desarrollo, acorde con lo establecido sobre la creación y funcionamiento de organizaciones de cadena en el sector agropecuario (Ley 811 de 2003) y la Resolución 81 de 2011 de Minagricultura que reconoce la Organización de la Cadena Agroalimentaria de la Papa y su Industria.</t>
  </si>
  <si>
    <t xml:space="preserve">8.3.1. Elaborar un estudio técnico, financiero, jurídico y operativo para el desarrollo de un Sistema integral de Información para la cadena de la papa,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y seleccionando la mejor alternativa para la gestión de la información sectorial a nivel nacional y regional, articulada con el Plan Estadístico Sectorial Agropecuario - PES Agropecuario  2022-2026 y el Sistema Nacional Unificado de Información Rural y Agropecuaria - SNUIRA. </t>
  </si>
  <si>
    <t>8.3.3. Caracterizar la producción, comercialización y procesamiento de la papa, a nivel regional, identificando productores, empresas, esquemas asociativos, y de integración vertical y horizontal, actuales y potenciales, y su oferta de productos y desempeño, modelos de negocio exitosos a lo largo de la cadena, inventario de la infraestructura y equipos para almacenamiento, adecuación y transformación, e identificación de productores de semilla certificada, necesidades de formación básica y técnica de productores, procesadores, y comercializadores, entre otros aspectos.</t>
  </si>
  <si>
    <t xml:space="preserve">8.4.3. Diseñar y/o mejorar programas que permitan la inclusión financiera de pequeños y medianos productores de papa y MiPymes relacionadas con la cadena, que redunden en la mejora en el acceso y cobertura tanto al crédito de fomento como al comercial, articulado con la Ley de fortalecimiento al financiamiento de los pequeños y medianos productores agropecuarios (Ley 2186 del 2022). </t>
  </si>
  <si>
    <t xml:space="preserve">8.4.5. Diseñar y/o mejorar los instrumentos para la gestión de riesgos climáticos, biológicos y de mercados, fortaleciendo e incrementando el uso de seguros agrícolas, los contratos de futuro y las coberturas de precios y tasa de cambio, entre otros, relacionados con la cadena de la papa, en articulación con la Ley de seguridad jurídica y financiera del seguro agropecuario (Ley 2178 de 2021). </t>
  </si>
  <si>
    <t xml:space="preserve">8.4.6. Diseñar y/o mejorar instrumentos de política, para promover la asociatividad y la integración, a lo largo de la cadena de la papa, articulado con los lineamientos de Política Pública para la asociatividad Rural Productiva (Resolución 161 de 2021). </t>
  </si>
  <si>
    <t>8.4.7. Diseñar y/o mejorar instrumentos de política para promover la formalización y empresarización, a lo largo de la cadena de la papa, teniendo en cuenta, entre otros, la Política de formalización empresarial (CONPES 3956 de 2019).</t>
  </si>
  <si>
    <t>8.4.8. Promover la evaluación y actualización periódica de los beneficios tributarios para las inversiones, acordes con las necesidades de la cadena de la papa, valorando las condiciones de acceso a estos y su aplicación a las particularidades de la actividad productiva, así como su impacto en la inversión, empleo, avance tecnológico y competitividad en la cadena.</t>
  </si>
  <si>
    <t xml:space="preserve">8.4.9. Contribuir en el desarrollo de acciones que mejoren la gestión y el recaudo de la cuota de fomento de la papa, acordes con lo establecido en la Ley 1707 de 2014, por medio de la cual se crea el Fondo de Fomento y se establecen las normas para el recaudo y administración de la cuota de fomento. </t>
  </si>
  <si>
    <t xml:space="preserve">8.4.10. Evaluar técnica y jurídicamente la creación de instrumentos y/o mecanismos de estabilización de precios para la papa fresca. </t>
  </si>
  <si>
    <t xml:space="preserve">Total año </t>
  </si>
  <si>
    <t>Incentivos a seguros agropecuarios y/o instrumentos de mitigación de riesgos</t>
  </si>
  <si>
    <t xml:space="preserve">Fomento Compras convenios públicas </t>
  </si>
  <si>
    <t>Incentivo marcas y sellos productores</t>
  </si>
  <si>
    <t>Implementación de otros instrumentos de  comercialización para la cadena</t>
  </si>
  <si>
    <t>Desarrolladores de aplicaciones para comercializar</t>
  </si>
  <si>
    <t xml:space="preserve">Incentivos valor agregado microempresas </t>
  </si>
  <si>
    <t>Valor muestra</t>
  </si>
  <si>
    <t>Talleres Prácticos</t>
  </si>
  <si>
    <t>Global/ Costo Promedio</t>
  </si>
  <si>
    <t>Campañas Institucionales</t>
  </si>
  <si>
    <t>Incentivo a la compra de semilla certificada/ nuevas variedades</t>
  </si>
  <si>
    <t xml:space="preserve">Incentivos agregación de valor  microempresas </t>
  </si>
  <si>
    <t>Incentivos agregación de valor pequeñas</t>
  </si>
  <si>
    <t>Incentivos agregación de valor  medianas</t>
  </si>
  <si>
    <t>Total año del 2 al 6 año</t>
  </si>
  <si>
    <t>1.1.5. Desarrollar y posicionar marcas y sellos distintivos de papa y sus derivados, diferenciados, en los ámbitos local, regional y nacional, teniendo en cuenta posibles sinergias con las estrategias de los gobiernos nacionales y departamentales para resaltar características diferenciales de los productos colombianos.</t>
  </si>
  <si>
    <t>1.2.5. Implementar, fortalecer y divulgar instrumentos y mecanismos que incentiven la exportación de los productos de la cadena de la papa.</t>
  </si>
  <si>
    <t>1.3.1. Socializar y capacitar a los agentes de la cadena en la aplicación de la normatividad y las normas técnicas para la comercialización de la papa fresca, que se diseñen en la actividad 7.2.3, para formalizar y mejorar las condiciones de comercialización según las variedades, las necesidades del consumidor, entre otras.</t>
  </si>
  <si>
    <t xml:space="preserve">1.3.5. Escalar la implementación de los instrumentos de comercialización de papa, de acuerdo con los estudios de la actividad 8.3.4 y los avances de la actividad 8.4.4, sobre diseño y/o mejora de instrumentos de comercialización, a partir de incentivos y cofinanciación específica para los usuarios de estos instrumentos, así como de priorizar su atención en los diferentes programas estatales. </t>
  </si>
  <si>
    <t>2.1.5. Promover la construcción, mejora, adquisición o adecuación de infraestructura y equipos para el manejo poscosecha de la semilla en la fase de campo (selección, clasificación, tratamiento, empaque, rótulo y marbete), a través de incentivos e instrumentos financieros.</t>
  </si>
  <si>
    <t>6.1.1. Realizar un estudio de viabilidad técnica, financiera y jurídica, para el diseño y operación de un Centro o Instituto de Investigación Nacional de la cadena de la papa, y de acuerdo con el resultado de este análisis, ejecutar las acciones requeridas para su implementación bajo los lineamientos de Minciencias sobre la creación y funcionamiento de centros o institutos de investigación.</t>
  </si>
  <si>
    <t xml:space="preserve">6.1.2. Concertar y diseñar el modelo de I+D+i, asistencia técnica, y extensión agrícola e industrial, específico para la cadena de la papa, bajo los lineamientos del SNIA (Ley 1876 de 2017), PECTIA, los PDEA y el Plan Nacional de Asistencia Integral Técnica, Tecnológica y de Impulso a la Investigación (Resolución 132 de 2022), con enfoque territorial y con la participación articulada de instituciones y actores públicos y privados, considerando los proyectos ejecutados y en curso en I+D+i y las necesidades en desarrollos tecnológicos y en procesos de extensionismo, de esta cadena.  </t>
  </si>
  <si>
    <t xml:space="preserve">6.1.3. Conformar y fortalecer redes colaborativas bajo esquemas de participación dinámica, conjunta y permanente entre los actores públicos y privados del ámbito regional, nacional e internacional, para la adquisición, modernización y aprovechamiento eficiente de la infraestructura, equipamientos y recursos dirigidos a I+D+i, asistencia técnica, y extensión agrícola e industrial en la cadena de la papa, considerando las instancias, instrumentos y referentes internacionales, existentes en esta materia. </t>
  </si>
  <si>
    <t xml:space="preserve">6.1.4. Impulsar la actualización de la agenda de I+D+i de la cadena de la papa, liderada por el Minagricultura y Agrosavia, con enfoque regional, en las líneas de investigación estratégicas concertadas por los actores, con énfasis en: desarrollo de nuevas variedades de papa y de insumos, manejo cosecha, poscosecha, almacenamiento y transformación, calidad e inocuidad de insumos y productos, transferencia de tecnología, asistencia técnica e innovación, manejo y sostenibilidad ambiental, gestión climática, innovación de productos para consumo y para procesamiento industrial, y productos diferenciados a partir de  la diversidad genética de la papa colombiana, entre otras líneas de investigación priorizadas por la cadena.  </t>
  </si>
  <si>
    <t xml:space="preserve">6.1.6. Fortalecer el desarrollo de nuevas variedades de papa, con mejores características de rendimiento, calidad, funcionalidad y precocidad que respondan a las necesidades del mercado nacional y de exportación; y para la adaptación a la variabilidad y al cambio climático, priorizando la labor de las  redes de trabajo colaborativas y la asignación de recursos de I+D+i en esta actividad. </t>
  </si>
  <si>
    <t>Feria comercial nacional</t>
  </si>
  <si>
    <t>Incentivo al desarrollo de procesos para transformación pequeñas</t>
  </si>
  <si>
    <t>Incentivo al desarrollo de procesos para transformación medianas</t>
  </si>
  <si>
    <t xml:space="preserve">Otros mecanismos </t>
  </si>
  <si>
    <t>Incentivo para la integración vertical y horizontal pequeñas</t>
  </si>
  <si>
    <t>Incentivo para la integración vertical y horizontal medianas</t>
  </si>
  <si>
    <t>Bodegas  mediana capacidad (hasta 120 ton de papa)</t>
  </si>
  <si>
    <t>Incentivo fortalecimiento empresas medianas para el procesamiento de papa</t>
  </si>
  <si>
    <t>Incentivo al mejoramiento de infraestructura de procesamiento pequeñas</t>
  </si>
  <si>
    <t>Incentivo al mejoramiento de infraestructura de procesamiento medianas</t>
  </si>
  <si>
    <t>Del año 2 al año 11</t>
  </si>
  <si>
    <t>Incentivo marcas y sellos microempresas mdo interno</t>
  </si>
  <si>
    <t xml:space="preserve">Incentivo marcas y sellos medianas </t>
  </si>
  <si>
    <t>Del año 5 al año 12</t>
  </si>
  <si>
    <t>Talleres prácticos</t>
  </si>
  <si>
    <t>Total 7 al 11</t>
  </si>
  <si>
    <t>Se estima realizar 1 taller nacional y 1 taller presencial por región (5) (se priorizan las 4 regiones de papa de los departamentos de Cundinamarca, Boyacá, Nariño y Antioquia),  para la socialización  y acompañamiento en temas de aplicación de normatividad, así mismo la revisión normativa se plantea una mesa presencial de trabajo por región (4) y el seguimiento de los avances a través de una mesa de trabajo virtual por región (4), se fortalece la estrategia de divulgación con un plan de medios radial institucional y un monto por región para material de divulgación de $3.000.000.  Para liderar el desarrollo de las actividades se proyecta un equipo experto interdisciplinario de 3 personas con un promedio salarial de $8.963.563,  considerando el desplazamiento y viáticos, así como un profesional encargado de la revisión y actualización gradual y permanente de la normatividad, con un promedio salarial de $7.233.751 durante 10 meses.</t>
  </si>
  <si>
    <t xml:space="preserve">Se estima realizar dos mesas de trabajo presencial por cada región (8) y dos mesas de trabajo virtual por cada región (8) (se priorizan los comités regionales Cundinamarca, Boyacá, Nariño y Antioquia). Se realiza un taller de divulgación regional presencial (4). Para el desarrollo de las actividades nacionales se proyecta  un equipo gestor especializado de 4 profesionales con un salario promedio de $8.963.563 dedicación de 50% 1 que comparte funciones con el proyecto 8.1 y el fortalecimiento de un equipo regional conformado por 1 persona por región con salario promedio de $3.931.384 (4 áreas priorizadas)  y rodamientos y apoyos tecnológicos. Se deja por definir otras formas de fortalecimiento del CNP, considerando la información con la que se cuenta. </t>
  </si>
  <si>
    <t xml:space="preserve">Se estima realizar talleres de divulgación presenciales uno a nivel nacional y una taller por región (13), se estima pago anual de la plataforma de información para el monitoreo del mercado internacional la cual se estima en $3000 dólares, el trabajo entre entidades y actores de la cadena se prevé realizar a través de mesas de trabajo, una mesa presencial por cada región (12) y dos mesas de trabajo virtual por región (24).  Para este proyecto se requiere de un equipo especializado de gestión y fortalecer el equipo regional que tiene la función principal de recoger la información primaria que permita la caracterización de la cadena y línea base actualizada, además de articular los diferentes actores en cada región, para tal fin se proyectan  3 profesionales con un promedio salarial de $8.963.563 para el apoyo de las actividades del proyecto a nivel nacional y el fortalecimiento de un equipo regional con profesionales con una asignación salarial de $3.931.384 para cada una de las regiones (12), considerando el rodamientos y apoyos tecnológicos.  El funcionamiento del sistema de información que incluye los sistemas de información y servicios tecnológicos, Hardware, software y conectividad necesarios para el despliegue del sistema y estrategias de operación, se deja por definir considerando el nivel de información con el que se cuenta. </t>
  </si>
  <si>
    <t>Instructivo</t>
  </si>
  <si>
    <t>Directrices Generales</t>
  </si>
  <si>
    <t xml:space="preserve">Esta hoja contiene las definiciones de los términos empleados en la pestaña de categorías de costos </t>
  </si>
  <si>
    <t>Categorías de Costos</t>
  </si>
  <si>
    <t>Esta hoja contiene los parámetros empleados de manera recurrente para realizar la estimación de costos.  Los parámetros son datos que se consideran como orientativos  para evaluar un rubro o concepto. 
En este sentido la hoja de categoría de costos, es en la cual se parametrizan diferentes costos asociados al sector, como son honorarios, desplazamientos, infraestructura, actividades grupales, rubros de promoción y comunicación entre otros.</t>
  </si>
  <si>
    <t>Estimación de Costos Anualizada</t>
  </si>
  <si>
    <t>Campo</t>
  </si>
  <si>
    <t>Descripción</t>
  </si>
  <si>
    <t>PROGRAMA - PROYECTO /AÑO (0 al 20)</t>
  </si>
  <si>
    <t>0/ 1/ 2/3 …. /20</t>
  </si>
  <si>
    <t>TOTALES</t>
  </si>
  <si>
    <r>
      <t xml:space="preserve">Contiene los valores totales en </t>
    </r>
    <r>
      <rPr>
        <b/>
        <sz val="11"/>
        <color theme="1"/>
        <rFont val="Arial"/>
        <family val="2"/>
      </rPr>
      <t xml:space="preserve">pesos </t>
    </r>
    <r>
      <rPr>
        <sz val="12"/>
        <color theme="1"/>
        <rFont val="Arial"/>
        <family val="2"/>
      </rPr>
      <t>constantes de 2022 para cada programa, proyecto  y totales, a partir de la sumatoria horizontal.</t>
    </r>
  </si>
  <si>
    <t>PART EN TOTAL</t>
  </si>
  <si>
    <t>Contiene el aporte porcentual de cada programa, proyecto al costo estimado total. Se realiza haciendo una división simple entre el valor arrojado para cada programa, proyecto y el total. El valor arrojado es un porcentaje.</t>
  </si>
  <si>
    <t>Estimación a corto, mediano y largo plazo</t>
  </si>
  <si>
    <t>En esta hoja se agrupan los resultados obtenidos en la estimación de costos en períodos denominados corto, mediano y largo plazo. 
Los campos que conformar la hoja de estimación a corto, mediano y largo plazo y su descripción es la siguiente:</t>
  </si>
  <si>
    <t>PROGRAMA - PROYECTO /AÑO (0- 20)</t>
  </si>
  <si>
    <t>Total ( Millones de Pesos)</t>
  </si>
  <si>
    <t xml:space="preserve">Se vincula los valores arrojados en la hoja del estimación detallada por programa y proyecto. </t>
  </si>
  <si>
    <t>Mediano Plazo
 (5 al 12 año)</t>
  </si>
  <si>
    <t>Largo Plazo
 (13 al 20 año)</t>
  </si>
  <si>
    <t>%</t>
  </si>
  <si>
    <r>
      <t xml:space="preserve">Representa el </t>
    </r>
    <r>
      <rPr>
        <b/>
        <sz val="11"/>
        <color theme="1"/>
        <rFont val="Arial"/>
        <family val="2"/>
      </rPr>
      <t xml:space="preserve">porcentaje o participación </t>
    </r>
    <r>
      <rPr>
        <sz val="12"/>
        <color theme="1"/>
        <rFont val="Arial"/>
        <family val="2"/>
      </rPr>
      <t xml:space="preserve"> del programa y proyectos, frente al 100% del costo estimado del Plan de acción.</t>
    </r>
  </si>
  <si>
    <t>Programa</t>
  </si>
  <si>
    <t>Nombre del programa al que corresponde el programa, se vincula de los nombres de los 10 programas dispuestos en la hoja "Estimación de Costos Anualizada"</t>
  </si>
  <si>
    <r>
      <t xml:space="preserve">Nombre del proyecto correspondientes, se vincula de los nombres de los </t>
    </r>
    <r>
      <rPr>
        <sz val="11"/>
        <color rgb="FFFF0000"/>
        <rFont val="Arial"/>
        <family val="2"/>
      </rPr>
      <t>--</t>
    </r>
    <r>
      <rPr>
        <sz val="11"/>
        <color theme="1"/>
        <rFont val="Arial"/>
        <family val="2"/>
      </rPr>
      <t xml:space="preserve"> proyectos dispuestos en la hoja "Estimación de Costos Anualizada"</t>
    </r>
  </si>
  <si>
    <t>Programación</t>
  </si>
  <si>
    <t>Años en los cuales se ejecutaría cada proyecto</t>
  </si>
  <si>
    <t>0, 1, 2, …20</t>
  </si>
  <si>
    <t>Contiene los  valores en pesos constantes de 2022 de cada proyecto acorde con los conceptos presupuestados y su ejecución en el tiempo. Estos valores están vinculados desde los cuadros específicos para cada proyecto..</t>
  </si>
  <si>
    <t>Contiene el valor estimado del proyecto, durante su ejecución y se obtiene de la sumatoria horizontal para cada una de estas.</t>
  </si>
  <si>
    <t>P. ej. Costo Estimado Proyecto 1.</t>
  </si>
  <si>
    <t>DIRECTRICES GENERALES</t>
  </si>
  <si>
    <t>Esta hoja se define que es la Estimación de Costos y se profundiza sobre  conceptos importantes para el proceso. como lo son:  Insumos para la estimación, su alcance  y se realizan consideraciones relevantes en relación con su elaboración.</t>
  </si>
  <si>
    <t xml:space="preserve">Estimación de Costos para la implementación del Portafolio de Programas y Proyectos : </t>
  </si>
  <si>
    <t>Es la suma de los recursos financieros necesarios para desarrollar los proyectos que conforman el Plan de acción.  La estimación de costos es un componente del portafolio de programas y proyectos y el requerimientos de costos es un ejercicio que se realiza de manera preliminar e indicativa, como un valor base para los actores, que debe ser actualizado y ajustado por los actores de acuerdo al desarrollo de los proyectos.  (UPRA, 2021)</t>
  </si>
  <si>
    <t>Insumos para elaborar la Estimación de Costos :</t>
  </si>
  <si>
    <t>El proceso de estimación cuantitativa se realiza a partir de los insumos arrojados en la fase estratégica que son: metas construidas en prospectiva, línea base, lineamientos de política, portafolio de programas y proyectos, productos esperados para cada proyecto, el cronograma de Implementación, así como también la identificación del entorno político relacionado a cada proyecto.  A partir de estos insumos, se efectúa el proceso de costeo para cada proyecto.</t>
  </si>
  <si>
    <t>Alcance de la Estimación de Costos</t>
  </si>
  <si>
    <t>Al Portafolio de Programas y Proyectos de este Plan, aún, no se le han asignado recursos del Gobierno, ni de la UPRA, ni del sector privado, ni de cooperación internacional.
En ese sentido esta Estimación de Costos es la herramienta que permitirá al MADR y a los actores tanto públicos como privados por el sector maíz, saber cuál es la demanda de recursos aproximada para desarrollar los proyectos señaladas en el Portafolio y con ello facilitar gestión de recursos para su implementación.
Esta Estimación de Costos presentado debe ser revisada y actualizada periódicamente.</t>
  </si>
  <si>
    <t>Consideraciones para tener en cuenta sobre la Estimación de Costos.</t>
  </si>
  <si>
    <t>Criterios para elaborar la Estimación de Costos:</t>
  </si>
  <si>
    <t xml:space="preserve">Globalidad: El es  "global" y a través de él se identifican  las necesidades de recursos más generales.
Recursos Escasos: Los recursos para financiar el plan de acción son escasos. Las estimaciones de recursos relacionadas con programas se basan en recursos destinados a programas similares.
Corresponsabilidad: Se busca promover el sentido de la responsabilidad compartida entre los actores para la puesta en marcha del plan de acción y su necesidad de recursos.
Gradualidad en el costo de los recursos: Debido a la limitación en los recursos públicos, se considera realizar la intervención de manera gradual. 
Fuentes de Información confiables: Uso de datos formales del sector
</t>
  </si>
  <si>
    <t>Elementos a tener en cuenta en la Estimación de Costos</t>
  </si>
  <si>
    <t>a. Formato</t>
  </si>
  <si>
    <t>b. Unidad de Medida Definida</t>
  </si>
  <si>
    <t>La unidad de medida  para presupuestar son los proyectos, por lo que se costeará cada una de éstos.</t>
  </si>
  <si>
    <t>c. Técnicas de costeo</t>
  </si>
  <si>
    <t>Para la elaboración de las estimaciones de costos realizadas se emplean algunas de estas técnicas. En el proceso se puede intuir o definir el uso de una o varias técnicas de costeo para la unidad de medida definida.
1. Juicio de expertos: Aporta una perspectiva valiosa  para la elaboración de la categoría de costos y los rubros empleados en el desarrollo de los proyectos y sus actividades;  permite contar con información de proyectos similares anteriores y puede utilizarse para determinar si es conveniente combinar métodos de estimación, así como también orienta en conciliar diferencias entre ellos.
2. Estimación análoga: Utiliza el costo real de proyectos similares anteriores como base para estimar el costo del proyecto actual. 
3. Estimación paramétrica: Consiste en utilizar información histórica para estimar los costos futuros.
4. Estimación ascendente: Estima el costo de cada paquete de trabajo o actividad, con el mayor grado de detalle posible, de manera que el costo se resume en niveles superiores.”</t>
  </si>
  <si>
    <t>Valor indicativo en pesos constantes de 2022 por programa y proyecto.</t>
  </si>
  <si>
    <t>PROGRAMA - PROYECTO / AÑO 1 AL 20</t>
  </si>
  <si>
    <t>TOTAL</t>
  </si>
  <si>
    <t>LEC Capital de trabajo para  procesamiento de papa con aptitud industrial</t>
  </si>
  <si>
    <t>empresas y/o personas</t>
  </si>
  <si>
    <t>Capital de trabajo para adecuación y comercialización de papa adecuada</t>
  </si>
  <si>
    <t>Incentivo fortalecimiento empresas especializadas</t>
  </si>
  <si>
    <t>Cursos cortos Virtuales</t>
  </si>
  <si>
    <t>Desarrollador de software</t>
  </si>
  <si>
    <t xml:space="preserve"> </t>
  </si>
  <si>
    <t xml:space="preserve">Se estiman 12 mesas de trabajo presencial, 6 mesas de trabajo virtuales, talleres y/o eventos de divulgación nacionales y/o regionales 1 por región, talleres y/o evento de divulgación nacional y/o regional virtuales,  plan de medios radial regional, pautas en redes sociales por un monto global de $10 millones, se estiman cursos cortos presenciales 1 por región y virtuales 1 por región,  cursos libres por región, cursos libres virtuales por región, un monto de material promocional de 10 millones.  Se propone un incentivo a las Tics por un valor de $300.000, que corresponde al valor de la Tablet para 10 personas por región, también se estima un incentivo a la conectividad por un valor de $600.000 el cual se calculó para pagar el servicio de internet por un año por región, se estima un monto global de material de promocional de 10 millones. Se estima un equipo humano de  4 personas con un promedio mensual de $7.862.772, se calcula 8 desplazamientos terrestres con sus viáticos y 4 desplazamientos aéreos con sus viáticos, se estima una persona por región, su rodamiento y apoyos tecnológicos, se considera "Por definir" otras formas de articulación. </t>
  </si>
  <si>
    <t>Compras públicas</t>
  </si>
  <si>
    <t>Giras Técnicas</t>
  </si>
  <si>
    <t xml:space="preserve">Se consideran 10 de las 12 regiones productoras de papa (no se incluye para la estimación de costos de este proyecto, región Sabana de Bogotá y región Sur de Antioquia, teniendo en cuenta las áreas de influencia en las cuales se busca apoyar la gestión del ordenamiento ambiental, fuera de la frontera agrícola). Se estiman mesas de trabajo y talleres y/o eventos de divulgación nacionales y/o regionales, presenciales (1 por región) y virtuales (2 por región), días de campo/giras técnicas (5 por región), plan de medios regional y material de promoción (1 por región). Se estima un equipo humano en región de 10 personas, con rodamiento (peajes y combustible) y apoyos tecnológicos (GPS y Tablet); y se considera "Por definir" otras formas de contribución.  </t>
  </si>
  <si>
    <t>Asesoría especializada</t>
  </si>
  <si>
    <r>
      <t>En este anexo se presentan los detalles de los cálculos realizados para estimar los costos de implementación del portafolio de programas y proyectos para la cadena de papa, en pesos constantes de 2022. Esta estimación de costos arroja un valor indicativo de la suma de recursos financieros, que al momento se pueden cuantificar, para lograr las metas propuestas en el plan de acción, es importante aclarar que este es un valor base</t>
    </r>
    <r>
      <rPr>
        <sz val="11"/>
        <color theme="1"/>
        <rFont val="Arial"/>
        <family val="2"/>
      </rPr>
      <t xml:space="preserve">, algunos  de los rubros </t>
    </r>
    <r>
      <rPr>
        <sz val="11"/>
        <rFont val="Arial"/>
        <family val="2"/>
      </rPr>
      <t>quedan descritos c</t>
    </r>
    <r>
      <rPr>
        <sz val="11"/>
        <color theme="1"/>
        <rFont val="Arial"/>
        <family val="2"/>
      </rPr>
      <t>omo “Por definir” ya</t>
    </r>
    <r>
      <rPr>
        <sz val="11"/>
        <rFont val="Arial"/>
        <family val="2"/>
      </rPr>
      <t xml:space="preserve"> que en este momento no se cuentan con suficientes elementos para poder cuantificar su costo; corresponderá a los ejecutores del plan precisar y actualizar esta información. En ese mismo sentido es importante aclarar que los valores consignados en esta estimación, en ningún caso representan asignaciones presupuestales y corresponderá a los ejecutores del plan revisar y actualizar los costos y gestionar la financiación para la implementación  de cada uno de los proyectos.</t>
    </r>
  </si>
  <si>
    <t>En esta hoja se da una definición al componente de "Estimación de Costos" y se profundiza sobre insumos para su elaboración, se limita su alcance  y se precisan puntos relevantes para su elaboración, entre  otros aspectos.</t>
  </si>
  <si>
    <t>Mes 9 año 1</t>
  </si>
  <si>
    <t>Mes 12 del año 20</t>
  </si>
  <si>
    <t>Mes 9 del año 1</t>
  </si>
  <si>
    <t>Mes 3 del año 2</t>
  </si>
  <si>
    <t>Mes 12 del año 19</t>
  </si>
  <si>
    <t>Año 3 al 7</t>
  </si>
  <si>
    <t>Año 8 al 12</t>
  </si>
  <si>
    <t>Total 3 al 12</t>
  </si>
  <si>
    <t>Mes 12 del año 12</t>
  </si>
  <si>
    <t>Mensual</t>
  </si>
  <si>
    <t>Total año 2 al 4 y 13 al 20</t>
  </si>
  <si>
    <t>Total 3 al 12 años</t>
  </si>
  <si>
    <t>Total 3 al 10</t>
  </si>
  <si>
    <t>Mes del año 20</t>
  </si>
  <si>
    <t>Mes 3 del año 1</t>
  </si>
  <si>
    <t>Mes 12 año 20</t>
  </si>
  <si>
    <t>Total 1 al 5</t>
  </si>
  <si>
    <t>Total 6 al 20</t>
  </si>
  <si>
    <t>Mes 1 año 1</t>
  </si>
  <si>
    <t>Mes 3 año 1</t>
  </si>
  <si>
    <t xml:space="preserve">Implementación sistema de seguimiento  y presupuesto POP </t>
  </si>
  <si>
    <t>Total 2 al 20</t>
  </si>
  <si>
    <t>En esta hoja se vincula la estimación de costos realizada para cada Programa (P1 , P2….hasta P8), desde el  año 0 hasta el año 20. Posteriormente se realiza la sumatoria de resultado de la estimación para los programas y de esta manera se tiene el valor de la estimación total de costos de implementación del portafolio de programas y proyectos.
Los campos que conformar la hoja de  estimación de costos anualizada y su descripción son los siguientes:</t>
  </si>
  <si>
    <t xml:space="preserve">La nomenclatura empleada para los programas corresponde del Programa 1 al Programa 8 y para los proyectos se emplea el número del programa seguido del número en el orden consecutivo del proyecto dentro de cada programa (1, 2, 3…8). En este sentido se creará una hoja para cada programa, y en cada una de ellas se costearán los proyectos que lo conforman. </t>
  </si>
  <si>
    <r>
      <t>Contiene los valores presupuestados en</t>
    </r>
    <r>
      <rPr>
        <b/>
        <sz val="11"/>
        <color theme="1"/>
        <rFont val="Arial"/>
        <family val="2"/>
      </rPr>
      <t xml:space="preserve"> pesos</t>
    </r>
    <r>
      <rPr>
        <sz val="12"/>
        <color theme="1"/>
        <rFont val="Arial"/>
        <family val="2"/>
      </rPr>
      <t xml:space="preserve"> constantes de 2022 para </t>
    </r>
    <r>
      <rPr>
        <b/>
        <sz val="11"/>
        <color theme="1"/>
        <rFont val="Arial"/>
        <family val="2"/>
      </rPr>
      <t xml:space="preserve">cada año desde el año 0 hasta el al 20, </t>
    </r>
    <r>
      <rPr>
        <sz val="12"/>
        <color theme="1"/>
        <rFont val="Arial"/>
        <family val="2"/>
      </rPr>
      <t>para los 8</t>
    </r>
    <r>
      <rPr>
        <sz val="12"/>
        <color rgb="FFFF0000"/>
        <rFont val="Arial"/>
        <family val="2"/>
      </rPr>
      <t xml:space="preserve"> </t>
    </r>
    <r>
      <rPr>
        <sz val="12"/>
        <color theme="1"/>
        <rFont val="Arial"/>
        <family val="2"/>
      </rPr>
      <t xml:space="preserve">programas y 27 proyectos . Estos valores están vinculados desde cada hoja de proyecto "P1.1, P1.2…P8."
En color  </t>
    </r>
    <r>
      <rPr>
        <sz val="11"/>
        <color theme="8" tint="0.39997558519241921"/>
        <rFont val="Arial"/>
        <family val="2"/>
      </rPr>
      <t xml:space="preserve">           </t>
    </r>
    <r>
      <rPr>
        <sz val="11"/>
        <rFont val="Arial"/>
        <family val="2"/>
      </rPr>
      <t>se resalta el resultado del presupuesto obtenido para los Programas. 
En color             se resalta el resultado del presupuesto obtenido para los proyectos.
En color             se resalta el resultado del presupuesto final.</t>
    </r>
  </si>
  <si>
    <r>
      <t>Se relacionan en el orden del portafolio de programas y proyectos, los 8</t>
    </r>
    <r>
      <rPr>
        <b/>
        <sz val="11"/>
        <color theme="1"/>
        <rFont val="Arial"/>
        <family val="2"/>
      </rPr>
      <t xml:space="preserve"> programas y 27  proyectos</t>
    </r>
  </si>
  <si>
    <t xml:space="preserve">Contiene los valores estimados en pesos constantes de 2022 para el primer período de implementación, considerado el corto plazo, correspondiente a los 8 programas y 27 proyectos.
Este valor se vincula de la sumatoria de los valores de la hoja "Estimación de Costos Anualizada "para cada programa y proyecto del año 0 al 4. 
</t>
  </si>
  <si>
    <t xml:space="preserve">Contiene los valores estimados en pesos constantes de 2022 para el segundo período de implementación, considerado el mediano plazo, correspondiente a los 8 programas y 27 proyectos.
Este valor se vincula de la sumatoria de los valores de la hoja "Estimación de Costos Anualizada "para cada programa y proyecto del año 5 al 12. 
</t>
  </si>
  <si>
    <t xml:space="preserve">Contiene los valores estimados en pesos constantes de 2022 para el segundo período de implementación, considerado el mediano plazo, correspondiente a los 8 programas y 27 proyectos.
Este valor se vincula de la sumatoria de los valores de la hoja "Estimación de Costos Anualizada "para cada programa y proyecto del año 13 al 20. 
</t>
  </si>
  <si>
    <t>P1, P2, P3…P8</t>
  </si>
  <si>
    <t>Se generó una hoja para cada uno de los 8 programas que conforman el portafolio, representados por el código asignado a cada programa en el portafolio de programas y proyectos.</t>
  </si>
  <si>
    <t xml:space="preserve">Relaciona los conceptos que se tuvieron en cuenta para la estimación de costos, identificando  según sea el caso la cantidad, unidad (promedio, valor global ), valor unitario, dedicación en porcentaje y tiempo en meses para el recurso humano requerido, y total año, producto de la multiplicación de los ítems mencionados según corresponda. 
Para cada uno de los proyectos se resumen los supuestos empleados, los rubros empleados y para los casos que se considere el detalle del proceso estimado. </t>
  </si>
  <si>
    <t>Total 
(Millones de Pesos)</t>
  </si>
  <si>
    <t>Corto Plazo
 (1 al 4 año)</t>
  </si>
  <si>
    <t>Total Estimación Costos</t>
  </si>
  <si>
    <t>Estimación de Costos  Plan de acción de la Cadena de la Papa</t>
  </si>
  <si>
    <t>Incentivo para la creación y fortalecimiento agroindustriales para el procesamiento de los derivados y otros  medianos</t>
  </si>
  <si>
    <t>Asesoría especializada proyectos</t>
  </si>
  <si>
    <t>Días de campo/giras técnicas</t>
  </si>
  <si>
    <t>Incentivo a Vivienda</t>
  </si>
  <si>
    <t>Incentivo a servicios públicos</t>
  </si>
  <si>
    <t>Asesoría Especializada</t>
  </si>
  <si>
    <t>Se estiman 4 mesas de trabajo (presenciales); 24 mesas de trabajo virtual (2 mesas para cada región), se sugiere la realización de 12 talleres y/o eventos de divulgación nacionales y/o regionales presenciales, 12 talleres y/o eventos de divulgación nacionales y/o regionales virtuales. Se estima material de divulgación global de 10 millones, se estima la  realización de giras técnicas por región, se estima fortalecimiento al a formación de cursos cortos por región, cursos cortos virtuales por región, 5 cursos libres por región, 5 cursos libres virtuales por región, 1 diplomado presencial por región, 1 diplomado virtual por región, un apoyo del 30%  a 4 personas para la formación tecnológica y/o universitaria,  un apoyo del 30% para 4 personas para especialización, un apoyo del 30% para la formación de dos doctores al año. Se sugiere dos viajes internacionales y viáticos para  procesos de benchmarking, también se estima plan de medios radial institucional por región y 2 desarrolladores de módulos por 5 meses con un salario promedio de $6.604.729. Se estima un equipo humano nacional de 3 personas  y un equipo en región de 12 personas (1 por cada región), con rodamiento  y apoyos tecnológicos.</t>
  </si>
  <si>
    <t xml:space="preserve">Se estima realizar 1 taller nacional y 1 taller presencial por región (5) (se priorizan las 4 regiones de papa de los departamentos de Cundinamarca, Boyacá, Nariño y Antioquia),   se plantea una mesa presencial de trabajo por región (4) y mesas virtuales de trabajo internacionales y regionales para el seguimiento de los avances (8).  Para liderar el desarrollo de las actividades se proyecta un equipo experto interdisciplinario de 2 personas con un promedio salarial de $8.963.563,  considerando el desplazamiento y viáticos, se estima un viaje internacional con su viáticos por cinco días. Se considera un profesional encargado de la gestión y revisión y actualización gradual de medidas sanitarias y de defensa comercial, con un promedio salarial de $7.233.751, con dedicación de 50%. </t>
  </si>
  <si>
    <t xml:space="preserve"> Días de campo, giras técnicas, visitas y/o demostraciones de método, </t>
  </si>
  <si>
    <t>Mejora de programas de monitoreo del  ICA, infraestructura de laboratorios e instalaciones</t>
  </si>
  <si>
    <t xml:space="preserve">Se estima realizar 1 taller nacional y 1 taller presencial por región (12),  para la gestión interinstitucional  y actualización de los planes de las autoridades sanitarias y de inocuidad, se plantea una mesa presencial de trabajo por región (12) y el seguimiento de los avances a través de dos mesas de trabajo virtuales por región (24) y una gira técnica por región (12), adicionalmente se contempla un monto de $3.000.000 para material de divulgación promocional por región. Se considera la contratación de desarrolladores para el sistema de monitoreo y alerta temprana con un promedio salarial de $7.862.772 por cinco meses. Para liderar el desarrollo de las actividades se proyectan 4 profesionales con un promedio salarial de $8.963.563 (priorizando los departamentos de Cundinamarca, Boyacá, Nariño y Antioquia) y el fortalecimiento de un equipo regional con profesionales y técnicos asignados para cada región  (12) con un promedio salarial de $3.931.384, más rodamiento y apoyo tecnológico. Se contemplan un viaje internacional por parte de dos coordinadores del proyecto  para evaluar las experiencias de los países lideres en materia de inspección, vigilancia y control (por ejemplo al Centro Internacional de la Papa en Lima), se contempla, tiquetes aéreos y viáticos por cinco días.  Se fortalecen la estrategia de comunicación con plan de medios radial institucional a nivel regional  (12). El proyecto contempla actividades de fortalecimiento de capacidad operativa, infraestructura de laboratorios e instalaciones, sistemas de información geográfica y herramientas TIC, así como , la implementación de la estrategia financiera y otras formas de fortalecimiento que se deja por definir, considerando el nivel de información con que se cuenta. </t>
  </si>
  <si>
    <t xml:space="preserve">Se estima realizar una mesa de trabajo presencial por cada región(12)  y dos mesas de trabajo virtuales por cada región (24). La socialización y divulgación del  POP de la cadena de la papa se realiza a partir de 1  taller nacional y 12 talleres regionales presenciales, se estima el monto de material promocional de $3.000.000 por región. Para el desarrollo de las actividades se proyectan  un equipo gestor especializado de 4 profesionales con un salario promedio de $8.963.563  que comparte funciones con el proyecto 8.2, y el fortalecimiento de un equipo de 9 personas a nivel región/dpto., teniendo en cuenta que se pueden unir funciones para trabajar subregiones como Antioquia, Tolima, y 1 de Cundinamarca, quedando 9 regiones a intervenir,  con salario promedio de $3.931.382 con rodamiento y apoyo tecnológico. La implementación del sistema de seguimiento y evaluación del POP para la cadena de la papa que se proyecta durante los 20 años y se considera un profesional con valor promedio de $8.963563 por 4 meses, cada dos años. </t>
  </si>
  <si>
    <t>Porcentaje y Valor indicativo en pesos constantes  de 2022 corto, mediano y largo plazo</t>
  </si>
  <si>
    <t>% Publico</t>
  </si>
  <si>
    <t>% Privado</t>
  </si>
  <si>
    <t>% Cooperación Internacional (CI)</t>
  </si>
  <si>
    <t>Valor Público</t>
  </si>
  <si>
    <t>Valor Privado</t>
  </si>
  <si>
    <t>Valor CI</t>
  </si>
  <si>
    <t>% Presupuesto General de la Nación (PGN)</t>
  </si>
  <si>
    <t>% Presupuesto Sistema General de Regalías</t>
  </si>
  <si>
    <t>%Recursos Entidades Territoriales</t>
  </si>
  <si>
    <t>%Otros Recursos</t>
  </si>
  <si>
    <t>Recursos Presupuesto General de la Nación (PGN)</t>
  </si>
  <si>
    <t xml:space="preserve"> Recursos Presupuesto Sistema General de Regalías</t>
  </si>
  <si>
    <t>Recursos Entidades Territoriales</t>
  </si>
  <si>
    <t>Otros Recursos</t>
  </si>
  <si>
    <t>Distribución Fuentes de Financiación estimativo de Costos Plan de acción cadena de la papa</t>
  </si>
  <si>
    <r>
      <t>Se relacionan en el orden del portafolio de programas y proyect</t>
    </r>
    <r>
      <rPr>
        <sz val="12"/>
        <color theme="1"/>
        <rFont val="Arial"/>
        <family val="2"/>
      </rPr>
      <t xml:space="preserve">os, los </t>
    </r>
    <r>
      <rPr>
        <b/>
        <sz val="11"/>
        <color theme="1"/>
        <rFont val="Arial"/>
        <family val="2"/>
      </rPr>
      <t>12 programas y 27 proyectos.</t>
    </r>
  </si>
  <si>
    <t>ICR infraestructura /equipos y maquinaria semilla</t>
  </si>
  <si>
    <t>ICR Kit de equipos para adecuación de papa/postcosecha</t>
  </si>
  <si>
    <t>ICR Kit de maquinaria y equipo producción primaria</t>
  </si>
  <si>
    <t>Unidades</t>
  </si>
  <si>
    <t xml:space="preserve">Glosario de Categoría de Costos </t>
  </si>
  <si>
    <t>VALOR ESTIMADO</t>
  </si>
  <si>
    <t>SUPUESTO ESTIMACION DE COSTOS</t>
  </si>
  <si>
    <t>1. Costos de personal</t>
  </si>
  <si>
    <t>a. Honorarios</t>
  </si>
  <si>
    <t>Tabla de Honorarios Contratos de Prestación de Servicios</t>
  </si>
  <si>
    <t>Categorías</t>
  </si>
  <si>
    <t>Consultor Categoría III Nivel 8</t>
  </si>
  <si>
    <t>TP+MA+70 -79 ME</t>
  </si>
  <si>
    <t>$/mes</t>
  </si>
  <si>
    <t>Consultor Categoría III Nivel 7</t>
  </si>
  <si>
    <t>TP+MA + 60 - 69 ME</t>
  </si>
  <si>
    <t>Consultor Categoría III Nivel 6</t>
  </si>
  <si>
    <t>TP+MA + 50 - 59 ME</t>
  </si>
  <si>
    <t>Consultor Categoría III Nivel 5</t>
  </si>
  <si>
    <t>TP+MA + 40 - 49 ME</t>
  </si>
  <si>
    <t>Consultor Categoría III Nivel 4</t>
  </si>
  <si>
    <t>TP+E+ 46 - 51 ME</t>
  </si>
  <si>
    <t>Consultor Categoría III Nivel 3</t>
  </si>
  <si>
    <t>TP+E+ 41 - 45 ME</t>
  </si>
  <si>
    <t>Consultor Categoría III Nivel 2</t>
  </si>
  <si>
    <t>TP+E+ 35 - 40 ME</t>
  </si>
  <si>
    <t>Abreviaciones:</t>
  </si>
  <si>
    <t>Consultor Categoría III Nivel 1</t>
  </si>
  <si>
    <t>TP+E+ 29 - 34 ME</t>
  </si>
  <si>
    <t>Consultor Categoría II Nivel 8</t>
  </si>
  <si>
    <t>TP+E+ 23 - 28 ME</t>
  </si>
  <si>
    <t>TB</t>
  </si>
  <si>
    <t>Titulo de bachiller o diploma de bachiller</t>
  </si>
  <si>
    <t>Consultor Categoría II Nivel 7</t>
  </si>
  <si>
    <t>TP+E+ 17 - 22 ME</t>
  </si>
  <si>
    <t>TFTP</t>
  </si>
  <si>
    <t>Título de formación técnica profesional</t>
  </si>
  <si>
    <t>Consultor Categoría II Nivel 6</t>
  </si>
  <si>
    <t>TP+E+ 11 - 16 ME</t>
  </si>
  <si>
    <t>TFT</t>
  </si>
  <si>
    <t>Titulo de formación tecnológica</t>
  </si>
  <si>
    <t>Consultor Categoría II Nivel 5</t>
  </si>
  <si>
    <t>TP+E+ 5 - 10 ME</t>
  </si>
  <si>
    <t>TP</t>
  </si>
  <si>
    <t>Titulo Profesional</t>
  </si>
  <si>
    <t>Consultor Categoría II Nivel 4</t>
  </si>
  <si>
    <t>TP + 25 - 33 ME</t>
  </si>
  <si>
    <t>E</t>
  </si>
  <si>
    <t>Titulo de Posgrado en la modalidad de especialización</t>
  </si>
  <si>
    <t>Consultor Categoría II Nivel 3</t>
  </si>
  <si>
    <t>TP + 18 - 24 ME</t>
  </si>
  <si>
    <t>MA</t>
  </si>
  <si>
    <t>Titulo de posgrado en la modalidad de maestría</t>
  </si>
  <si>
    <t>Consultor Categoría II Nivel 2</t>
  </si>
  <si>
    <t>TP + 10 - 17 ME</t>
  </si>
  <si>
    <t>ME</t>
  </si>
  <si>
    <t>Meses de Experiencia</t>
  </si>
  <si>
    <t>Consultor Categoría II Nivel 1</t>
  </si>
  <si>
    <t>TFT + 7 - 15 ME, ó TP + 3 - 9 ME</t>
  </si>
  <si>
    <t>Consultor Categoría I Nivel 8</t>
  </si>
  <si>
    <t>TFT + 4-6 ME, ó TP +0 - 1 ME</t>
  </si>
  <si>
    <t>Consultor Categoría I Nivel 7</t>
  </si>
  <si>
    <t>TFT+1-3 ME</t>
  </si>
  <si>
    <t>Consultor Categoría I Nivel 6</t>
  </si>
  <si>
    <t>TFTP +7-10 ME</t>
  </si>
  <si>
    <t>Consultor Categoría I Nivel 5</t>
  </si>
  <si>
    <t>TFTP +4-6 ME</t>
  </si>
  <si>
    <t>Consultor Categoría I Nivel 4</t>
  </si>
  <si>
    <t>TFTP +1-3 ME</t>
  </si>
  <si>
    <t>Consultor Categoría I Nivel 3</t>
  </si>
  <si>
    <t>TB +16-20 ME</t>
  </si>
  <si>
    <t>Consultor Categoría I Nivel 2</t>
  </si>
  <si>
    <t>TB +8 -20 ME</t>
  </si>
  <si>
    <t>Consultor Categoría I Nivel 1</t>
  </si>
  <si>
    <t>TB +1- 7 ME</t>
  </si>
  <si>
    <t>Fuente: Valores referencia obtenidos de la tabla de honorarios de contratos de prestación de servicios y apoyo a la gestión - DNP 2022</t>
  </si>
  <si>
    <t>https://www.dnp.gov.co/DNP/contratacion</t>
  </si>
  <si>
    <t>2. Costos de desplazamiento a región</t>
  </si>
  <si>
    <t>a. Viáticos</t>
  </si>
  <si>
    <t>2. Tabla de viáticos  Contratos de Prestación de Servicios</t>
  </si>
  <si>
    <t>Honorarios</t>
  </si>
  <si>
    <t>TP+MA+70-79ME</t>
  </si>
  <si>
    <t>TP+MA+60-69 ME</t>
  </si>
  <si>
    <t>TP + MA +50-59 ME</t>
  </si>
  <si>
    <t>TP+MA+40-49ME</t>
  </si>
  <si>
    <t>TP+E+46-51ME</t>
  </si>
  <si>
    <t>TP+E+41-45ME</t>
  </si>
  <si>
    <t>TP+E+35-40ME</t>
  </si>
  <si>
    <t>TP+E+29-34ME</t>
  </si>
  <si>
    <t>TP+E+23-28ME</t>
  </si>
  <si>
    <t>TP+E+17-22ME</t>
  </si>
  <si>
    <t>TP+E+11-16ME</t>
  </si>
  <si>
    <t>TP+E+5-10ME</t>
  </si>
  <si>
    <t>TP+E+25-33ME</t>
  </si>
  <si>
    <t>TP+18-24 ME</t>
  </si>
  <si>
    <t>TP+10- 17 ME</t>
  </si>
  <si>
    <t>TFT+7-15 ME, o TP+3-9 ME</t>
  </si>
  <si>
    <t>TFT+ 4-6 ME, o TP+ 1 ME</t>
  </si>
  <si>
    <t>Nota: Cubre Alojamiento y Alimentación</t>
  </si>
  <si>
    <t>Fuente: Valores referencia obtenidos del Decreto No.979 DE 2021 "Por el cual se fijan las escalas de viáticos</t>
  </si>
  <si>
    <t>"https://www.funcionpublica.gov.co/eva/gestornormativo/norma.php?i=169099</t>
  </si>
  <si>
    <t>Viáticos/ Tabla de base de liquidación.</t>
  </si>
  <si>
    <t>COMISIONES DE SERVICIO EN EL INTERIOR DEL PAÍS</t>
  </si>
  <si>
    <t>BASE DE LIQUIDACIÓN</t>
  </si>
  <si>
    <t>VIÁTICOS DIARIOS EN PESOS</t>
  </si>
  <si>
    <t>Viáticos diarios en pesos</t>
  </si>
  <si>
    <t>Hasta $0 a $1.228.413</t>
  </si>
  <si>
    <t>Hasta</t>
  </si>
  <si>
    <t>De $1.228.414 a $1.930.333</t>
  </si>
  <si>
    <t xml:space="preserve">De  $1.930.334 a $2.577.679 </t>
  </si>
  <si>
    <t>De  $2.577.680 a $3.269.437</t>
  </si>
  <si>
    <t>De  $3.269.438 a $3.948.523</t>
  </si>
  <si>
    <t>De  $3.948.524 a $5.954.970</t>
  </si>
  <si>
    <t>De  $5.954.971 a $8.322.997</t>
  </si>
  <si>
    <t>De  $8.322.998 a $9.882.403</t>
  </si>
  <si>
    <t>De  $9.882.404 a12.165.606</t>
  </si>
  <si>
    <t>De $12.165.607 a $14.710.550</t>
  </si>
  <si>
    <t>De $14.710.551  en adelante</t>
  </si>
  <si>
    <t>c. Tiquetes Nacionales aéreos</t>
  </si>
  <si>
    <t>Bogotá- Pasto</t>
  </si>
  <si>
    <t>Bogotá -Medellín</t>
  </si>
  <si>
    <t>Bogotá- Manizales</t>
  </si>
  <si>
    <t>Bogotá- Cúcuta</t>
  </si>
  <si>
    <t>Valor promedio ida y regreso</t>
  </si>
  <si>
    <t xml:space="preserve">Valor promedio ida y regreso. </t>
  </si>
  <si>
    <t xml:space="preserve">Nota: Corresponde a un valor promedio simple  del costo de vuelos de rutas nacionales. </t>
  </si>
  <si>
    <t>Nota. Actualizado el 19 de abril.</t>
  </si>
  <si>
    <t>d. Valor dado al desplazamiento Terrestre por persona/promedio ( 2 días)</t>
  </si>
  <si>
    <t>Combustible</t>
  </si>
  <si>
    <t>Criterio de Cálculo</t>
  </si>
  <si>
    <t>Galón de gasolina</t>
  </si>
  <si>
    <t>Km por Galón</t>
  </si>
  <si>
    <t>35 km por galón</t>
  </si>
  <si>
    <t>Combustible Región 1.  Cercano /Recorre 60 km diario por 20 días)</t>
  </si>
  <si>
    <t>1200 km mensuales</t>
  </si>
  <si>
    <t>Combustible Región 2. Lejano /Recorre 100 km diario por 20 días)</t>
  </si>
  <si>
    <t>2000 km mensuales</t>
  </si>
  <si>
    <t>Combustible Región 3. (Muy lejano (Recorre 120 km diario por 20 días)</t>
  </si>
  <si>
    <t>2400 km mensuales</t>
  </si>
  <si>
    <t>Valor aprox Combustible</t>
  </si>
  <si>
    <t>Aproximación a número mayor</t>
  </si>
  <si>
    <t>El rubro de combustible se utiliza el valor promedio hallado, es decir $500.000</t>
  </si>
  <si>
    <t>Peaje promedio mensual</t>
  </si>
  <si>
    <t>Valor peaje promedio 12.000 y se estiman tres peajes diarios</t>
  </si>
  <si>
    <t xml:space="preserve">Nota: Corresponde a un valor global simple  del costo promedio de peajes entre las subregiones. </t>
  </si>
  <si>
    <t>e. Rodamiento</t>
  </si>
  <si>
    <t>Peajes</t>
  </si>
  <si>
    <t xml:space="preserve">f. Apoyos tecnológicos y herramientas de diagnóstico </t>
  </si>
  <si>
    <t>Alquiler Tablet</t>
  </si>
  <si>
    <t>Total Mensual</t>
  </si>
  <si>
    <t>Nota: Valor promedio precio alquiler abril 2022</t>
  </si>
  <si>
    <t>g. Tiquetes internacionales</t>
  </si>
  <si>
    <t>Países De referencia</t>
  </si>
  <si>
    <t>Valor tiquetes</t>
  </si>
  <si>
    <t>Lima/ Perú- San José de Costa Rica</t>
  </si>
  <si>
    <t>Buenos Aires/ Argentina- Brasilia/Brasil</t>
  </si>
  <si>
    <t>Bruselas- Bélgica</t>
  </si>
  <si>
    <t>Idaho- USA</t>
  </si>
  <si>
    <t>19/04/2022, fuente Despegar.</t>
  </si>
  <si>
    <t xml:space="preserve">Nota: Corresponde a un valor promedio simple del costo de vuelos  directos a dichos destinos. </t>
  </si>
  <si>
    <t>Regiones, productores, UPAs.</t>
  </si>
  <si>
    <t>Nota. En concordancia  la regionalización de papa- Upra</t>
  </si>
  <si>
    <t>Regiones Papicultoras</t>
  </si>
  <si>
    <t>Región</t>
  </si>
  <si>
    <t>Área Sembrada (ha)</t>
  </si>
  <si>
    <t>Producción (t)</t>
  </si>
  <si>
    <t>Rendimiento (t/ha)</t>
  </si>
  <si>
    <t>Participación en producción nacional</t>
  </si>
  <si>
    <t>Cundinamarca Norte (Villa Pinzón, Sesquilé, Chocontá)</t>
  </si>
  <si>
    <t>Boyacá (Centro)</t>
  </si>
  <si>
    <t>Macizo (Nariño, Ipiales, Pasto)</t>
  </si>
  <si>
    <t>Cundinamarca Oriente ( Une, Chipaque)</t>
  </si>
  <si>
    <t>Sabana (de Bogotá)</t>
  </si>
  <si>
    <t>Santanderes Norte Boyacá</t>
  </si>
  <si>
    <t>Sumapaz (Pasca, Sibaté, Usme)</t>
  </si>
  <si>
    <t>Norte Antioquia ( San Pedro de los Milagros)</t>
  </si>
  <si>
    <t>Cauca</t>
  </si>
  <si>
    <t>Sur Antioquia (La Unión)</t>
  </si>
  <si>
    <t>Nevados (Norte del Tolima y Caldas)</t>
  </si>
  <si>
    <t>Centro Tolima Valle (Cajamarca. Tuluá)</t>
  </si>
  <si>
    <t xml:space="preserve">Total </t>
  </si>
  <si>
    <t>Tomado del documento de Regionalización. UPRA 2022</t>
  </si>
  <si>
    <t>Tota Productores de papa</t>
  </si>
  <si>
    <t xml:space="preserve">Total UPAS Productoras </t>
  </si>
  <si>
    <t>Fuente: CNA 2014</t>
  </si>
  <si>
    <t>3. Actividades Grupales</t>
  </si>
  <si>
    <t>a. Mesas de trabajo</t>
  </si>
  <si>
    <t>e. Mesas de trabajo virtual</t>
  </si>
  <si>
    <t>f. Talleres y/o eventos de divulgación nacional y/o regional virtuales</t>
  </si>
  <si>
    <t>g. Talleres Prácticos</t>
  </si>
  <si>
    <t>h. Talleres Tenderos</t>
  </si>
  <si>
    <t>j. Parcelas demostrativas o lotes modelos de semilla certificada (Costo promedio)</t>
  </si>
  <si>
    <t>Nota: Las mesas ,eventos y talleres virtuales corresponden al 20% del valor estimado de forma presencial</t>
  </si>
  <si>
    <t>a. Mesas de trabajo presenciales</t>
  </si>
  <si>
    <t>(Se calculan mesas de trabajo de 20 personas)</t>
  </si>
  <si>
    <t>Refrigerio</t>
  </si>
  <si>
    <t>Café y otros</t>
  </si>
  <si>
    <t>Costo estimado</t>
  </si>
  <si>
    <t>b. Talleres, talleres especializados y/ o eventos de divulgación nacionales y/o regionales (Productor, Semillerista, Adecuador, Industrial, Comercializador)</t>
  </si>
  <si>
    <t>Se calcula asistencia 25 personas</t>
  </si>
  <si>
    <t>Auditorio</t>
  </si>
  <si>
    <t>Estación de café y otros</t>
  </si>
  <si>
    <t>Protocolos de bioseguridad</t>
  </si>
  <si>
    <t>Talleres Nacionales</t>
  </si>
  <si>
    <t>Nota: Auditorio incluye video beam. 25 personas</t>
  </si>
  <si>
    <t>c. Mesas de trabajo</t>
  </si>
  <si>
    <t>Nota: Auditorio incluye video beam</t>
  </si>
  <si>
    <t>c. Días de campo, giras técnicas, visitas y/o demostraciones de método,  (Productor, Semillerista, Adecuador, Industrial, Comercializador)</t>
  </si>
  <si>
    <t>Se calcula asistencia 30 personas</t>
  </si>
  <si>
    <t>Refrigerio y tinto</t>
  </si>
  <si>
    <t>Almuerzo</t>
  </si>
  <si>
    <t>Apoyos tecnológicos( Computador y Videobeam)</t>
  </si>
  <si>
    <t>Protocolo de bioseguridad</t>
  </si>
  <si>
    <t>Desplazamiento personas/transporte</t>
  </si>
  <si>
    <t>Consumibles y/o otros</t>
  </si>
  <si>
    <t>Se estima que las personas provean sus propios medios para llegar a los puntos de encuentro</t>
  </si>
  <si>
    <t xml:space="preserve"> Protocolo bioseguridad: Insumos/lavado de botas/manos, tapabocas.</t>
  </si>
  <si>
    <t>d. Parcelas demostrativas o lotes modelos (Costo promedio)</t>
  </si>
  <si>
    <t>Por hectárea</t>
  </si>
  <si>
    <t>Semilla</t>
  </si>
  <si>
    <t>Fertilizantes</t>
  </si>
  <si>
    <t>Fitosanitarios</t>
  </si>
  <si>
    <t>Labores</t>
  </si>
  <si>
    <t>Mecanización</t>
  </si>
  <si>
    <t>Total ha</t>
  </si>
  <si>
    <t xml:space="preserve"> (1/4 ha por semestre (2500 m2)</t>
  </si>
  <si>
    <t>Aprox Mayor Valor</t>
  </si>
  <si>
    <t xml:space="preserve">Nota: No se tienen en cuenta los costos de financiación, administrativos, arrendamiento, transporte.  </t>
  </si>
  <si>
    <t xml:space="preserve">h. Taller Práctico </t>
  </si>
  <si>
    <t>Salones para prácticas</t>
  </si>
  <si>
    <t>Capacitador (Viáticos y/o honorarios jornada)</t>
  </si>
  <si>
    <t>Insumos/materia prima y consumibles</t>
  </si>
  <si>
    <t>imprevistos</t>
  </si>
  <si>
    <t>Medidas de bioseguridad</t>
  </si>
  <si>
    <t>Valores actualizados a costos de mercado abril 2022</t>
  </si>
  <si>
    <t>i. Talleres tenderos</t>
  </si>
  <si>
    <t>Valor mensual</t>
  </si>
  <si>
    <t>Capacitador</t>
  </si>
  <si>
    <t>Aprox</t>
  </si>
  <si>
    <t>Semilla Registrada</t>
  </si>
  <si>
    <t>Adecuación en bodega</t>
  </si>
  <si>
    <t xml:space="preserve">4. Tasa de cambio </t>
  </si>
  <si>
    <t>a. Tasa de cambio</t>
  </si>
  <si>
    <t>Pesos por Dólar</t>
  </si>
  <si>
    <t>Pesos Por Euro</t>
  </si>
  <si>
    <t xml:space="preserve">Promedio simple del período contemplado </t>
  </si>
  <si>
    <t xml:space="preserve"> Promedio simple anual para los años 2020 y 2021. Primer trimestre 2022</t>
  </si>
  <si>
    <t>5. Promoción y Comunicación</t>
  </si>
  <si>
    <t>Ítem</t>
  </si>
  <si>
    <t>a. Sección radial nacionales</t>
  </si>
  <si>
    <t>b. Sección Radial Regionales</t>
  </si>
  <si>
    <t>c. Vallas publicitarias Ciudades Principales</t>
  </si>
  <si>
    <t>d. Vallas publicitarias Ciudades regionales</t>
  </si>
  <si>
    <t>e. Comerciales  tv a nivel Nacional</t>
  </si>
  <si>
    <t>f. Comerciales tv a nivel regional</t>
  </si>
  <si>
    <t>g. Pendones</t>
  </si>
  <si>
    <t>h. Campaña publicitaria nacional</t>
  </si>
  <si>
    <t>i. Campaña publicitaria regional</t>
  </si>
  <si>
    <t>j. Campaña publicitaria institucional</t>
  </si>
  <si>
    <t>l. Stand de promoción y divulgación en eventos nacionales</t>
  </si>
  <si>
    <t>m. Stand de promoción y divulgación en eventos regionales</t>
  </si>
  <si>
    <t>ñ. Plan de Medios radial institucional</t>
  </si>
  <si>
    <t>a. Sección radiales nacionales</t>
  </si>
  <si>
    <t>Noticiero tarde Luciérnaga</t>
  </si>
  <si>
    <t>Noticiero 6 am</t>
  </si>
  <si>
    <t>Promedio</t>
  </si>
  <si>
    <t>Fuente: Basada en cotizaciones de ventas@caracol.com.co, 19 de abril 2022, https://mediakit.caracol.com.co/buscar.aspx?q=caracol</t>
  </si>
  <si>
    <t>b. Cuña Radiales Regionales (Promedio aprox)</t>
  </si>
  <si>
    <t>Rubro</t>
  </si>
  <si>
    <t>Cuña radial regional región 2 (Medellín)</t>
  </si>
  <si>
    <t>Cuña radial regional Tunja/Pasto</t>
  </si>
  <si>
    <t>Cuñas radiales regionales (Promedio aprox)</t>
  </si>
  <si>
    <t>Vallas Publicitarias</t>
  </si>
  <si>
    <t>c. Vallas Publicitarias Nacional</t>
  </si>
  <si>
    <t>d. Vallas Publicitarias Regionales</t>
  </si>
  <si>
    <t>Incluye el costo de diseño, elaboración y alquiler del sitio de publicación de la valla. Fuente. Dato experto</t>
  </si>
  <si>
    <t>Comerciales tv</t>
  </si>
  <si>
    <t>Nota. Corresponde a la difusión en los canales de tv nacionales y regionales.  No se costea la realización del comercial
Fuente comerciales tv nacional y regional, experto.</t>
  </si>
  <si>
    <t>Corresponde a dos  pendones pequeños</t>
  </si>
  <si>
    <t>h. Campaña Publicitaria Nacional</t>
  </si>
  <si>
    <t>Equipo organizador</t>
  </si>
  <si>
    <t>Impresos</t>
  </si>
  <si>
    <t>Secciones  radiales nacionales</t>
  </si>
  <si>
    <t>Comerciales tv nivel nacional</t>
  </si>
  <si>
    <t>Total campaña publicitaria Nacional</t>
  </si>
  <si>
    <t>Nota: Se estima 1 meses de duración</t>
  </si>
  <si>
    <t xml:space="preserve">i. Campañas Publicitarias Regionales </t>
  </si>
  <si>
    <t>Cuñas radiales regionales</t>
  </si>
  <si>
    <t>Comerciales tv a nivel regional</t>
  </si>
  <si>
    <t>Vallas publicitarias</t>
  </si>
  <si>
    <t>Total Campaña publicitaria Regional</t>
  </si>
  <si>
    <t>Se estima 1 mes de duración</t>
  </si>
  <si>
    <t>j. Campaña publicitaria institucional ( Nacional)</t>
  </si>
  <si>
    <t>Sección radiales nacionales</t>
  </si>
  <si>
    <t>Comerciales tv nacional</t>
  </si>
  <si>
    <t>Vallas nacionales</t>
  </si>
  <si>
    <t>Elementos de promoción y divulgación</t>
  </si>
  <si>
    <t>Total campaña publicitaria institucional</t>
  </si>
  <si>
    <t xml:space="preserve">Se estima 1 mes de duración </t>
  </si>
  <si>
    <t>k. Campaña publicitaria institucional (Regional)</t>
  </si>
  <si>
    <t>Paquete Cuñas radiales regionales</t>
  </si>
  <si>
    <t>Vallas regionales</t>
  </si>
  <si>
    <t xml:space="preserve">l. Stand Institucional </t>
  </si>
  <si>
    <t>k. Stand promoción Nacional</t>
  </si>
  <si>
    <t>l. Stand promoción regional</t>
  </si>
  <si>
    <t>Incluye diseño, mobiliario y  alquiler del espacio. Fuente Experto.</t>
  </si>
  <si>
    <t>m. Plan de Medios radial Nacional</t>
  </si>
  <si>
    <t>Ítems</t>
  </si>
  <si>
    <t>Paquete cuñas radiales nacionales</t>
  </si>
  <si>
    <t>Plan de medios Nacional</t>
  </si>
  <si>
    <t>n. Plan de Medios radial regional</t>
  </si>
  <si>
    <t>ñ. Plan de Medios radial Institucional</t>
  </si>
  <si>
    <t>6. Comercialización</t>
  </si>
  <si>
    <t>e. Mercados campesinos/circuitos cortos comercialización</t>
  </si>
  <si>
    <t>f, Misión comercial internacional</t>
  </si>
  <si>
    <t>g. Degustaciones</t>
  </si>
  <si>
    <t>a. Rueda de negocio presencial</t>
  </si>
  <si>
    <t>10 empresas</t>
  </si>
  <si>
    <t>Persona locales ( tiquete, hospedaje)</t>
  </si>
  <si>
    <t>Montaje</t>
  </si>
  <si>
    <t>Almuerzos</t>
  </si>
  <si>
    <t>Estación de café y agua</t>
  </si>
  <si>
    <t>Promoción y divulgación</t>
  </si>
  <si>
    <t xml:space="preserve">Rueda de negocio </t>
  </si>
  <si>
    <t>Se supone que la duración de la rueda son dos días, una noche. (10 asistentes)</t>
  </si>
  <si>
    <t>b Rueda de negocio  virtual</t>
  </si>
  <si>
    <t>Pautas en redes sociales/promoción y divulgación</t>
  </si>
  <si>
    <t>c. Participación en ferias comerciales nacional</t>
  </si>
  <si>
    <t>Persona locales ( tiquete, hospedaje, viáticos)</t>
  </si>
  <si>
    <t>Inscripciones</t>
  </si>
  <si>
    <t>Stand  (5)</t>
  </si>
  <si>
    <t xml:space="preserve">Participación en ferias comerciales </t>
  </si>
  <si>
    <t>Valor Aprox</t>
  </si>
  <si>
    <t xml:space="preserve">se estima la participación de 5 empresas u organizaciones y se estima inscripción de 10 personas. </t>
  </si>
  <si>
    <t>d. Participación en ferias comerciales internacionales</t>
  </si>
  <si>
    <t>Persona  (tiquete)</t>
  </si>
  <si>
    <t xml:space="preserve">Stand </t>
  </si>
  <si>
    <t>Participación en ferias comerciales internacionales</t>
  </si>
  <si>
    <t>Se estima la participación de 5 empresas a la feria internacional, no incluye el hospedaje</t>
  </si>
  <si>
    <t xml:space="preserve">e. Participación en mercados campesinos/ Circuitos cortos de comercialización </t>
  </si>
  <si>
    <t xml:space="preserve">Persona </t>
  </si>
  <si>
    <t>Cuñas radiales (2)</t>
  </si>
  <si>
    <t>Stands</t>
  </si>
  <si>
    <t>Transporte de acuerdo a requerimiento</t>
  </si>
  <si>
    <t>Participación en mercados campesinos</t>
  </si>
  <si>
    <t xml:space="preserve">Se prevé la cuarta parte del salario de un profesional para organizar el mercado campesino, dos cuñas radiales, stands y transporte para 10  agricultores ida y vuelta. </t>
  </si>
  <si>
    <t>f. Misiones comerciales internacionales</t>
  </si>
  <si>
    <t>Persona locales (tiquete, hospedaje)</t>
  </si>
  <si>
    <t>Gastos de representación</t>
  </si>
  <si>
    <t>Misiones comerciales internacionales</t>
  </si>
  <si>
    <t xml:space="preserve">Se prevé una misión comercial de 7 días en total, de los cuales 5 días son comerciales. Se prevé gastos de representación y transporte al interior del país visitado  Se estiman 3 personas viajando. </t>
  </si>
  <si>
    <t>g, Degustaciones</t>
  </si>
  <si>
    <t>Persona/stand</t>
  </si>
  <si>
    <t>7. Capacitación, Formación y educación</t>
  </si>
  <si>
    <t xml:space="preserve"> a. Cursos cortos</t>
  </si>
  <si>
    <t>Se estima que un capacitador cobre 300.000 por cada persona capacitada, se estima un promedio de 25 personas por curso corto. Incluye refrigerio, material de divulgación, auditorio.</t>
  </si>
  <si>
    <t>b. Cursos cortos virtuales</t>
  </si>
  <si>
    <t>Se estima honorarios de capacitador, medios para realizarla. Se calculó como un 30% del valor del cursos corto presencial.</t>
  </si>
  <si>
    <t>c. Cursos libres</t>
  </si>
  <si>
    <t>Valor persona capacitada</t>
  </si>
  <si>
    <t>d. Cursos libres virtuales</t>
  </si>
  <si>
    <t>Valor persona capacitada, se calculo como un 30% del valor del curso libre presencial.</t>
  </si>
  <si>
    <t>e. Diplomado</t>
  </si>
  <si>
    <t>f. Diplomado virtual</t>
  </si>
  <si>
    <t>Valor persona capacitada, se calculo como un 30% del valor del  diplomado  presencial.</t>
  </si>
  <si>
    <t>g. Formación tecnológica y/o universitaria</t>
  </si>
  <si>
    <t>h. Maestría</t>
  </si>
  <si>
    <t>Valor persona capacitada/ semestre</t>
  </si>
  <si>
    <t>i. Doctorado</t>
  </si>
  <si>
    <t>j. Fomento Certificaciones Competencia laborales</t>
  </si>
  <si>
    <t>Valor incentivo otorgado</t>
  </si>
  <si>
    <t>Fuente: Experto
Nota: El valor estimado corresponde al apoyo asignado para educación, ítems d, e f.</t>
  </si>
  <si>
    <t xml:space="preserve">8. Certificaciones </t>
  </si>
  <si>
    <t xml:space="preserve">a. Certificaciones  BPA </t>
  </si>
  <si>
    <t>Consultoría</t>
  </si>
  <si>
    <t>Implementos y equipamiento para mejoras</t>
  </si>
  <si>
    <t>Total costo certificaciones</t>
  </si>
  <si>
    <t xml:space="preserve">Fuente. Experto </t>
  </si>
  <si>
    <t>b. Certificaciones BPM (Buenas Prácticas de Manufacturas)</t>
  </si>
  <si>
    <t>Costo Certificaciones diferenciadores</t>
  </si>
  <si>
    <t>Fuente. Bureau Veritas</t>
  </si>
  <si>
    <t xml:space="preserve">c. Sellos de Calidad </t>
  </si>
  <si>
    <t>9. Laboratorios de control de calidad</t>
  </si>
  <si>
    <t>Observaciones</t>
  </si>
  <si>
    <t>Fuente</t>
  </si>
  <si>
    <t>Link</t>
  </si>
  <si>
    <t xml:space="preserve">a. Análisis de caracterización de suelo </t>
  </si>
  <si>
    <t>Por muestra</t>
  </si>
  <si>
    <t>Universidad Jorge Tadeo Lozano</t>
  </si>
  <si>
    <t>b. Análisis de agua, suelos, foliar y multiresiduos</t>
  </si>
  <si>
    <t>Fuente Experto</t>
  </si>
  <si>
    <t>c. Análisis biológicos de suelos (presencia de patógenos)</t>
  </si>
  <si>
    <t>d. Análisis de Virus</t>
  </si>
  <si>
    <t xml:space="preserve">10 . Incentivos </t>
  </si>
  <si>
    <t xml:space="preserve">Incentivo al desarrollo de marcas y sellos 1.1 </t>
  </si>
  <si>
    <t xml:space="preserve">UVT (Unidad de Valor Tributario- DIAN 2022) </t>
  </si>
  <si>
    <t>Empresas Manufactureras</t>
  </si>
  <si>
    <t>Clasificación DIAN</t>
  </si>
  <si>
    <t>Valor de los ingresos</t>
  </si>
  <si>
    <t>%  estimado para desarrollo de marcas</t>
  </si>
  <si>
    <t>Valor estimado</t>
  </si>
  <si>
    <t>% Estimado para apoyo valor el desarrollo de marcas</t>
  </si>
  <si>
    <t xml:space="preserve">Incentivo desarrollo de marcas </t>
  </si>
  <si>
    <t xml:space="preserve">Microempresas </t>
  </si>
  <si>
    <t>Pequeñas Empresas</t>
  </si>
  <si>
    <t>Medianas Empresas</t>
  </si>
  <si>
    <t>Incentivo valor agregado / adecuación 1.1,  2.1, 2.3</t>
  </si>
  <si>
    <t>% Estimado valor agregado</t>
  </si>
  <si>
    <t>% Estimado para apoyo valor agregado</t>
  </si>
  <si>
    <t xml:space="preserve">Incentivo valor agregado </t>
  </si>
  <si>
    <t xml:space="preserve">Tienda de la papa 1.1 </t>
  </si>
  <si>
    <t>Arrendamiento</t>
  </si>
  <si>
    <t>Promoción</t>
  </si>
  <si>
    <t>Incentivo comisión FAG contratos 1.3</t>
  </si>
  <si>
    <t>Producción de papa</t>
  </si>
  <si>
    <t>10% producción con suscripción de contratos</t>
  </si>
  <si>
    <t>Valor comercial de una tonelada de papa</t>
  </si>
  <si>
    <t>Valor contratos</t>
  </si>
  <si>
    <t>comisión FAG</t>
  </si>
  <si>
    <t>Registro BMC vendedor</t>
  </si>
  <si>
    <t>Costos garantía  FAG  y registro BMC de contratos forward sin administración de garantías por ton</t>
  </si>
  <si>
    <t>Incentivo a los costos FAG  y registro BMC de contratos forward sin administración de garantías por ton</t>
  </si>
  <si>
    <t xml:space="preserve">Mejora en Infraestructura comercialización local 1.3 </t>
  </si>
  <si>
    <t>Mt2</t>
  </si>
  <si>
    <t xml:space="preserve">Cantidad </t>
  </si>
  <si>
    <t xml:space="preserve">Incentivo para la producción de semilla  certificada. 2.1 </t>
  </si>
  <si>
    <t xml:space="preserve">Producción de semillas certificada fase 1 </t>
  </si>
  <si>
    <t>Laboratorio</t>
  </si>
  <si>
    <t xml:space="preserve">Casa de malla </t>
  </si>
  <si>
    <t>Registro</t>
  </si>
  <si>
    <t xml:space="preserve">2.1 Producción de semillas certificada fase 2 </t>
  </si>
  <si>
    <t>Compra de mini tubérculos</t>
  </si>
  <si>
    <t>Bodega, canastillas, selladora</t>
  </si>
  <si>
    <t>Capital de trabajo para comercialización de semilla 2.1</t>
  </si>
  <si>
    <t>Valor promedio tonelada de semilla de  papa en el mercado</t>
  </si>
  <si>
    <t>25% por encima de la papa que está adecuada</t>
  </si>
  <si>
    <t>Cantidad  a comercializar por una asociación  año</t>
  </si>
  <si>
    <t>6000 bultos de semilla</t>
  </si>
  <si>
    <t xml:space="preserve">Valor  semilla comercializada </t>
  </si>
  <si>
    <t>ICR infraestructura /equipos y maquinaria semilla 2.1</t>
  </si>
  <si>
    <t xml:space="preserve">Módulo de selección (más motoreductor de 2 HP, interruptor de emergencia y variador de velocidad) </t>
  </si>
  <si>
    <t xml:space="preserve">Módulo de clasificación (más motoreductor de 2 HP y variador de velocidad) </t>
  </si>
  <si>
    <t>Cepilladora y desterronadora (más 2 motoreductores de 2 HP y 2 variadores de velocidad y un ciclón para extraer polvo)</t>
  </si>
  <si>
    <t>Módulo silo tolva de alimentación</t>
  </si>
  <si>
    <t>Fuente: Maquipapa</t>
  </si>
  <si>
    <t>Fortalecimiento Asistencia Técnica 2.1</t>
  </si>
  <si>
    <t>Has año</t>
  </si>
  <si>
    <t>80% Productores pequeños</t>
  </si>
  <si>
    <t>Has a asistir al mes por asistente técnico</t>
  </si>
  <si>
    <t>Asistentes técnicos requeridos</t>
  </si>
  <si>
    <t>Se estima 1,5 has por agricultor.</t>
  </si>
  <si>
    <t xml:space="preserve">Incentivo a la compra de semilla certificada 2.2 </t>
  </si>
  <si>
    <t>Valor tonelada de semilla certificada de papa</t>
  </si>
  <si>
    <t>Valor de la compra de semilla certificada</t>
  </si>
  <si>
    <t>Incentivo a la compra de semilla certificada</t>
  </si>
  <si>
    <t>Se estiman incentivar la compra de semilla certificada para 25.000 has de semilla en promedio durante la duración del plan, este valor se calcula teniendo en cuenta la 13.600 has sembrada con semilla certificada en el 2017 y la proyección para sembrar cerca de 44.000 has al finalizar del plan, por esta razón se toma un valor promedio de 28.00 has año.</t>
  </si>
  <si>
    <t xml:space="preserve">Adecuación, mejoramiento y recuperación de suelos 2.2  </t>
  </si>
  <si>
    <t>Has a intervenir</t>
  </si>
  <si>
    <t>Suelos degradados en distritos de adecuación de tierras</t>
  </si>
  <si>
    <t xml:space="preserve">Suelos degradados por erosión </t>
  </si>
  <si>
    <t>Fuente experto</t>
  </si>
  <si>
    <t>Incentivos  agregación de valor 2.2, 2.5</t>
  </si>
  <si>
    <t xml:space="preserve">%  estimado </t>
  </si>
  <si>
    <t xml:space="preserve">% Estimado </t>
  </si>
  <si>
    <t>Incentivo</t>
  </si>
  <si>
    <t xml:space="preserve">Maquinaria  e implementos 2.2 </t>
  </si>
  <si>
    <t>Tractores siembra 90  hp</t>
  </si>
  <si>
    <t>Sembradora abonadora Watanabe 2 surcos PAI 2100</t>
  </si>
  <si>
    <t>Arado de cincel vibratorio Montana Az609 (9 cinceles)</t>
  </si>
  <si>
    <t>Cosechadora 2 surcos de arrastre AWB 1800 AR 3,4 m de ancho</t>
  </si>
  <si>
    <t>Total Kit</t>
  </si>
  <si>
    <t>Fuente: Agrofy y Valtra, junio 2022</t>
  </si>
  <si>
    <t>Sembradora abonadora Watanabe 2 surcos PAI 290</t>
  </si>
  <si>
    <t>Precio Promedio</t>
  </si>
  <si>
    <t>Fuente: Valtra, Junio 20222</t>
  </si>
  <si>
    <t xml:space="preserve">Instalaciones para adecuación de papa 2.2 </t>
  </si>
  <si>
    <t xml:space="preserve">El kit se compone de  módulos para recepción, selección por calidad, clasificación por ramañaso, lavado, escurrido y secado de papa con sus respectivos controles eléctricos de velocidad y controles de encendido y apagado. </t>
  </si>
  <si>
    <t>Lavadora sistema tamiz-barril (1 motoreductor de 7,5 HP y 1 transportador-extractor de papa con bomba de aspersión de las boquillas de enjuague)</t>
  </si>
  <si>
    <t>Módulo escurridor (un motoreductor de 2 HP y un ventilador)</t>
  </si>
  <si>
    <t>Secadora (más 1 motoreductor de 3 HP, 1 variador de velocidad, 1 quemador a gas y 1 temporizador de calor))</t>
  </si>
  <si>
    <t xml:space="preserve">Módulo silo tolva de alimentación (más motoreductor de 3 HP, interruptor de emergencia y variador de velocidad eléctrico) </t>
  </si>
  <si>
    <t>Incentivo al desarrollo de procesos para transformación 2.3  y 2.4</t>
  </si>
  <si>
    <t xml:space="preserve">Incentivo </t>
  </si>
  <si>
    <t>Incentivo para la integración vertical y horizontal 2.4</t>
  </si>
  <si>
    <t>%  estimado creación y fortalecimiento</t>
  </si>
  <si>
    <t xml:space="preserve">Capital de trabajo para procesamiento de papa con aptitud industrial 2.5 </t>
  </si>
  <si>
    <t xml:space="preserve">Valor promedio tonelada de  papa  industrial </t>
  </si>
  <si>
    <t>Cantidad  a procesar por una asociación  año</t>
  </si>
  <si>
    <t xml:space="preserve">5000 bultos de papa fresca con aptitud industrial </t>
  </si>
  <si>
    <t>Valor  papa adecuada</t>
  </si>
  <si>
    <t>Instalación de almacenamiento en condiciones controladas 2.5</t>
  </si>
  <si>
    <t>Hasta Mts</t>
  </si>
  <si>
    <t>Valor mt Cuadrado</t>
  </si>
  <si>
    <t>Terreno</t>
  </si>
  <si>
    <t>Obra civil</t>
  </si>
  <si>
    <t>Equipamiento e implementos</t>
  </si>
  <si>
    <t>Bodegas  gran capacidad (1000 ton de papa) 2.5</t>
  </si>
  <si>
    <t>Bodegas  por región</t>
  </si>
  <si>
    <t>Valor mt cuadrado</t>
  </si>
  <si>
    <t>Incentivo para la creación y fortalecimiento de empresas 2.5 y 2.6</t>
  </si>
  <si>
    <t>Incentivo al mejoramiento de infraestructura de procesamiento 2.5</t>
  </si>
  <si>
    <t>Capital de trabajo para adecuación y comercialización de papa adecuada 2.6</t>
  </si>
  <si>
    <t xml:space="preserve">Valor promedio tonelada de  papa  adecuada </t>
  </si>
  <si>
    <t>Cantidad  a adecuar  por una asociación  año</t>
  </si>
  <si>
    <t>De estimar un valor promedio de papa adecuada de un millón de pesos por tonelada y de una cantidad de 400 toneladas al año que es un equivalente a 8000 bultos de papa de diferentes presentaciones .</t>
  </si>
  <si>
    <t xml:space="preserve">Incentivos  a la especialización empaque,  embalaje y transporte micro empresas 2.6 </t>
  </si>
  <si>
    <t>UVT (Unidad de Valor Tributario- DIAN 2022)  2.6</t>
  </si>
  <si>
    <t xml:space="preserve">3.2. ICR soluciones individuales riego </t>
  </si>
  <si>
    <t>Área sembrada (ha) aprox con riego (5%)</t>
  </si>
  <si>
    <t>% de áreas con crédito para ICR</t>
  </si>
  <si>
    <t>Área (ha) sujeta de crédito</t>
  </si>
  <si>
    <t>$ / Ha</t>
  </si>
  <si>
    <t xml:space="preserve">3.2. LEC adecuación de tierras para uso agropecuario </t>
  </si>
  <si>
    <t>Área sembrada</t>
  </si>
  <si>
    <t xml:space="preserve"> % de área con crédito para adecuación de tierras</t>
  </si>
  <si>
    <t>3.3 Incentivo prácticas y tecnologías sostenibles</t>
  </si>
  <si>
    <t>Incentivo vivienda 5.1</t>
  </si>
  <si>
    <t>Valor vivienda rural</t>
  </si>
  <si>
    <t>% cuota inicial</t>
  </si>
  <si>
    <t>Valor global subsidiado</t>
  </si>
  <si>
    <t>Valor promedio servicios públicos hogar 5.1</t>
  </si>
  <si>
    <t>Incentivo servicios públicos</t>
  </si>
  <si>
    <t>Incentivo a las Tics 5.1</t>
  </si>
  <si>
    <t>Valor Tablet</t>
  </si>
  <si>
    <t>Incentivo conectividad 5.1</t>
  </si>
  <si>
    <t>Valor pago servicio internet anual</t>
  </si>
  <si>
    <t>Incentivo Modular. Proyecto 5.4</t>
  </si>
  <si>
    <t>Cantidad Agricultores</t>
  </si>
  <si>
    <t>Incentivo modular para promover la asociatividad (Primeros 7 años)</t>
  </si>
  <si>
    <t>Incentivo por organización</t>
  </si>
  <si>
    <t>Capital de trabajo para adecuación y comercialización de papa adecuada para asociaciones 5.4</t>
  </si>
  <si>
    <t>Incentivo  al innovación 6.1</t>
  </si>
  <si>
    <t xml:space="preserve">%  estimado para innovación </t>
  </si>
  <si>
    <t>% Estimado para apoyo a la innovación</t>
  </si>
  <si>
    <t>Se supone la intervención en 10 regiones, que involucren las principales ciudades consumidoras, las cuales pueden ser modificadas cada año, para intervenir regiones distintas enfocadas al consumo. Se estima la realización de mesas de trabajo presenciales (10)  y virtuales (1) para intervenir las regiones mencionadas, se estiman 10 talleres y/o eventos de divulgación nacionales y/o regionales, se estima un pago de suscripción anual a plataformas de información por un valor de $3000 dólares año y un desarrollador de aplicaciones  que pueda implementar estrategias de análisis a través de herramientas TI, con un salario mensual de $6.604.729   por un período de 4 meses.  Se estima 1 campaña publicitaria institucional nacional, 5 campañas publicitarias regionales, 2  stands de promoción y divulgación a nivel nacional y 20 a nivel regional, 5 pendones por región  para apoyar en eventos comerciales a los agricultores o asociaciones, es decir 60. Para complementar las campañas regionales a otras regiones no intervenidas se estima un plan de medios radial institucional a otras 10 regiones del país, también se estima 10 vallas publicitarias regionales, un monto global para impresión de folletos- recetarios que promuevan el consumo, también se estima un monto global para pautas en redes sociales como otra forma distinta de divulgación. Se estima degustaciones en canales de comercialización como supermercados, plazas de mercados, entre otros, se estiman 1000 en total, como resultantes de 10 al mes por región, por 10 meses. Se estiman 6 personas que realicen capacitación a tenderos por 10 meses, con un salario y valor para degustaciones de $2.300.000, también se estima apoyar a 4 tiendas especializadas de papa al año, cuyo valor see estimó en $19 millones, se estimó un incentivo marcas y sellos microempresas, el cual se halló partiendo de la clasificación de empresas realizadas por la Dian, a la cual se le estimó el 3% , 2% y 0.5% de sus ingresos y se supuso un apoyo del  30%, 10% y 8% de acuerdo al tamaño de la empresa, los valores propuestos serían $8.059.394 para microempresas, $15.581.260 para pequeñas empresas y  $26.398.567 para medianas empresas, se estiman apoyar con el 50% del costo de las certificaciones diferenciadores, una por región. Como complemento a la educación al consumidor y a compradores, se estima la realización de 5 cursos libres virtuales por región, un curso corto por región de manera presencial y uno virtual.  Se estima un equipo humano de 5 personas a nivel nacional con un salario promedio mensual de $7.862.772 por 12 meses, se estima 4 desplazamientos aéreos,  con sus tiquetes y viáticos y 4 terrestres. Se estima equipo de trabajo, rodamiento, y apoyos tecnológicos en las 10 regiones a intervenir. Se deja por definir  convenios con expertos, con médicos, universidades, establecimientos de horeca (hoteles, restaurantes y caterings y  otras formas de incremento.</t>
  </si>
  <si>
    <t>Se estiman 12 mesas de trabajo presencial y 12 virtuales (una por mes y por región), pago en la suscripción de plataformas  base de datos por un valor de $3.000 dólares anuales. Se suponen dos viajes internacionales con sus viáticos, 3 misiones comerciales, participación en 2 ferias comerciales internacionales para apoyar a empresarios a abrir mercados. Se estiman incentivos para valor agregado de acuerdo al tamaño de la empresa, el cual se halló partiendo de la clasificación de empresas realizadas por la Dian, a la cual se le estimó el 3% , 2% y 0.5% de sus ingresos y se supuso un apoyo del  40%, 20% y 15% de acuerdo al tamaño de la empresa, se estima un incentivo para pequeñas y medianas empresas y no para microempresas ya que se considera que no estarían listos para el mercado de exportación, los valores propuestos serían $31.162.520 para pequeñas y un valor de $49.497.312 para dos medianas. También se estiman la realización de 12 giras técnicas  o visitas a regiones, una por región,  4 ruedas de negocios virtuales para terminar de concertar acercamientos realizados en los viajes y misiones comerciales.  Se estima apoyar con el 50% del costo de certificaciones diferenciadoras o sellos  a 4 empresas al año. Se estima un monto para pautas en redes sociales de $10 millones.  Se estimó un incentivo marcas y sellos el cual se halló partiendo de la clasificación de empresas realizadas por la Dian, a la cual se le estimó en 2% y 0.5% de sus ingresos y se supuso un apoyo del   10% y 8% de acuerdo al tamaño de la empresa, los valores propuestos serían  $15.581.260 para pequeñas empresas y  $26.398.567 para medianas empresas, no se estima incentivo para microempresa ya que se considera difícil que incursionen en el mercado exportador. Se estima un equipo humano  de 4 personas  con un salario promedio mensual de $7.862.772 por 12 meses, se estima 4 desplazamientos  aéreos con sus tiquetes y viáticos y 8 desplazamientos terrestres. Se estima una persona por región, para gestionar las actividades planteadas, que incluye honorarios, rodamiento y apoyos tecnológicos. Se deja por definir  otras formas de posicionamiento.</t>
  </si>
  <si>
    <t>Se estiman 12 mesas de trabajo presencial y 12 virtuales (una por mes y por región),se estiman 24 talleres y/o eventos de divulgación nacionales y/o regionales presenciales y 24 virtuales para brindar acompañamiento técnico a productores y organizaciones de productores, también se estiman giras técnicas y/o visitas para realizar acercamientos con clientes y revisar requisitos de comercialización. Se estima realización de 24 ruedas de negocios presenciales y 24 virtuales, se estima realizar 4 mercados campesinos y/o circuitos cortos de comercialización por región al año, se estima participación en 12 ferias comerciales nacionales. Se estima un monto global para pautas en redes sociales como otra forma distinta de apoyo a la comercialización.  Se estiman 6 desarrolladores de aplicaciones para desarrollar aplicaciones que apoyen a los productores y organizaciones de productores a comercializar por aplicaciones tecnológicas. Se sugiere la creación de un incentivo para el pago de la comisión FAG de contratos de suministro,  se estima 4 millones de toneladas de papa anuales, de las cuales, se estima que el 10% , es decir 400.000 toneladas se estima que suscriban contratos de suministro. Se supuso un valor de papa de $1.000.000 por tonelada  y se estimó que el porcentaje de comisión del FAG es del 3.75% y el registro en la BMC del vendedor es de 0.04% del valor de la negociación, lo que arroja un valor de $37.900 por tonelada de papa  registrada en la BMC, se estima que el 50% de este valor sea asumido por el estado durante los ocho primeros años. Se estima un incentivo para posicionar marcas y sellos a los productores y/organización de productores una por región, se estima un incentivo al valor agregado se calculó partiendo de la clasificación de la DIAN, a la cual se le estimó el 3% , 2% y 0.5% de sus ingresos y se supuso un apoyo del  40%, 20% y 15% de acuerdo al tamaño de la empresa, los valores propuestos serían $10.745.859 para microempresas,  $31. 162.520 para pequeñas empresas y $49.497.312 para medianas empresas, se estima apoyar a 2 empresas al año de cada tamaño. Se estima el requerimiento de recursos para fortalecer infraestructura de comercialización local y/o regional por medio de la mejora en la planta física, la cual tiene un valor de $750 millones, como resultado de un área estimada de 500 mts con un costo por metro cuadrado de $1.500.000,  se sugiere apoyar 4 sitios de mejora al año, durante 8 años, se estima que este apoyo sea asumido por el ente territorial en su totalidad. Se estima un equipo humano  de 3 personas para los proyectos con un salario promedio mensual de $7.862.772 por 12 meses, se estima 3 desplazamientos aéreos,  con sus tiquetes y viáticos y 9 terrestres. Se estima equipo de trabajo, rodamiento, y apoyos tecnológicos en las 12 regiones a intervenir. Se deja por definir  fomento compras convenios públicos, incentivo a seguros agropecuarios y/o instrumentos de mitigación de riesgos, implementación de otros instrumentos de comercialización para la cadena y  otras formas de aumento.</t>
  </si>
  <si>
    <t>ICR a la producción de semilla certificada fase 1</t>
  </si>
  <si>
    <t>ICR a la producción de semilla certificada fase 2</t>
  </si>
  <si>
    <t>Incentivo al Análisis biológicos de suelos (presencia de patógenos)</t>
  </si>
  <si>
    <t>LEC Capital de trabajo para comercialización de semilla</t>
  </si>
  <si>
    <t>Incentivo a Análisis de virus</t>
  </si>
  <si>
    <t xml:space="preserve">Parcelas demostrativas o lotes modelos de semilla certificada </t>
  </si>
  <si>
    <t>Días de campo, giras técnicas, visitas y/o demostraciones de método.</t>
  </si>
  <si>
    <t>Parcelas demostrativas o lotes modelos (Costo promedio)</t>
  </si>
  <si>
    <t xml:space="preserve">Se estiman 12 mesas de trabajo presencial y 12 virtuales  (una por mes y por región),  se estima la realización de 48 talleres y/o eventos de divulgación nacionales y/o regionales presenciales y 48 virtuales, es decir 4 por región,  para clasificar, priorizar y también para realizar acompañamiento a los agricultores y asociaciones en distintos temas,  se estima la realización de plan de medios radial institucional 2 por región, para socializar los talleres y eventos a realizar y también como un mecanismo alternativo para divulgación y capacitación. Se estima un apoyo del 25% al costo de análisis de agua, suelos, foliar y multiresiduos  con un costo de $1 millón de pesos para el paquete de análisis, para  el 50% del total  de UPAS productoras (40.952) durante 19 años, es decir 2368 UPAS al año, también se estima 72 agricultores para realizar asistencia técnica dirigido a pequeños productores, cifra que se halló, partiendo de 90.000 productores de papa, y estimando que se va a realizar asistencia técnica al 80% de estos productores (72.000)  durante 5 años (14.400), se supone que una persona realice asistencia técnica a 200 productores al año, asumiendo que en promedio cada productor tendría una hectárea, por lo que se requeriría 72 asistentes técnicos, también se estiman 2 asesores especializados con un salario promedio de $14.467.506 durante 2 meses.  Para capacitar y brindar asistencia técnica integral, se estiman 60 cursos libres virtuales 5 por región productoras, cursos cortos por región, cursos cortos virtuales por región, días de campo, y/o giras técnicas y/ o demostraciones de método, 3 por región, 12 parcelas demostrativas o lotes modelos por región. Se estima realizar 24 ruedas de negocios virtuales y 24 presenciales  para conectar empresas especializadas en diferentes temas como semilla, insumos, servicios  y productores. Se estiman  desarrolladores para realizar monitoreo con honorarios promedio mensuales de $5.661.197 por cinco meses, se estiman talleres especializados y/o encuentros técnicos por región. Se estima el 50% del costo de certificaciones BPA para 5 empresas/productores para las 12 regiones, se estima apoyar con el 50% del valor de las certificaciones o sellos por región.  Se sugiere la creación de un incentivo para la agregación del valor de acuerdo al tamaño de la empresa, valores que se hallaron basados en la clasificación de la DIAN a la cual se le estimó el 3% , 2% y 0.5% de sus ingresos y se supuso un apoyo del  40%, 20% y 15% de acuerdo al tamaño de la empresa, los valores propuestos serían $10.745.859 para dos microempresas, $31.162.520,  para dos pequeñas empresas y $49.497.312 para dos medianas empresas, que requieran un apoyo para lograr generar valor agregado en su producto. Se sugiere un incentivo del 80% a un valor de apoyo de $30 millones a suelos degradados en distritos de riesgo, se estima apoyar a 50 has año,  también se sugiere un incentivo a suelos degradados el cual es el  60%  de $10 millones  estimados.  Se estima Kits de maquinaria y equipo producción primaria compuesta por un tractor, una sembradora, un arado de cincel y una cosechadora que permita mejorar la eficiencia de las labores de cultivo por un valor global de $291.730.750 para 10 regiones durante 10 años, se estima in ICR del 30% para esta maquinaria. Se estima kit de equipos para adecuación de papa compuestos por  módulos para recepción, selección por calidad, clasificación, lavado, escurrido y secado de papa con sus respectivos controles eléctricos de velocidad y controles de encendido y apagado, estimados en $392 millones.  Se estima 5 kits por año durante 5 años, con un ICR del 20%.  Se estima un equipo humano de 5 personas con un salario promedio mensual de $8.963.563  por 12 meses, se estima 8 desplazamientos terrestres  con sus viáticos y desplazamientos,  cuatro desplazamientos aéreos con sus tiquetes y viáticos, se estima una persona en región con su rodamiento y apoyos tecnológicos.  Se deja por definir  otras formas de implementación.  Se calculó un incentivo a la compra de semilla certificada, el cual se estimo de manera creciente suponiendo un incremento anual el uso de semillas certificadas, se parte de un valor has 13.600 has sembrada con semilla certificada en el 2017, por tanto se parte en el cuarto año de un valor de 15.600 has sembradas con semilla certificada y se estima un crecimiento anual del 6% por 10 años, se estima un  valor en el precio de la semilla de $1.250.000 y se estima un apoyo del 25% para la compra de la semilla certificada. </t>
  </si>
  <si>
    <t xml:space="preserve">Se estima 24 mesas de trabajo presencial y 24 virtuales, es decir dos por región, se estima asesoría especializada para profundizar sobre temas de interés durante dos meses, se estiman giras técnicas, visitas y/o demostraciones de método una por región, se estima la realización de 2 talleres y/o eventos de divulgación presenciales por región y 2 talleres y/o eventos virtuales por región, se estima un monto de $ 3 millones de material divulgativo por región, se estiman talleres especializados uno por región, un plan de medios radial por región para realizar divulgación, se estiman pautas en redes sociales por un monto de $2 millones, una por región, Se estiman 2 ruedas de negocios presenciales y 12 virtuales, Se estima la realización de 2 cursos cortos presenciales por región, 2 virtuales por región, 2 cursos libres por región, 2 cursos libres virtuales por región, también se considera la participación en 4 ferias comerciales nacionales.  Se estima incentivar al desarrollo de marcas y sellos para pequeñas dos por año, por un valor de $15. 581.260 , valor que se halló  de acuerdo a la Resolución 957 del 2019  de la DIAN, relacionado con la clasificación de las empresas por el valor de ingresos y se tomo solo el valor para pequeñas empresas, estimando un %10 del valor de los ingresos, este incentivo se considera por 10 años. Adicionalmente se consideró un incentivo para el desarrollo de procesos de transformación para pequeñas y medianas, el cual se halló de la misma manera, pero se consideró un 2% y 0.5% del valor de los ingresos para pequeñas y medianas y se consideró un incentivo de 35% para ambos casos. Adicionalmente se sugiere un incentivo para la integración vertical y horizontal para 2 empresas pequeñas y 2 empresas medianas, cuyo valor se halló partiendo también de un 2% y un 0.5% del valor de los ingresos  y se considera un incentivo del 25% y 15% respectivamente.  Se estima un equipo humano de 4 personas con un salario promedio mensual de $8.963.563  por 12 meses, se estima 8 desplazamientos terrestres  con sus viáticos y desplazamientos,  cuatro desplazamientos aéreos con sus tiquetes y viáticos, se estima una persona en región con su rodamiento y apoyos tecnológicos.  Se deja por definir  otros mecanismos. </t>
  </si>
  <si>
    <t>ICR Bodegas  mediana capacidad (hasta 120 ton de papa)</t>
  </si>
  <si>
    <t>ICR Bodegas  gran capacidad (1000 ton de papa)</t>
  </si>
  <si>
    <t xml:space="preserve">Se estiman 12 mesas de trabajo presencial y 12 virtuales (una por mes y por región), se estima 1 visita y/o gira técnica por región,  se estiman 12 talleres y/o eventos de divulgación nacionales y/o regionales presenciales y 12 virtuales. Se estiman dos viajes internacional y sus viáticos a dos empresarios para que conozcan otras experiencias en el acopio, almacenamiento y procesamiento de la papa. Se estiman capacitaciones dirigidas a fortalecer los empresarios a través de cursos cortos por región de manera presencial y curso cortos virtuales, cursos libres presenciales por región, también  cursos libres virtuales por región, 6 diplomados presenciales y 6 virtuales. Se estima un monto global requerido para capital de trabajo para el procesamiento para 30 empresas al año, se sugiere un LEC para capital de trabajo para el procesamiento de papa con aptitud industrial, el cual se halló considerando $ 1 millón como valor promedio para la tonelada de papa con aptitud industrial se estima que una empresa procese 250 toneladas al año, es decir 5.000 bultos de papa industrial , para lo cual se sugiere existe una línea especial de crédito del 7,5% anual.  Adicionalmente se estima un ICR del 20% para incentiva la adecuación de 6 bodegas de mediana capacidad (hasta 120 ton de papa) por un valor de $204 millones que incluye obra civil, implementos y equipamientos, se estima 8 bodegas de gran capacidad y el valor  comercial se estima en 990 millones, el cual incluye el costo de obra civil, equipamiento e implementos. Se estima un ICR del 30%, al mejoramiento de infraestructura de procesamiento para pequeñas y medianas empresas, no para microempresas, el cual se calculó teniendo en cuenta  la clasificación de la DIAN partiendo del 2%  y 0.5% del valor de ingresos y se sugiere un incentivo del 40% y 30%, lo que arroja $62.325.040 para pequeñas y $98.994.624 para medianas, este incentivo se considera por 10 años. También se estima dos asesores especializada para proyectos con un valor promedio de $14.467.506 por 8 meses.  Se estima un incentivo al mejoramiento de infraestructura de procesamiento para pequeñas y medianas empresas, no para microempresas, el cual se calculó teniendo en cuenta  la clasificación de la DIAN partiendo del 2%  del valor de ingresos y se sugiere un incentivo del 40% y 30%, lo que arroja $62.325.040 para pequeñas y $98.994.624 para medianas, este incentivo se considera por 10 años. Se estima un incentivo al fortalecimiento para las empresas medianas de papa y para la creación y fortalecimiento agroindustriales para el procesamiento de derivados y otros, el cual se calculó teniendo en cuenta  la clasificación de la DIAN partiendo del 2%  del valor de ingresos y se sugiere un incentivo del 25% lo que arroja $38.953.150 para medianas, este incentivo se considera por 10 años, se calcularon estos incentivos a partir de la clasificación de la Dian al no contar con elementos suficientes para realizar el costeo de los requerimientos de maquinaria para el procesamiento de la papa.  Se estima un equipo humano de 4 personas con un salario promedio mensual de $8.963.563 por 12 meses, el cual comparte actividades con el proyecto 2.5, se estima 8 desplazamientos terrestres  con sus tiquetes y viáticos y 4 desplazamientos aéreos. Se estima equipo de trabajo en región que incluye salario, rodamiento y apoyos tecnológicos que requiere  12 personas que comparten funciones con el proyecto 2.6.  Se deja por definir  otros mecanismos para mejora. </t>
  </si>
  <si>
    <t xml:space="preserve">Se estiman 12 mesas de trabajo presencial y 12 virtuales (una por mes y por región), se estiman 2 visitas y/o giras técnicas por región,  se estiman 12 talleres y/o eventos de divulgación nacionales y/o regionales presenciales y 12 virtuales, se estiman 12 ruedas de negocios presenciales y 12 virtuales, se estima la realización de 4 ferias comerciales nacionales y 2 ferias internacionales. Se estima capacitaciones  dirigidas a fortalecer los empresarios a través de cursos cortos por región de manera presencial y curso cortos virtuales, cursos libres presenciales por región, también  cursos libres virtuales por región. Se estimó apoyar con un LEC del 7,5% de capital de trabajo para 15 empresas al año, durante 10 años, que realizan adecuación y comercialización de papa adecuada, el valor hallado se calculó es de $ 400 millones por empresas, que es el resultado de  estimar un valor promedio de papa adecuada de un millón de pesos por tonelada y de una cantidad de 400 toneladas al año que es un equivalente a 8000 bultos de papa de diferentes presentaciones. Se estiman incentivos a la especialización para el embalaje y transporte, el cual se halló partiendo de la clasificación de empresas realizadas por la Dian, a la cual se le estimó el 3% , 2% y 0.5% de sus ingresos y se supuso un apoyo del  50%, 15% y 10% de acuerdo al tamaño de la empresa, los valores propuestos serían $13.432.324 para dos microempresas, $23.371.890  para dos pequeñas empresas y $32.998.208  para dos medianas empresas, que requieran apoyo para su especialización de acuerdo al tipo de empresa. Se estiman incentivos al emprendimiento para incentivar  el fortalecimiento de 24 pequeñas empresas al año, el valor estimado  es de $38.953.150, el cual se estimó partiendo de la clasificación de empresas realizadas por la Dian, estimando el 2% de sus ingresos y se supuso un apoyo del 25% de estos.  Se estima un equipo humano de 4 personas con un salario promedio mensual de $8.963.563 por 12 meses, el cual comparte actividades con el proyecto 2.5, se estima 8 desplazamientos terrestres  con sus tiquetes y viáticos y 4 desplazamientos aéreos. Se estima equipo de trabajo en región que incluye salario, rodamiento y apoyos tecnológicos que requiere  12 personas que comparten funciones con el proyecto 2.5.  Se deja por definir  otros mecanismos de posicionamiento. </t>
  </si>
  <si>
    <t>ICR Reservorios para 50 mts cúbicos de agua</t>
  </si>
  <si>
    <t xml:space="preserve">Se estiman 28 mesas de trabajo (4 presenciales y 24 virtuales - 2 por región), talleres y/o eventos de divulgación nacionales y/o regionales (16 presenciales y 24 virtuales), Días de campo, giras técnicas, visitas y/o demostraciones de método (5 en cada región), y 4 asesores especializados. Se estiman, cursos cortos, cursos libres, y diplomados (presenciales 1 en cada región, y virtuales 2 en cada región). Se propone un incentivo durante 8 años para inversiones en tecnologías y prácticas sostenibles para microempresas comercializadoras (5 por año), pequeñas empresas comercializadoras (2 por año) y medianas empresas comercializadoras (2 por año), microempresas procesadoras (10 por año), pequeñas empresas procesadoras (3 por año) y medianas empresas procesadoras (2 por año), el cual se halla partiendo de la Resolución 957 del 2019  de la DIAN, relacionado con la clasificación de las empresas por el valor de ingresos, en micro, pequeñas y medianas, se tomó el valor de los ingresos  y se estimó un porcentaje del 3%, 2% y 0.5%, partiendo de este valor, se considero un incentivo de 40%, 25% y 15% respectivamente, los valores propuestos serían $10.745.859 para dos microempresas, $38.953.150,  para dos pequeñas empresas y $49.497.312 para dos medianas. Se considera un equipo humano nacional de 3 personas, con 3 desplazamientos aéreos  con sus tiquetes y viáticos y 9 desplazamientos terrestres con viáticos y desplazamientos,  un equipo en región de 12 personas, con rodamiento (peajes y combustible) y apoyos tecnológicos (GPS y Tablet) Se considera "Por definir" otras formas de mejora. </t>
  </si>
  <si>
    <t>Se estiman 12 mesas de trabajo presencial, 36 mesas de trabajo virtuales (3 por región), talleres y/o eventos de divulgación nacionales y/o regionales presenciales 1 por región y virtuales 2 por región, material de divulgación, pauta en redes sociales, cursos cortos presenciales 1 por región y virtuales 5 por región, 4 personas que apoyen la realización de actividades a nivel nacional, se estima 2 desplazamientos aéreos,  con sus tiquetes y  2 desplazamientos terrestres, se estima una persona por cada región, con rodamiento (peajes y combustible) y apoyos tecnológicos (GPS y Tablet); y se considera "Por definir" la implementación de los Planes Maestros de Reconversión Productiva y otras formas de articulación.</t>
  </si>
  <si>
    <t xml:space="preserve">Se estiman 4 mesas de trabajo presencial y 24 mesas de trabajo virtuales, 12 talleres y/o eventos de divulgación nacionales y/o regionales presenciales (1 por región) y 24 virtuales (2 por región), 4 asesores especializados, una campaña institucional, plan de medios regional y material promocional (1 por región), un desarrollador de plataforma, cursos cortos presenciales 1 por región y virtuales 5 por región, 4 personas que apoyen la realización de actividades a nivel nacional, se estima 2 desplazamientos aéreos,  con sus tiquetes y  2 desplazamientos terrestres, se estima una persona por región, con rodamiento (peajes y combustible) y apoyos tecnológicos (GPS y Tablet). Se considera "Por definir" otras formas de promoción.  </t>
  </si>
  <si>
    <t>Se estima 12 mesas de trabajo presencial y virtuales, 12 talleres y/o eventos de divulgación nacionales y/o regionales,  talleres y/o eventos virtuales  por región.  Se estima giras técnicas, visitas 2 por región,  cursos cortos presenciales y virtuales  por región, cursos libres virtuales y presenciales  dos por región, plan de medios radial institucional por región, ruedas de negocio presenciales por región, ruedas de negocios virtuales por región.  Se estima un equipo humano  de 4 personas con un salario promedio mensual de $7.862.772 por 10 meses, se estima 8 desplazamientos terrestres y 4 desplazamientos aéreos, se estima equipo humano por región por un valor promedio de $3.931.184 con rodamiento y apoyos tecnológicos. Se deja por definir convenios y programas y compras públicas.  Se deja por definir  otras formas de fomento.</t>
  </si>
  <si>
    <t xml:space="preserve">Se estima 24 mesas de trabajo presencial y virtuales, dos por región, 24 talleres y/o eventos de divulgación nacionales y/o regionales,  dos talleres y/o eventos virtuales  por región.  Se estiman giras técnicas por región,  cursos cortos presenciales y virtuales  por región, cursos libres virtuales y presenciales  por región, plan de medios radial regional,  ruedas de negocio presenciales por región, dos ruedas de negocios virtuales por región, dos mercados campesinos y/o circuitos cortos de comercialización por región. Se estima un incentivo modular para promover la asociatividad por región, el valor se halló partiendo del valor del incentivo de alianzas productivas de $1.800.00  para incentivar 15 agricultores, es decir el incentivo por asociación es de $27 millones.  Se estima LEC para  capital de trabajo para adecuación y comercialización de papa adecuada para asociaciones una por región, el valor se calculó teniendo en cuenta un valor promedio a la tonelada de papa adecuada de $1 millón y se estima 400  toneladas  de papa para ser adecuada en un año, que es equivalente a 8000 bultos de papa de diferentes presentaciones. Se estima un desarrollador de software por 4 meses con un valor promedio de $5.032.173.  Se estima un equipo humano  de 4 personas con un salario promedio mensual de $7.862.772 por 10 meses, se estima 8 desplazamientos terrestres y 4 desplazamientos aéreos, se estima equipo humano por región por un valor promedio de 3.931.184 con rodamiento y apoyos  tecnológicos.  Se deja por definir  otras formas de fomento. </t>
  </si>
  <si>
    <t>LEC Capital de trabajo para adecuación y comercialización de papa adecuada para asociaciones</t>
  </si>
  <si>
    <t>Para impulsar la actualización del PECTIA y las agendas de I+D+i de la cadena de la papa, se estiman 4 mesas de trabajo virtuales con las Mesas de CTIA para las regiones que tienen las Agendas de I+D+i actualizadas (1 para Boyacá Centro,  1 para Antioquia Norte y 1 para Antioquia Sur y 1 para Norte de Santander). Se estiman 11 mesas de trabajo presencial en  las regiones que tienen desactualizadas las Agendas, estas regiones son Cundinamarca (Norte, Oriente, Sabana de Bogotá y Sumapaz), Macizo (Nariño, Ipiales, Pasto), Cauca, Santanderes Norte Boyacá, Nevados (Norte del Tolima y Caldas), Centro Tolima Valle (Cajamarca. Tuluá).  Se estima 1 taller y/o evento de divulgación nacional para socializar el estado de actualización del PECTIA nacional, se estima 12 talleres y/o eventos de divulgación regionales un taller para cada región y 4 talleres virtuales.  Se estima asesores especializados para la evaluación técnica del centro de investigación con un salario promedio de $14.467.506 mensuales por seis meses, también se estima dos viaje internacional con sus viáticos para formar redes colaborativas o algún ejercicio de benchmarking que se requiera, se estima la realización de 6 ruedas de negocios presenciales y 6 virtuales para conectar oferta y demanda de servicios de innovación, se estiman cursos cortos por región y cursos cortos virtuales por región. Basados en la clasificación de la DIAN se estiman incentivos al la innovación para las empresas, de acuerdo a su tamaño, el cual se halló partiendo de la clasificación de empresas realizadas por la Dian, a la cual se le estimó el 3% , 2% y 0.5% de sus ingresos y se supuso un apoyo del  50%, 25% y 15% de acuerdo al tamaño de la empresa, los valores propuestos serían $13.432.324 para dos microempresa. $38.953.150 para dos pequeñas empresas y $49.497.312 para dos medianas empresas. Partiendo del programa de Váuchers de innovación se estima un apoyo de $30 millones para 4 empresas innovadoras al año, se estima dos desarrolladores de software por seis meses con un promedio salarial de $6.604.729. Se estima un equipo humano nacional de 4 personas para concertar  el modelo de I+D+i específico para la cadena de la papa, este equipo se le asigna viáticos y costo de  4 desplazamientos terrestres y 4 aéreos, también se estima un equipo humano en región de 12 personas  con rodamiento y apoyos tecnológicos. Por tener elementos insuficientes para el costeo se deja por definir la implementación de la estrategia financiera, el fortalecimiento al desarrollo de nuevas variedades, implementación del modelo de I+D+I y otras formas de implementación.</t>
  </si>
  <si>
    <t xml:space="preserve">Tablero principal eléctrico (más motoreductor de 2 HP y variador de velocidad) </t>
  </si>
  <si>
    <t xml:space="preserve">Tablero principal eléctrico (interruptores encendido y apagado; variadores de velocidad, totalizador y contactores y arrancadores) </t>
  </si>
  <si>
    <t>Implementos y otros equipos ( Basculas, ganchos, canastillas, estibas, etc.)</t>
  </si>
  <si>
    <t>h.Especialización</t>
  </si>
  <si>
    <t>Implementos y otros equipos ( Basculas, ganchos, cosedoras, canastillas, estibas, etc.)</t>
  </si>
  <si>
    <t>2.1.4. Realizar el acompañamiento técnico a los productores de semilla certificada tanto en aspectos agronómicos y ambientales, como en aspectos administrativos y gerenciales, en concordancia con los avances en I+D+i  y extensión agrícola del proyecto 6.1.</t>
  </si>
  <si>
    <t>2.2.5. Capacitar y brindar acompañamiento técnico a los productores de papa, sobre labores de postcosecha (selección, limpieza, clasificación, empaque, almacenamiento, etc.), para facilitar y mejorar la comercialización de papa.</t>
  </si>
  <si>
    <t>2.2.8. Fomentar, a través de instrumentos financieros e incentivos, el acceso y uso de tecnologías avanzadas en las prácticas agronómicas de la producción primaria y en las labores de postcosecha, que posibiliten el aumento de escalas de producción, el incremento de la productividad del cultivo de papa y faciliten y mejoren su comercialización. conforme lo estipulado en la Ley 2186 del 2022 que fortalece el financiamiento de los pequeños y medianos productores agropecuarios.</t>
  </si>
  <si>
    <t xml:space="preserve">Se estiman 12 mesas de trabajo presencial y 12 virtuales (una por mes y por región),  se estima la realización de 12  talleres y/o eventos de divulgación nacionales y/o regionales presenciales y 12 virtuales como una forma para capacitar a los agricultores y asociaciones,  se estiman 4 asesorías especializadas por 10 meses, se estima un incentivo para la realización de análisis biológicos de suelos 50 por región, incentivo del 30% para la realización de 40  análisis de virus por región,  se estiman talleres especializados y/o encuentros técnicos, se estima la realización de parcelas demostrativas o lotes modelos de semilla certificadas 4 por región, se supone realizar talleres prácticos  4 por región, se estima la realización de 12 campañas institucionales, una por región, se estima la realización de 48 ruedas de negocios presenciales (4 por región) y 36   ruedas de negocios virtual (3 por región), se estima un monto global para pautas en redes sociales de $3.000.000 para 12 regiones, se estima un material de divulgación por un valor  de $5 millones para 12 regiones, se estima un incentivo a la producción de semilla certificada  para 2 empresas, el cual se halló, estimando el valor de requerimientos de laboratorios, casa de malla y registro por un valor de 95 millones para lo cual se estimó un ICR del 40%, también se estimó un valor para la producción de semilla certificada fase 2, para lo cual se estimó requerimiento en la compra de mini tubérculos, bodega, canastillas y selladoras y el registro por un valor de $50 millones para 10 empresas al año, para lo cual se estimó un ICR del 40%,  se estima dos planes de medios radiales por región, se estima un LEC del 7,% para capital de trabajo para comercialización de semilla para 8 empresas al año, el valor calculado por empresa es $375 millones, que es el resultado de estimar un valor promedio por tonelada de semilla de papa en el mercado y suponer 400 toneladas de semillas anuales, es decir 6000 bultos de semilla,  para comercializar por una asociación/empresa. Se estimó equipos para el manejo poscosecha de semilla certificada, a través de procesos de selección, clasificación, limpieza y disposición, para su posterior comercialización, para lo cual se estimó un ICR del 20%., Se estima apoyar a 4 asociaciones/empresas año, durante 5 años con un incentivo del ICR del 20%. Se estima la realización de plan de medios radial institucional para socializar los talleres y eventos a realizar. Se estima un equipo humano de 3 personas con un salario promedio mensual de $8.963.563  por 12 meses, se estima 8 desplazamientos terrestres  con sus viáticos y desplazamientos,  cuatro desplazamientos aéreos con sus tiquetes y viáticos, se estima una persona en región con su rodamiento y apoyos tecnológicos.  Se deja por definir  otras formas de implementación. </t>
  </si>
  <si>
    <t xml:space="preserve">Se estima 20 mesas de trabajo presencial y virtuales que son las zonas que se consideran con componente industrial, dos por zonas,   se estiman 4 asesores especializados durante 2 meses para profundizar en distintas regiones del país sobre temas especializados, se estima la realización de una gira técnica y/o visita y/ demostración de método por región, se estima  2 talleres y/o eventos de divulgación presenciales  por región, 2 talleres y/o eventos virtuales por región,  1 taller y/o eventos prácticos por región, un monto global de material divulgativo por región por $3 millones para 10 regiones, también se estiman 2 talleres y/o encuentros especializados por región, se estima plan de medios radial regional para promocionar los distintos eventos grupales para realizar capacitación, se estima pautas en redes sociales por región por un valor de $2 millones.  Se estima la realización de 2 ruedas de negocios presenciales por región y 2 ruedas de negocios virtuales, se estima la realización de 2 cursos cortar por región, 2 cursos cortos virtuales por región, 2 cursos libres presenciales y virtuales por región, así como 2 diplomados presenciales y 2 virtuales por región. Se estima la realización de 4 ferias comerciales nacionales.  Se estima incentivar la agregación de valor de acuerdo al tamaño de la empresa, el valor estimado se halla de acuerdo a la Resolución 957 del 2019  de la DIAN, relacionado con la clasificación de las empresas por el valor de ingresos, en micro, pequeñas y medianas, se tomó el valor de los ingresos  y se estimó un porcentaje del 3%, 1% y 0.2%, partiendo de este valor, se consideró un incentivo de 40%, 25% y 20% respectivamente, los valores propuestos serían $10.745.859 para dos microempresas, $31.162.520,  para dos pequeñas empresas y $49.497.312 para dos medianas empresas, que requieran un apoyo para generar valor agregado.  Se estima el 50% del costo de certificaciones BPA para 4 empresas al año, se estima apoyar con el 50% del valor de cuatro certificaciones o sellos al año, durante 10 años.  Se estima incentivar el desarrollo de procesos para 3 pequeñas y 2 medianas empresas al año, el valor estimado se halla de acuerdo a la Resolución 957 del 2019  de la DIAN, relacionado con la  clasificación de las empresas por el valor de ingresos, se tomó el valor de los ingresos  y se estimó un porcentaje del 2% y 0.5%, partiendo de este valor, se consideró un incentivo de 35% para los cosas, los valores propuestos son $54.534.956 y $115.493.728 por diez años.   Se estima un equipo humano de 4 personas con un salario promedio mensual de $8.963.563  por 12 meses, se estima 8 desplazamientos terrestres  con sus viáticos y desplazamientos,  cuatro desplazamientos aéreos con sus tiquetes y viáticos, se estima una persona en región con su rodamiento y apoyos tecnológicos.  Se deja por definir  otras formas de implementación. </t>
  </si>
  <si>
    <t>Se estiman 28 mesas de trabajo (4 presenciales y 24 virtuales, 2 por región), talleres y/o eventos de divulgación nacionales y/o regionales (16 presenciales y 24 virtuales), 12 parcelas demostrativas (1 por región),  días de campo, giras técnicas,  visitas y/o demostraciones de método (5 en cada región), plan de medios radial regional y material de divulgación (1 por región). Se estiman, cursos cortos, cursos libres, y diplomados (presenciales 1 en cada región, y virtuales 2 en cada región); un equipo humano nacional de 3 personas, con 3 desplazamientos aéreos,  con sus tiquetes y viáticos y 8 terrestres con viáticos y desplazamientos, un desarrollador, un equipo en región de 12 personas, con rodamiento (peajes y combustible) y apoyos tecnológicos (GPS y Tablet). Se estima un ICR del 20% para soluciones individuales en riego, del área sembrada (196.823 ha) se asume que aproximadamente un 5% equivalente a 9.841 ha cuenta con riego, por lo cual se calcula un incremento anual del 20% sobre esa área, es decir 1.968 ha/año, durante los 20 años,  con un valor estimado de $6.000.000/ha, este valor corresponde a un sistema de riego por bombeo que incluye equipos, y no incluye mano de obra, ni transporte. Se estima un 7,5% de apoyo LEC de adecuación de tierras para uso agropecuario, en un 5% del área sembrada, es decir 9.841 ha/año, durante 10 años. Se estima apoyar con un ICR del 30% para la construcción  de reservorios con geomembrana, bomba captadora alimentada con paneles solares, se estima la construcción  de 500 reservorios durante la implementación del plan. Se considera "Por definir" Otros tipos de captación, almacenamiento y aprovechamiento de agua, y otras formas de promoción.</t>
  </si>
  <si>
    <t>Se estiman 12 mesas de trabajo presencial y virtuales, se estima la realización de  talleres y/o eventos de divulgación nacional y/regional, uno por región a intervenir, tanto de  manera presencial como virtual.   Se estima la realización de un plan de medios radial regional,  se estima material de divulgación y promocional para apoyar a 1200 hogares año por un valor de $100.000, se estima un incentivo a Vivienda para apoyar 6 hogares al año, por un valor de 21 millones, que corresponde a un 20% del valor de la cuota inicial del valor estimado para una vivienda rural, se estima un valor de incentivo a servicios públicos para 2 familias por región por un valor de $25.000 para apoyar en pagar el valor de un mes de servicios públicos una vez,  se estima la realización de mercados campesinos y/o circuitos cortos de comercialización, 2 por región, por un valor global estimado de $3.800.000. Se estima  un equipo humano a nivel nacional  de 4 personas  con un salario promedio de $7.862.772 por diez meses se calcula 8 desplazamiento terrestres con sus viáticos y 4 desplazamientos aéreos con sus viáticos, se estima una persona por región, con su rodamiento y apoyos tecnológicos. Se considera por definir convenios y programas y otras formas de contribución.</t>
  </si>
  <si>
    <t xml:space="preserve"> Estimación de Costos</t>
  </si>
  <si>
    <t>1.1.4. Diseñar e implementar acciones de educación al consumidor, tales como capacitaciones, socializaciones, educación no formal, entre otros, con respaldo médico, teniendo en cuenta los diferentes segmentos de mercado y la oferta de productos genéricos y diferenciados de la cadena de la papa.</t>
  </si>
  <si>
    <t>1.2.1. Analizar periódicamente las tendencias, oportunidades, y empresas, relacionadas con la exportación de productos de la cadena de la papa, así como los mercados objetivo, condiciones de acceso, canales de comercialización y segmentos de mercado, entre otras variables de importancia para impulsar ventas al exterior, a partir de los estudios que se desarrollen en la actividad 8.3.4, así como de los mecanismos de seguimiento con que cuenten las entidades involucradas.</t>
  </si>
  <si>
    <t>1.3.4. Establecer convenios público-privados, para promover las compras públicas de papa y sus derivados a través de los programas oficiales de alimentación a nivel nacional, departamental y municipal.</t>
  </si>
  <si>
    <t>2.5.1. Identificar y seleccionar al interior de las regiones productoras de papa, las locaciones con mejores condiciones de ubicación, infraestructura y logística, respecto a las zonas de producción, transformación y consumo, para la construcción, ampliación y mejora de la infraestructura de almacenamiento y procesamiento de papa, teniendo en cuenta la caracterización regional de la actividad 8.3.3.</t>
  </si>
  <si>
    <t>2.5.2. Capacitar, orientar y acompañar técnicamente a los productores y procesadores, sobre construcción, mejora y adecuación de la infraestructura de almacenamiento y procesamiento de papa, acorde con su desarrollo y proyección empresarial, teniendo en cuenta los avances en I+D+i (proyecto 6.1)</t>
  </si>
  <si>
    <t>2.5.3. Ampliar y mejorar la infraestructura de almacenamiento y procesamiento de papa, a través de incentivos, instrumentos financieros, alianzas público - privadas, entre otros, teniendo en cuenta los avances del proyecto 2.4. Promoción de la integración y las alianzas estratégicas en la cadena de la papa.</t>
  </si>
  <si>
    <t>2.5.5. Constituir un banco de proyectos de inversión en la cadena de la papa con enfoque de mercado, que permita identificar y gestionar profesionalmente iniciativas y estímulos a la inversión, así como identificar y convocar, a través de los gremios del sector, de ProColombia y de otras entidades, a inversionistas y empresarios, nacionales o extranjeros, con interés en realizar inversiones en almacenamiento y procesamiento agroindustrial de la papa.</t>
  </si>
  <si>
    <t>2.5.6. Orientar y acompañar a los inversionistas de la cadena de la papa, en los trámites para acceder a incentivos tributarios, de manera que se estimulen las inversiones en almacenamiento y procesamiento agroindustrial de la papa, con beneficios de renta preferencial y exención de otros impuestos.</t>
  </si>
  <si>
    <t xml:space="preserve">2.4.1. Fortalecer la formación y capacitación de los productores, comercializadores y procesadores de papa en sistemas de integración vertical y horizontal y asociación empresarial tales como alianzas estratégicas, integradores de crédito asociativo, esquemas de riesgo compartido, maquilas, franquicias, entre otras. </t>
  </si>
  <si>
    <t>2.5. Mejora de la capacidad instalada en el almacenamiento y procesamiento agroindustrial de la papa</t>
  </si>
  <si>
    <t xml:space="preserve">6.2.3. Promover el diseño, mejora y/o actualización de los programas de formación integral y capacitación por competencias, y desarrollo de habilidades de los extensionistas y asistentes técnicos agrícolas e industriales, con enfoque regional, dirigidos a la adopción de los desarrollos tecnológicos generados para la cadena de la papa. </t>
  </si>
  <si>
    <t>6.2.4. Formar capital humano en competencias, habilidades y destrezas para estructuración y gestión de proyectos de I+D+i para la cadena de la papa.</t>
  </si>
  <si>
    <t>6.2.5. Identificar, seleccionar y capacitar a los extensionistas y asistentes técnicos agrícolas e industriales, en manejo del cultivo, de suelos y agua, de plagas y enfermedades, en uso de semillas y bioinsumos, calidad e inocuidad, manejo ambiental y sostenibilidad, gestión climática, cosecha, poscosecha y transformación, entre otros.</t>
  </si>
  <si>
    <t xml:space="preserve">6.2.6.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armonizados con los Planes Departamentales de Extensión Agropecuaria – PDEA aprobados. </t>
  </si>
  <si>
    <t>ICR Mejora en Infraestructura comercialización local</t>
  </si>
  <si>
    <t>1. Incremento del consumo y mejora de la comercialización de la papa</t>
  </si>
  <si>
    <t>ACTIVIDADES</t>
  </si>
  <si>
    <t>Estimación de Costos - Plan de acción de la Cadena de Papa</t>
  </si>
  <si>
    <t>1.2. Incursión y posicionamiento de la papa colombiana y sus derivados, en el mercado internacional</t>
  </si>
  <si>
    <t>Valor indicativo en pesos constantes de 2022 por programa y proyecto</t>
  </si>
  <si>
    <t>El ciclo de vida de todo proyecto se estructura en torno a las fases de Planificación, implementación y seguimiento. 
En el portafolio se plantean actividades, pero no se llega al detalle de una ficha de inversión.
El proceso de cuantificación de costos se realiza partiendo de los resultados esperados o bien de la realización de supuestos relacionados con diferentes aspectos, tales como los períodos de implementación, regiones productoras, agricultores a intervenir, entre otros.  
Para esto,  se definen en primer lugar unas categorías de costos, que es un elemento en el cual se parametrizan diferentes costos asociados al sector, como son honorarios, desplazamientos, infraestructura, actividades grupales, rubros de promoción y comunicación, entre otros.  En la categoría de costos también se encuentra el detalle de algunas  estimaciones realizadas. 
Los valores obtenidos son indicativos, ya que, aunque se costea la totalidad de proyectos, en algunos casos, no se estimó la demanda de recursos de implementación y fortalecimiento, los cuales dependen de estudios, diseños, estrategias para su desarrollo, por lo que no se cuentan con elementos suficientes para presupuestar otras etapas de los proyectos.
Por otro lado, en la mayoría de los proyectos también se consideran otras formas para su desarrollo que puedan ser contempladas por los actores y no han sido estimadas en este ejercicio, por lo que son calificadas como rubros por definir.
La etapa de estimaciones de acciones para desarrollar los proyectos es posterior y debe ser desarrollada por los actores de interés de cada proyecto o temática.</t>
  </si>
  <si>
    <t>Portafolio Programas y Proyectos</t>
  </si>
  <si>
    <t>Esta hoja se relaciona la versión de portafolio de programas y proyectos a la que esta estimación de costos.
La matriz conecta los ejes, estrategias, programas, proyectos, resultados esperados, y productos identificados con el costo estimado para su desarrollo.</t>
  </si>
  <si>
    <t>Corto Plazo
 (Año 1 al 4)</t>
  </si>
  <si>
    <t>Mediano Plazo 
(Año 5 al 12)</t>
  </si>
  <si>
    <t>Largo Plazo
 (Año 13 al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</si>
</sst>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0%"/>
    <numFmt numFmtId="167" formatCode="_-* #,##0.0_-;\-* #,##0.0_-;_-* &quot;-&quot;??_-;_-@_-"/>
  </numFmts>
  <fonts count="5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1"/>
      <color rgb="FF000000"/>
      <name val="Arial"/>
      <family val="2"/>
    </font>
    <font>
      <b/>
      <sz val="11"/>
      <color theme="1" tint="0.14999847407452621"/>
      <name val="Arial"/>
      <family val="2"/>
    </font>
    <font>
      <sz val="11"/>
      <name val="Arial"/>
      <family val="2"/>
    </font>
    <font>
      <sz val="12"/>
      <color theme="1"/>
      <name val="Calibri"/>
      <family val="2"/>
      <scheme val="minor"/>
    </font>
    <font>
      <sz val="11"/>
      <color theme="4"/>
      <name val="Arial"/>
      <family val="2"/>
    </font>
    <font>
      <sz val="10"/>
      <color theme="1"/>
      <name val="Arial"/>
      <family val="2"/>
    </font>
    <font>
      <sz val="11"/>
      <color rgb="FFFF0000"/>
      <name val="Arial"/>
      <family val="2"/>
    </font>
    <font>
      <sz val="11"/>
      <color theme="5"/>
      <name val="Arial"/>
      <family val="2"/>
    </font>
    <font>
      <sz val="10"/>
      <name val="Arial"/>
      <family val="2"/>
    </font>
    <font>
      <b/>
      <sz val="12"/>
      <color theme="0"/>
      <name val="Arial Black"/>
      <family val="2"/>
    </font>
    <font>
      <sz val="12"/>
      <color theme="0"/>
      <name val="Arial"/>
      <family val="2"/>
    </font>
    <font>
      <sz val="12"/>
      <color theme="1"/>
      <name val="Arial"/>
      <family val="2"/>
    </font>
    <font>
      <sz val="12"/>
      <color theme="1"/>
      <name val="Arial "/>
    </font>
    <font>
      <strike/>
      <sz val="12"/>
      <color theme="1"/>
      <name val="Arial"/>
      <family val="2"/>
    </font>
    <font>
      <sz val="9"/>
      <color theme="1"/>
      <name val="Arial"/>
      <family val="2"/>
    </font>
    <font>
      <sz val="11"/>
      <color theme="1" tint="0.14999847407452621"/>
      <name val="Arial"/>
      <family val="2"/>
    </font>
    <font>
      <sz val="9"/>
      <name val="Arial"/>
      <family val="2"/>
    </font>
    <font>
      <sz val="10"/>
      <color rgb="FFFF0000"/>
      <name val="Arial"/>
      <family val="2"/>
    </font>
    <font>
      <sz val="8"/>
      <color rgb="FFFF0000"/>
      <name val="Arial"/>
      <family val="2"/>
    </font>
    <font>
      <b/>
      <sz val="11"/>
      <name val="Arial"/>
      <family val="2"/>
    </font>
    <font>
      <b/>
      <sz val="11"/>
      <color theme="1"/>
      <name val="Calibri"/>
      <family val="2"/>
      <scheme val="minor"/>
    </font>
    <font>
      <sz val="12"/>
      <color rgb="FFFF0000"/>
      <name val="Arial"/>
      <family val="2"/>
    </font>
    <font>
      <sz val="11"/>
      <color theme="8" tint="0.39997558519241921"/>
      <name val="Arial"/>
      <family val="2"/>
    </font>
    <font>
      <b/>
      <sz val="11"/>
      <color indexed="8"/>
      <name val="Arial"/>
      <family val="2"/>
    </font>
    <font>
      <sz val="11"/>
      <color theme="6" tint="-0.249977111117893"/>
      <name val="Arial"/>
      <family val="2"/>
    </font>
    <font>
      <b/>
      <sz val="14"/>
      <color theme="1"/>
      <name val="Arial"/>
      <family val="2"/>
    </font>
    <font>
      <b/>
      <sz val="14"/>
      <color theme="1"/>
      <name val="Calibri"/>
      <family val="2"/>
      <scheme val="minor"/>
    </font>
    <font>
      <b/>
      <sz val="11"/>
      <color theme="1" tint="0.249977111117893"/>
      <name val="Arial"/>
      <family val="2"/>
    </font>
    <font>
      <sz val="11"/>
      <color theme="1" tint="0.249977111117893"/>
      <name val="Arial"/>
      <family val="2"/>
    </font>
    <font>
      <b/>
      <sz val="12"/>
      <name val="Arial"/>
      <family val="2"/>
    </font>
    <font>
      <u/>
      <sz val="11"/>
      <color theme="10"/>
      <name val="Calibri"/>
      <family val="2"/>
      <scheme val="minor"/>
    </font>
    <font>
      <sz val="8"/>
      <name val="Calibri"/>
      <family val="2"/>
      <scheme val="minor"/>
    </font>
    <font>
      <b/>
      <sz val="12"/>
      <color theme="1"/>
      <name val="Arial"/>
      <family val="2"/>
    </font>
    <font>
      <sz val="11"/>
      <color rgb="FFFF0000"/>
      <name val="Calibri"/>
      <family val="2"/>
      <scheme val="minor"/>
    </font>
    <font>
      <b/>
      <sz val="11"/>
      <color rgb="FF333333"/>
      <name val="Arial"/>
      <family val="2"/>
    </font>
    <font>
      <sz val="11"/>
      <color rgb="FF333333"/>
      <name val="Arial"/>
      <family val="2"/>
    </font>
    <font>
      <u/>
      <sz val="11"/>
      <color theme="10"/>
      <name val="Arial"/>
      <family val="2"/>
    </font>
    <font>
      <sz val="11"/>
      <color rgb="FF000000"/>
      <name val="Arial"/>
      <family val="2"/>
    </font>
    <font>
      <b/>
      <sz val="10"/>
      <color theme="1"/>
      <name val="Arial"/>
      <family val="2"/>
    </font>
    <font>
      <b/>
      <sz val="10"/>
      <name val="Calibri"/>
      <family val="2"/>
      <scheme val="minor"/>
    </font>
    <font>
      <b/>
      <sz val="10"/>
      <color theme="1"/>
      <name val="Calibri"/>
      <family val="2"/>
      <scheme val="minor"/>
    </font>
    <font>
      <sz val="8"/>
      <color theme="1"/>
      <name val="Calibri"/>
      <family val="2"/>
      <scheme val="minor"/>
    </font>
    <font>
      <sz val="10"/>
      <color theme="1"/>
      <name val="Calibri"/>
      <family val="2"/>
      <scheme val="minor"/>
    </font>
    <font>
      <sz val="12"/>
      <name val="Arial"/>
      <family val="2"/>
    </font>
    <font>
      <b/>
      <sz val="11"/>
      <color theme="0"/>
      <name val="Arial"/>
      <family val="2"/>
    </font>
    <font>
      <b/>
      <sz val="12"/>
      <color theme="0"/>
      <name val="Arial"/>
      <family val="2"/>
    </font>
    <font>
      <b/>
      <sz val="11"/>
      <color theme="0"/>
      <name val="Arial Black"/>
      <family val="2"/>
    </font>
    <font>
      <sz val="11"/>
      <color theme="0"/>
      <name val="Arial"/>
      <family val="2"/>
    </font>
  </fonts>
  <fills count="19">
    <fill>
      <patternFill patternType="none"/>
    </fill>
    <fill>
      <patternFill patternType="gray125"/>
    </fill>
    <fill>
      <patternFill patternType="solid">
        <fgColor theme="0"/>
        <bgColor indexed="64"/>
      </patternFill>
    </fill>
    <fill>
      <patternFill patternType="solid">
        <fgColor theme="2"/>
        <bgColor rgb="FF000000"/>
      </patternFill>
    </fill>
    <fill>
      <patternFill patternType="solid">
        <fgColor rgb="FFFFFFFF"/>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bgColor indexed="64"/>
      </patternFill>
    </fill>
    <fill>
      <patternFill patternType="solid">
        <fgColor theme="0"/>
        <bgColor rgb="FF000000"/>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4" tint="-0.49998474074526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theme="0" tint="-0.499984740745262"/>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top style="thin">
        <color theme="6" tint="-0.24994659260841701"/>
      </top>
      <bottom style="thin">
        <color theme="6" tint="-0.24994659260841701"/>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rgb="FF000000"/>
      </left>
      <right/>
      <top/>
      <bottom/>
      <diagonal/>
    </border>
    <border>
      <left/>
      <right style="thin">
        <color rgb="FF000000"/>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style="thin">
        <color indexed="64"/>
      </top>
      <bottom/>
      <diagonal/>
    </border>
  </borders>
  <cellStyleXfs count="25">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4" fontId="7" fillId="0" borderId="0" applyFont="0" applyFill="0" applyBorder="0" applyAlignment="0" applyProtection="0"/>
    <xf numFmtId="0" fontId="7" fillId="0" borderId="0"/>
    <xf numFmtId="43"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2" fillId="0" borderId="0"/>
    <xf numFmtId="0" fontId="1" fillId="0" borderId="0"/>
    <xf numFmtId="0" fontId="7" fillId="0" borderId="0"/>
    <xf numFmtId="0" fontId="1" fillId="0" borderId="0"/>
    <xf numFmtId="0" fontId="1" fillId="0" borderId="0"/>
    <xf numFmtId="44" fontId="1" fillId="0" borderId="0" applyFont="0" applyFill="0" applyBorder="0" applyAlignment="0" applyProtection="0"/>
    <xf numFmtId="0" fontId="1" fillId="0" borderId="0"/>
    <xf numFmtId="0" fontId="7" fillId="0" borderId="0"/>
    <xf numFmtId="41" fontId="7" fillId="0" borderId="0" applyFont="0" applyFill="0" applyBorder="0" applyAlignment="0" applyProtection="0"/>
    <xf numFmtId="43" fontId="1"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34" fillId="0" borderId="0" applyNumberFormat="0" applyFill="0" applyBorder="0" applyAlignment="0" applyProtection="0"/>
  </cellStyleXfs>
  <cellXfs count="700">
    <xf numFmtId="0" fontId="0" fillId="0" borderId="0" xfId="0"/>
    <xf numFmtId="0" fontId="2" fillId="0" borderId="0" xfId="2" applyFont="1"/>
    <xf numFmtId="0" fontId="3" fillId="0" borderId="0" xfId="2" applyFont="1"/>
    <xf numFmtId="0" fontId="2" fillId="2" borderId="0" xfId="2" applyFont="1" applyFill="1"/>
    <xf numFmtId="0" fontId="3" fillId="2" borderId="0" xfId="2" applyFont="1" applyFill="1"/>
    <xf numFmtId="0" fontId="4" fillId="0" borderId="0" xfId="2" applyFont="1"/>
    <xf numFmtId="0" fontId="4" fillId="3" borderId="0" xfId="2" applyFont="1" applyFill="1"/>
    <xf numFmtId="0" fontId="3" fillId="3" borderId="0" xfId="2" applyFont="1" applyFill="1"/>
    <xf numFmtId="0" fontId="3" fillId="4" borderId="0" xfId="2" applyFont="1" applyFill="1"/>
    <xf numFmtId="0" fontId="2" fillId="0" borderId="1" xfId="2" applyFont="1" applyBorder="1" applyAlignment="1">
      <alignment horizontal="center"/>
    </xf>
    <xf numFmtId="0" fontId="2" fillId="5" borderId="1" xfId="2" applyFont="1" applyFill="1" applyBorder="1" applyAlignment="1">
      <alignment horizontal="center"/>
    </xf>
    <xf numFmtId="0" fontId="5" fillId="5" borderId="1" xfId="2" applyFont="1" applyFill="1" applyBorder="1" applyAlignment="1">
      <alignment horizontal="center" vertical="center"/>
    </xf>
    <xf numFmtId="3" fontId="2" fillId="5" borderId="1" xfId="2" applyNumberFormat="1" applyFont="1" applyFill="1" applyBorder="1" applyAlignment="1">
      <alignment horizontal="center"/>
    </xf>
    <xf numFmtId="0" fontId="3" fillId="0" borderId="0" xfId="2" applyFont="1" applyAlignment="1">
      <alignment horizontal="center"/>
    </xf>
    <xf numFmtId="0" fontId="6" fillId="2" borderId="0" xfId="2" applyFont="1" applyFill="1"/>
    <xf numFmtId="0" fontId="6" fillId="2" borderId="1" xfId="2" applyFont="1" applyFill="1" applyBorder="1" applyAlignment="1">
      <alignment horizontal="justify" vertical="center"/>
    </xf>
    <xf numFmtId="164" fontId="6" fillId="2" borderId="1" xfId="3" applyNumberFormat="1" applyFont="1" applyFill="1" applyBorder="1" applyAlignment="1">
      <alignment horizontal="center" vertical="center"/>
    </xf>
    <xf numFmtId="164" fontId="6" fillId="2" borderId="1" xfId="3" applyNumberFormat="1" applyFont="1" applyFill="1" applyBorder="1" applyAlignment="1">
      <alignment horizontal="right" vertical="center"/>
    </xf>
    <xf numFmtId="0" fontId="6" fillId="2" borderId="0" xfId="2" applyFont="1" applyFill="1" applyAlignment="1">
      <alignment horizontal="center" vertical="center"/>
    </xf>
    <xf numFmtId="164" fontId="2" fillId="5" borderId="1" xfId="4" applyNumberFormat="1" applyFont="1" applyFill="1" applyBorder="1" applyAlignment="1">
      <alignment horizontal="center"/>
    </xf>
    <xf numFmtId="0" fontId="2" fillId="2" borderId="0" xfId="2" applyFont="1" applyFill="1" applyAlignment="1">
      <alignment horizontal="center"/>
    </xf>
    <xf numFmtId="164" fontId="2" fillId="2" borderId="0" xfId="4" applyNumberFormat="1" applyFont="1" applyFill="1" applyBorder="1" applyAlignment="1">
      <alignment horizontal="center"/>
    </xf>
    <xf numFmtId="164" fontId="8" fillId="2" borderId="0" xfId="4" applyNumberFormat="1" applyFont="1" applyFill="1" applyBorder="1" applyAlignment="1">
      <alignment horizontal="center"/>
    </xf>
    <xf numFmtId="0" fontId="3" fillId="2" borderId="0" xfId="2" applyFont="1" applyFill="1" applyAlignment="1">
      <alignment horizontal="center"/>
    </xf>
    <xf numFmtId="0" fontId="2" fillId="2" borderId="0" xfId="2" applyFont="1" applyFill="1" applyAlignment="1">
      <alignment horizontal="left" wrapText="1"/>
    </xf>
    <xf numFmtId="3" fontId="3" fillId="2" borderId="0" xfId="2" applyNumberFormat="1" applyFont="1" applyFill="1"/>
    <xf numFmtId="0" fontId="2" fillId="6" borderId="1" xfId="2" applyFont="1" applyFill="1" applyBorder="1" applyAlignment="1">
      <alignment horizontal="center"/>
    </xf>
    <xf numFmtId="165" fontId="2" fillId="6" borderId="1" xfId="6" applyNumberFormat="1" applyFont="1" applyFill="1" applyBorder="1" applyAlignment="1">
      <alignment horizontal="center"/>
    </xf>
    <xf numFmtId="164" fontId="3" fillId="0" borderId="0" xfId="2" applyNumberFormat="1" applyFont="1"/>
    <xf numFmtId="0" fontId="3" fillId="0" borderId="1" xfId="2" applyFont="1" applyBorder="1"/>
    <xf numFmtId="165" fontId="3" fillId="0" borderId="1" xfId="6" applyNumberFormat="1" applyFont="1" applyBorder="1"/>
    <xf numFmtId="165" fontId="6" fillId="0" borderId="1" xfId="6" applyNumberFormat="1" applyFont="1" applyBorder="1"/>
    <xf numFmtId="165" fontId="9" fillId="0" borderId="0" xfId="6" applyNumberFormat="1" applyFont="1" applyAlignment="1">
      <alignment horizontal="justify" wrapText="1"/>
    </xf>
    <xf numFmtId="0" fontId="6" fillId="0" borderId="1" xfId="2" applyFont="1" applyBorder="1"/>
    <xf numFmtId="3" fontId="3" fillId="0" borderId="1" xfId="2" applyNumberFormat="1" applyFont="1" applyBorder="1"/>
    <xf numFmtId="165" fontId="3" fillId="2" borderId="0" xfId="6" applyNumberFormat="1" applyFont="1" applyFill="1"/>
    <xf numFmtId="9" fontId="3" fillId="0" borderId="1" xfId="2" applyNumberFormat="1" applyFont="1" applyBorder="1"/>
    <xf numFmtId="165" fontId="3" fillId="0" borderId="0" xfId="6" applyNumberFormat="1" applyFont="1"/>
    <xf numFmtId="0" fontId="10" fillId="0" borderId="1" xfId="2" applyFont="1" applyBorder="1"/>
    <xf numFmtId="0" fontId="2" fillId="6" borderId="1" xfId="2" applyFont="1" applyFill="1" applyBorder="1" applyAlignment="1">
      <alignment horizontal="left"/>
    </xf>
    <xf numFmtId="0" fontId="3" fillId="6" borderId="3" xfId="2" applyFont="1" applyFill="1" applyBorder="1"/>
    <xf numFmtId="0" fontId="3" fillId="6" borderId="1" xfId="2" applyFont="1" applyFill="1" applyBorder="1"/>
    <xf numFmtId="3" fontId="3" fillId="6" borderId="1" xfId="2" applyNumberFormat="1" applyFont="1" applyFill="1" applyBorder="1"/>
    <xf numFmtId="164" fontId="2" fillId="6" borderId="1" xfId="4" applyNumberFormat="1" applyFont="1" applyFill="1" applyBorder="1" applyAlignment="1">
      <alignment horizontal="center"/>
    </xf>
    <xf numFmtId="0" fontId="6" fillId="0" borderId="0" xfId="5" applyFont="1" applyAlignment="1">
      <alignment horizontal="justify" vertical="top" wrapText="1"/>
    </xf>
    <xf numFmtId="0" fontId="3" fillId="0" borderId="0" xfId="5" applyFont="1" applyAlignment="1">
      <alignment wrapText="1"/>
    </xf>
    <xf numFmtId="165" fontId="2" fillId="0" borderId="0" xfId="6" applyNumberFormat="1" applyFont="1" applyBorder="1"/>
    <xf numFmtId="0" fontId="11" fillId="2" borderId="0" xfId="2" applyFont="1" applyFill="1"/>
    <xf numFmtId="0" fontId="11" fillId="0" borderId="0" xfId="2" applyFont="1"/>
    <xf numFmtId="165" fontId="8" fillId="2" borderId="0" xfId="6" applyNumberFormat="1" applyFont="1" applyFill="1"/>
    <xf numFmtId="0" fontId="3" fillId="0" borderId="1" xfId="2" applyFont="1" applyBorder="1" applyAlignment="1">
      <alignment horizontal="left"/>
    </xf>
    <xf numFmtId="9" fontId="3" fillId="2" borderId="1" xfId="7" applyFont="1" applyFill="1" applyBorder="1"/>
    <xf numFmtId="0" fontId="3" fillId="2" borderId="1" xfId="2" applyFont="1" applyFill="1" applyBorder="1" applyAlignment="1">
      <alignment wrapText="1"/>
    </xf>
    <xf numFmtId="9" fontId="3" fillId="2" borderId="1" xfId="2" applyNumberFormat="1" applyFont="1" applyFill="1" applyBorder="1"/>
    <xf numFmtId="0" fontId="3" fillId="2" borderId="1" xfId="0" applyFont="1" applyFill="1" applyBorder="1"/>
    <xf numFmtId="3" fontId="3" fillId="2" borderId="1" xfId="0" applyNumberFormat="1" applyFont="1" applyFill="1" applyBorder="1"/>
    <xf numFmtId="9" fontId="3" fillId="2" borderId="1" xfId="0" applyNumberFormat="1" applyFont="1" applyFill="1" applyBorder="1"/>
    <xf numFmtId="164" fontId="2" fillId="6" borderId="1" xfId="3" applyNumberFormat="1" applyFont="1" applyFill="1" applyBorder="1" applyAlignment="1">
      <alignment horizontal="center"/>
    </xf>
    <xf numFmtId="0" fontId="6" fillId="2" borderId="0" xfId="2" applyFont="1" applyFill="1" applyAlignment="1">
      <alignment horizontal="justify" wrapText="1"/>
    </xf>
    <xf numFmtId="0" fontId="6" fillId="0" borderId="1" xfId="2" applyFont="1" applyBorder="1" applyAlignment="1">
      <alignment wrapText="1"/>
    </xf>
    <xf numFmtId="165" fontId="6" fillId="0" borderId="1" xfId="1" applyNumberFormat="1" applyFont="1" applyBorder="1" applyAlignment="1">
      <alignment wrapText="1"/>
    </xf>
    <xf numFmtId="0" fontId="6" fillId="0" borderId="0" xfId="2" applyFont="1" applyAlignment="1">
      <alignment wrapText="1"/>
    </xf>
    <xf numFmtId="165" fontId="6" fillId="0" borderId="1" xfId="1" applyNumberFormat="1" applyFont="1" applyBorder="1"/>
    <xf numFmtId="9" fontId="6" fillId="0" borderId="1" xfId="2" applyNumberFormat="1" applyFont="1" applyBorder="1"/>
    <xf numFmtId="165" fontId="10" fillId="2" borderId="0" xfId="6" applyNumberFormat="1" applyFont="1" applyFill="1"/>
    <xf numFmtId="0" fontId="6" fillId="2" borderId="1" xfId="2" applyFont="1" applyFill="1" applyBorder="1" applyAlignment="1">
      <alignment horizontal="justify" vertical="center" wrapText="1"/>
    </xf>
    <xf numFmtId="0" fontId="3" fillId="0" borderId="1" xfId="2" applyFont="1" applyBorder="1" applyAlignment="1">
      <alignment horizontal="center"/>
    </xf>
    <xf numFmtId="165" fontId="3" fillId="0" borderId="1" xfId="6" applyNumberFormat="1" applyFont="1" applyBorder="1" applyAlignment="1">
      <alignment horizontal="center"/>
    </xf>
    <xf numFmtId="0" fontId="6" fillId="0" borderId="1" xfId="0" applyFont="1" applyBorder="1" applyAlignment="1">
      <alignment horizontal="left"/>
    </xf>
    <xf numFmtId="165" fontId="3" fillId="0" borderId="1" xfId="1" applyNumberFormat="1" applyFont="1" applyBorder="1"/>
    <xf numFmtId="0" fontId="6" fillId="2" borderId="4" xfId="9" applyFont="1" applyFill="1" applyBorder="1" applyAlignment="1">
      <alignment horizontal="justify" vertical="center" wrapText="1"/>
    </xf>
    <xf numFmtId="165" fontId="6" fillId="0" borderId="1" xfId="2" applyNumberFormat="1" applyFont="1" applyBorder="1"/>
    <xf numFmtId="0" fontId="6" fillId="2" borderId="1" xfId="10" applyFont="1" applyFill="1" applyBorder="1" applyAlignment="1">
      <alignment horizontal="left"/>
    </xf>
    <xf numFmtId="0" fontId="6" fillId="0" borderId="1" xfId="11" applyFont="1" applyBorder="1" applyAlignment="1">
      <alignment vertical="center"/>
    </xf>
    <xf numFmtId="9" fontId="3" fillId="0" borderId="1" xfId="2" applyNumberFormat="1" applyFont="1" applyBorder="1" applyAlignment="1">
      <alignment horizontal="center"/>
    </xf>
    <xf numFmtId="9" fontId="3" fillId="0" borderId="1" xfId="8" applyFont="1" applyBorder="1" applyAlignment="1">
      <alignment horizontal="center"/>
    </xf>
    <xf numFmtId="0" fontId="2" fillId="6" borderId="5" xfId="2" applyFont="1" applyFill="1" applyBorder="1" applyAlignment="1">
      <alignment horizontal="left"/>
    </xf>
    <xf numFmtId="0" fontId="3" fillId="6" borderId="2" xfId="2" applyFont="1" applyFill="1" applyBorder="1"/>
    <xf numFmtId="3" fontId="3" fillId="6" borderId="2" xfId="2" applyNumberFormat="1" applyFont="1" applyFill="1" applyBorder="1"/>
    <xf numFmtId="164" fontId="2" fillId="6" borderId="6" xfId="4" applyNumberFormat="1" applyFont="1" applyFill="1" applyBorder="1" applyAlignment="1">
      <alignment horizontal="center"/>
    </xf>
    <xf numFmtId="165" fontId="3" fillId="0" borderId="0" xfId="5" applyNumberFormat="1" applyFont="1" applyAlignment="1">
      <alignment wrapText="1"/>
    </xf>
    <xf numFmtId="0" fontId="3" fillId="0" borderId="1" xfId="2" applyFont="1" applyBorder="1" applyAlignment="1">
      <alignment horizontal="right"/>
    </xf>
    <xf numFmtId="165" fontId="6" fillId="0" borderId="1" xfId="1" applyNumberFormat="1" applyFont="1" applyBorder="1" applyAlignment="1">
      <alignment vertical="center"/>
    </xf>
    <xf numFmtId="165" fontId="6" fillId="0" borderId="1" xfId="11" applyNumberFormat="1" applyFont="1" applyBorder="1" applyAlignment="1">
      <alignment vertical="center"/>
    </xf>
    <xf numFmtId="0" fontId="6" fillId="0" borderId="1" xfId="2" applyFont="1" applyBorder="1" applyAlignment="1">
      <alignment horizontal="right"/>
    </xf>
    <xf numFmtId="165" fontId="6" fillId="0" borderId="1" xfId="6" applyNumberFormat="1" applyFont="1" applyBorder="1" applyAlignment="1">
      <alignment horizontal="right"/>
    </xf>
    <xf numFmtId="0" fontId="6" fillId="0" borderId="1" xfId="0" applyFont="1" applyBorder="1" applyAlignment="1">
      <alignment horizontal="justify" vertical="center"/>
    </xf>
    <xf numFmtId="0" fontId="6" fillId="0" borderId="1" xfId="0" applyFont="1" applyBorder="1"/>
    <xf numFmtId="0" fontId="6" fillId="0" borderId="1" xfId="11" applyFont="1" applyBorder="1"/>
    <xf numFmtId="165" fontId="6" fillId="0" borderId="1" xfId="6" applyNumberFormat="1" applyFont="1" applyBorder="1" applyAlignment="1">
      <alignment horizontal="center"/>
    </xf>
    <xf numFmtId="0" fontId="14" fillId="2" borderId="0" xfId="0" applyFont="1" applyFill="1"/>
    <xf numFmtId="0" fontId="15" fillId="2" borderId="0" xfId="0" applyFont="1" applyFill="1" applyAlignment="1">
      <alignment vertical="center"/>
    </xf>
    <xf numFmtId="0" fontId="15" fillId="2" borderId="0" xfId="0" applyFont="1" applyFill="1"/>
    <xf numFmtId="0" fontId="15" fillId="2" borderId="0" xfId="0" applyFont="1" applyFill="1" applyAlignment="1">
      <alignment wrapText="1"/>
    </xf>
    <xf numFmtId="0" fontId="2" fillId="2" borderId="0" xfId="2" applyFont="1" applyFill="1" applyAlignment="1">
      <alignment horizontal="left" wrapText="1"/>
    </xf>
    <xf numFmtId="0" fontId="3" fillId="0" borderId="0" xfId="5" applyFont="1" applyAlignment="1">
      <alignment horizontal="left" wrapText="1"/>
    </xf>
    <xf numFmtId="0" fontId="2" fillId="2" borderId="0" xfId="2" applyFont="1" applyFill="1" applyAlignment="1">
      <alignment horizontal="left" wrapText="1"/>
    </xf>
    <xf numFmtId="0" fontId="6" fillId="0" borderId="1" xfId="2" applyFont="1" applyBorder="1" applyAlignment="1">
      <alignment horizontal="center"/>
    </xf>
    <xf numFmtId="0" fontId="3" fillId="2" borderId="0" xfId="5" applyFont="1" applyFill="1" applyAlignment="1">
      <alignment horizontal="left" wrapText="1"/>
    </xf>
    <xf numFmtId="0" fontId="3" fillId="2" borderId="0" xfId="2" applyFont="1" applyFill="1" applyAlignment="1"/>
    <xf numFmtId="3" fontId="3" fillId="2" borderId="0" xfId="2" applyNumberFormat="1" applyFont="1" applyFill="1" applyAlignment="1"/>
    <xf numFmtId="0" fontId="3" fillId="2" borderId="1" xfId="2" applyFont="1" applyFill="1" applyBorder="1"/>
    <xf numFmtId="165" fontId="3" fillId="2" borderId="1" xfId="6" applyNumberFormat="1" applyFont="1" applyFill="1" applyBorder="1"/>
    <xf numFmtId="165" fontId="6" fillId="2" borderId="1" xfId="6" applyNumberFormat="1" applyFont="1" applyFill="1" applyBorder="1"/>
    <xf numFmtId="0" fontId="16" fillId="2" borderId="8" xfId="0" applyFont="1" applyFill="1" applyBorder="1" applyAlignment="1">
      <alignment horizontal="justify" vertical="center" wrapText="1"/>
    </xf>
    <xf numFmtId="0" fontId="16" fillId="2" borderId="8" xfId="0" applyFont="1" applyFill="1" applyBorder="1" applyAlignment="1">
      <alignment horizontal="justify" vertical="center"/>
    </xf>
    <xf numFmtId="0" fontId="15" fillId="2" borderId="8" xfId="12" applyFont="1" applyFill="1" applyBorder="1" applyAlignment="1">
      <alignment horizontal="justify" vertical="center" wrapText="1"/>
    </xf>
    <xf numFmtId="0" fontId="15" fillId="2" borderId="8" xfId="13" applyFont="1" applyFill="1" applyBorder="1" applyAlignment="1">
      <alignment horizontal="left" vertical="center" wrapText="1"/>
    </xf>
    <xf numFmtId="0" fontId="18" fillId="0" borderId="0" xfId="2" applyFont="1" applyAlignment="1">
      <alignment horizontal="justify" vertical="center"/>
    </xf>
    <xf numFmtId="0" fontId="3" fillId="2" borderId="1" xfId="10" applyFont="1" applyFill="1" applyBorder="1" applyAlignment="1">
      <alignment horizontal="left"/>
    </xf>
    <xf numFmtId="0" fontId="6" fillId="2" borderId="1" xfId="11" applyFont="1" applyFill="1" applyBorder="1" applyAlignment="1">
      <alignment vertical="center"/>
    </xf>
    <xf numFmtId="0" fontId="6" fillId="2" borderId="1" xfId="2" applyFont="1" applyFill="1" applyBorder="1"/>
    <xf numFmtId="0" fontId="6" fillId="2" borderId="0" xfId="2" applyFont="1" applyFill="1" applyBorder="1" applyAlignment="1">
      <alignment horizontal="justify" vertical="center" wrapText="1"/>
    </xf>
    <xf numFmtId="0" fontId="3" fillId="2" borderId="7" xfId="2" applyFont="1" applyFill="1" applyBorder="1"/>
    <xf numFmtId="165" fontId="3" fillId="0" borderId="0" xfId="1" applyNumberFormat="1" applyFont="1"/>
    <xf numFmtId="3" fontId="3" fillId="2" borderId="1" xfId="2" applyNumberFormat="1" applyFont="1" applyFill="1" applyBorder="1"/>
    <xf numFmtId="0" fontId="19" fillId="2" borderId="1" xfId="11" applyFont="1" applyFill="1" applyBorder="1" applyAlignment="1">
      <alignment vertical="center"/>
    </xf>
    <xf numFmtId="0" fontId="19" fillId="2" borderId="1" xfId="14" applyFont="1" applyFill="1" applyBorder="1" applyAlignment="1">
      <alignment vertical="center"/>
    </xf>
    <xf numFmtId="0" fontId="3" fillId="0" borderId="0" xfId="2" applyFont="1" applyAlignment="1">
      <alignment vertical="center"/>
    </xf>
    <xf numFmtId="0" fontId="3" fillId="2" borderId="0" xfId="2" applyFont="1" applyFill="1" applyAlignment="1">
      <alignment vertical="center"/>
    </xf>
    <xf numFmtId="0" fontId="4" fillId="3" borderId="0" xfId="2" applyFont="1" applyFill="1" applyAlignment="1">
      <alignment vertical="center"/>
    </xf>
    <xf numFmtId="0" fontId="3" fillId="8" borderId="0" xfId="2" applyFont="1" applyFill="1" applyAlignment="1">
      <alignment vertical="center"/>
    </xf>
    <xf numFmtId="0" fontId="3" fillId="4" borderId="0" xfId="2" applyFont="1" applyFill="1" applyAlignment="1">
      <alignment vertical="center"/>
    </xf>
    <xf numFmtId="0" fontId="2" fillId="0" borderId="1" xfId="2" applyFont="1" applyBorder="1" applyAlignment="1">
      <alignment horizontal="center" vertical="center"/>
    </xf>
    <xf numFmtId="3" fontId="2" fillId="5" borderId="1" xfId="2" applyNumberFormat="1" applyFont="1" applyFill="1" applyBorder="1" applyAlignment="1">
      <alignment horizontal="center" vertical="center"/>
    </xf>
    <xf numFmtId="0" fontId="2" fillId="5" borderId="1" xfId="2" applyFont="1" applyFill="1" applyBorder="1" applyAlignment="1">
      <alignment horizontal="center" vertical="center"/>
    </xf>
    <xf numFmtId="164" fontId="2" fillId="5" borderId="1" xfId="4" applyNumberFormat="1" applyFont="1" applyFill="1" applyBorder="1" applyAlignment="1">
      <alignment horizontal="center" vertical="center"/>
    </xf>
    <xf numFmtId="0" fontId="3" fillId="0" borderId="0" xfId="2" applyFont="1" applyAlignment="1">
      <alignment horizontal="center" vertical="center"/>
    </xf>
    <xf numFmtId="0" fontId="2" fillId="2" borderId="0" xfId="2" applyFont="1" applyFill="1" applyAlignment="1">
      <alignment horizontal="center" vertical="center"/>
    </xf>
    <xf numFmtId="164" fontId="2" fillId="2" borderId="0" xfId="4" applyNumberFormat="1" applyFont="1" applyFill="1" applyBorder="1" applyAlignment="1">
      <alignment horizontal="center" vertical="center"/>
    </xf>
    <xf numFmtId="164" fontId="8" fillId="2" borderId="0" xfId="4" applyNumberFormat="1" applyFont="1" applyFill="1" applyBorder="1" applyAlignment="1">
      <alignment horizontal="center" vertical="center"/>
    </xf>
    <xf numFmtId="0" fontId="2" fillId="6" borderId="1" xfId="2" applyFont="1" applyFill="1" applyBorder="1" applyAlignment="1">
      <alignment horizontal="center" vertical="center"/>
    </xf>
    <xf numFmtId="165" fontId="2" fillId="6" borderId="1" xfId="6" applyNumberFormat="1" applyFont="1" applyFill="1" applyBorder="1" applyAlignment="1">
      <alignment horizontal="center" vertical="center"/>
    </xf>
    <xf numFmtId="0" fontId="19" fillId="0" borderId="1" xfId="14" applyFont="1" applyBorder="1" applyAlignment="1">
      <alignment vertical="center"/>
    </xf>
    <xf numFmtId="0" fontId="3" fillId="0" borderId="1" xfId="2" applyFont="1" applyBorder="1" applyAlignment="1">
      <alignment vertical="center"/>
    </xf>
    <xf numFmtId="165" fontId="3" fillId="0" borderId="1" xfId="6" applyNumberFormat="1" applyFont="1" applyBorder="1" applyAlignment="1">
      <alignment vertical="center"/>
    </xf>
    <xf numFmtId="165" fontId="6" fillId="0" borderId="1" xfId="6" applyNumberFormat="1" applyFont="1" applyBorder="1" applyAlignment="1">
      <alignment vertical="center"/>
    </xf>
    <xf numFmtId="9" fontId="3" fillId="0" borderId="1" xfId="2" applyNumberFormat="1" applyFont="1" applyBorder="1" applyAlignment="1">
      <alignment vertical="center"/>
    </xf>
    <xf numFmtId="0" fontId="2" fillId="6" borderId="1" xfId="2" applyFont="1" applyFill="1" applyBorder="1" applyAlignment="1">
      <alignment horizontal="left" vertical="center"/>
    </xf>
    <xf numFmtId="0" fontId="3" fillId="6" borderId="1" xfId="2" applyFont="1" applyFill="1" applyBorder="1" applyAlignment="1">
      <alignment vertical="center"/>
    </xf>
    <xf numFmtId="3" fontId="3" fillId="6" borderId="1" xfId="2" applyNumberFormat="1" applyFont="1" applyFill="1" applyBorder="1" applyAlignment="1">
      <alignment vertical="center"/>
    </xf>
    <xf numFmtId="164" fontId="2" fillId="6" borderId="1" xfId="4" applyNumberFormat="1" applyFont="1" applyFill="1" applyBorder="1" applyAlignment="1">
      <alignment horizontal="center" vertical="center"/>
    </xf>
    <xf numFmtId="0" fontId="6" fillId="0" borderId="0" xfId="5" applyFont="1" applyAlignment="1">
      <alignment horizontal="justify" vertical="center" wrapText="1"/>
    </xf>
    <xf numFmtId="0" fontId="3" fillId="0" borderId="0" xfId="5" applyFont="1" applyAlignment="1">
      <alignment vertical="center" wrapText="1"/>
    </xf>
    <xf numFmtId="0" fontId="6" fillId="0" borderId="1" xfId="2" applyFont="1" applyBorder="1" applyAlignment="1">
      <alignment vertical="center"/>
    </xf>
    <xf numFmtId="9" fontId="3" fillId="2" borderId="1" xfId="7" applyFont="1" applyFill="1" applyBorder="1" applyAlignment="1">
      <alignment vertical="center"/>
    </xf>
    <xf numFmtId="9" fontId="3" fillId="2" borderId="1" xfId="2" applyNumberFormat="1" applyFont="1" applyFill="1" applyBorder="1" applyAlignment="1">
      <alignment vertical="center"/>
    </xf>
    <xf numFmtId="3" fontId="6" fillId="0" borderId="1" xfId="2" applyNumberFormat="1" applyFont="1" applyBorder="1" applyAlignment="1">
      <alignment vertical="center"/>
    </xf>
    <xf numFmtId="165" fontId="6" fillId="0" borderId="1" xfId="2" applyNumberFormat="1" applyFont="1" applyBorder="1" applyAlignment="1">
      <alignment vertical="center"/>
    </xf>
    <xf numFmtId="166" fontId="3" fillId="0" borderId="1" xfId="2" applyNumberFormat="1" applyFont="1" applyBorder="1" applyAlignment="1">
      <alignment vertical="center"/>
    </xf>
    <xf numFmtId="164" fontId="2" fillId="6" borderId="1" xfId="3" applyNumberFormat="1" applyFont="1" applyFill="1" applyBorder="1" applyAlignment="1">
      <alignment horizontal="center" vertical="center"/>
    </xf>
    <xf numFmtId="3" fontId="3" fillId="2" borderId="0" xfId="2" applyNumberFormat="1" applyFont="1" applyFill="1" applyAlignment="1">
      <alignment vertical="center"/>
    </xf>
    <xf numFmtId="9" fontId="3" fillId="0" borderId="1" xfId="8" applyFont="1" applyBorder="1"/>
    <xf numFmtId="0" fontId="3" fillId="0" borderId="0" xfId="0" applyFont="1"/>
    <xf numFmtId="0" fontId="3" fillId="0" borderId="1" xfId="16" applyFont="1" applyBorder="1"/>
    <xf numFmtId="44" fontId="3" fillId="0" borderId="1" xfId="15" applyFont="1" applyBorder="1"/>
    <xf numFmtId="0" fontId="6" fillId="0" borderId="1" xfId="16" applyFont="1" applyBorder="1"/>
    <xf numFmtId="164" fontId="2" fillId="0" borderId="0" xfId="3" applyNumberFormat="1" applyFont="1" applyFill="1" applyBorder="1" applyAlignment="1">
      <alignment horizontal="center"/>
    </xf>
    <xf numFmtId="0" fontId="3" fillId="0" borderId="1" xfId="2" applyFont="1" applyBorder="1" applyAlignment="1">
      <alignment wrapText="1"/>
    </xf>
    <xf numFmtId="0" fontId="10" fillId="2" borderId="0" xfId="2" applyFont="1" applyFill="1"/>
    <xf numFmtId="0" fontId="10" fillId="0" borderId="0" xfId="2" applyFont="1"/>
    <xf numFmtId="165" fontId="10" fillId="0" borderId="0" xfId="6" applyNumberFormat="1" applyFont="1"/>
    <xf numFmtId="165" fontId="10" fillId="2" borderId="0" xfId="1" applyNumberFormat="1" applyFont="1" applyFill="1"/>
    <xf numFmtId="165" fontId="21" fillId="0" borderId="0" xfId="6" applyNumberFormat="1" applyFont="1" applyAlignment="1">
      <alignment horizontal="justify" wrapText="1"/>
    </xf>
    <xf numFmtId="164" fontId="6" fillId="0" borderId="1" xfId="15" applyNumberFormat="1" applyFont="1" applyBorder="1"/>
    <xf numFmtId="165" fontId="2" fillId="6" borderId="1" xfId="1" applyNumberFormat="1" applyFont="1" applyFill="1" applyBorder="1" applyAlignment="1">
      <alignment horizontal="center"/>
    </xf>
    <xf numFmtId="0" fontId="3" fillId="0" borderId="1" xfId="10" applyFont="1" applyBorder="1" applyAlignment="1">
      <alignment vertical="center"/>
    </xf>
    <xf numFmtId="165" fontId="3" fillId="0" borderId="1" xfId="6" applyNumberFormat="1" applyFont="1" applyFill="1" applyBorder="1" applyAlignment="1">
      <alignment vertical="center"/>
    </xf>
    <xf numFmtId="0" fontId="3" fillId="0" borderId="0" xfId="10" applyFont="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0" fontId="6" fillId="0" borderId="1" xfId="10" applyFont="1" applyBorder="1" applyAlignment="1">
      <alignment vertical="center"/>
    </xf>
    <xf numFmtId="0" fontId="3" fillId="6" borderId="7" xfId="2" applyFont="1" applyFill="1" applyBorder="1"/>
    <xf numFmtId="3" fontId="3" fillId="6" borderId="7" xfId="2" applyNumberFormat="1" applyFont="1" applyFill="1" applyBorder="1"/>
    <xf numFmtId="0" fontId="10" fillId="0" borderId="0" xfId="0" applyFont="1" applyBorder="1" applyAlignment="1">
      <alignment wrapText="1"/>
    </xf>
    <xf numFmtId="0" fontId="20" fillId="2" borderId="4" xfId="11" applyFont="1" applyFill="1" applyBorder="1" applyAlignment="1">
      <alignment horizontal="justify" vertical="center" wrapText="1"/>
    </xf>
    <xf numFmtId="0" fontId="20" fillId="2" borderId="0" xfId="11" applyFont="1" applyFill="1" applyAlignment="1">
      <alignment horizontal="justify" vertical="center" wrapText="1"/>
    </xf>
    <xf numFmtId="0" fontId="12" fillId="2" borderId="0" xfId="9" applyFont="1" applyFill="1" applyBorder="1" applyAlignment="1">
      <alignment horizontal="justify" vertical="center" wrapText="1"/>
    </xf>
    <xf numFmtId="0" fontId="2" fillId="2" borderId="0" xfId="2" applyFont="1" applyFill="1" applyAlignment="1">
      <alignment horizontal="left" wrapText="1"/>
    </xf>
    <xf numFmtId="0" fontId="2" fillId="6" borderId="0" xfId="2" applyFont="1" applyFill="1" applyBorder="1" applyAlignment="1">
      <alignment horizontal="left"/>
    </xf>
    <xf numFmtId="0" fontId="3" fillId="6" borderId="0" xfId="2" applyFont="1" applyFill="1" applyBorder="1"/>
    <xf numFmtId="3" fontId="3" fillId="6" borderId="0" xfId="2" applyNumberFormat="1" applyFont="1" applyFill="1" applyBorder="1"/>
    <xf numFmtId="0" fontId="22" fillId="0" borderId="0" xfId="5" applyFont="1" applyAlignment="1">
      <alignment horizontal="justify" vertical="top" wrapText="1"/>
    </xf>
    <xf numFmtId="165" fontId="6" fillId="2" borderId="0" xfId="6" applyNumberFormat="1" applyFont="1" applyFill="1"/>
    <xf numFmtId="0" fontId="6" fillId="0" borderId="0" xfId="2" applyFont="1"/>
    <xf numFmtId="0" fontId="21" fillId="0" borderId="0" xfId="5" applyFont="1" applyAlignment="1">
      <alignment horizontal="justify" vertical="top" wrapText="1"/>
    </xf>
    <xf numFmtId="165" fontId="12" fillId="0" borderId="0" xfId="6" applyNumberFormat="1" applyFont="1" applyAlignment="1">
      <alignment horizontal="justify" wrapText="1"/>
    </xf>
    <xf numFmtId="165" fontId="10" fillId="2" borderId="0" xfId="6" applyNumberFormat="1" applyFont="1" applyFill="1" applyBorder="1"/>
    <xf numFmtId="0" fontId="6" fillId="2" borderId="1" xfId="0" applyFont="1" applyFill="1" applyBorder="1"/>
    <xf numFmtId="0" fontId="6" fillId="2" borderId="1" xfId="2" applyFont="1" applyFill="1" applyBorder="1" applyAlignment="1">
      <alignment horizontal="center"/>
    </xf>
    <xf numFmtId="9" fontId="6" fillId="0" borderId="1" xfId="8" applyFont="1" applyBorder="1"/>
    <xf numFmtId="164" fontId="2" fillId="6" borderId="0" xfId="3" applyNumberFormat="1" applyFont="1" applyFill="1" applyBorder="1" applyAlignment="1">
      <alignment horizontal="center"/>
    </xf>
    <xf numFmtId="0" fontId="6" fillId="2" borderId="1" xfId="2" applyFont="1" applyFill="1" applyBorder="1" applyAlignment="1">
      <alignment horizontal="justify" wrapText="1"/>
    </xf>
    <xf numFmtId="0" fontId="6" fillId="0" borderId="1" xfId="14" applyFont="1" applyBorder="1" applyAlignment="1">
      <alignment vertical="center"/>
    </xf>
    <xf numFmtId="0" fontId="6" fillId="2" borderId="1" xfId="14" applyFont="1" applyFill="1" applyBorder="1" applyAlignment="1">
      <alignment vertical="center"/>
    </xf>
    <xf numFmtId="9" fontId="6" fillId="0" borderId="1" xfId="2" applyNumberFormat="1" applyFont="1" applyBorder="1" applyAlignment="1">
      <alignment vertical="center"/>
    </xf>
    <xf numFmtId="165" fontId="6" fillId="0" borderId="1" xfId="1" applyNumberFormat="1" applyFont="1" applyBorder="1" applyAlignment="1"/>
    <xf numFmtId="0" fontId="2" fillId="6" borderId="1" xfId="2" applyFont="1" applyFill="1" applyBorder="1" applyAlignment="1">
      <alignment horizontal="left" vertical="center" indent="11"/>
    </xf>
    <xf numFmtId="0" fontId="3" fillId="0" borderId="1" xfId="2" applyFont="1" applyBorder="1" applyAlignment="1">
      <alignment horizontal="left" vertical="center" indent="11"/>
    </xf>
    <xf numFmtId="0" fontId="3" fillId="0" borderId="1" xfId="2" applyFont="1" applyBorder="1" applyAlignment="1">
      <alignment horizontal="right" vertical="center" wrapText="1" indent="1"/>
    </xf>
    <xf numFmtId="0" fontId="6" fillId="0" borderId="1" xfId="2" applyFont="1" applyBorder="1" applyAlignment="1">
      <alignment horizontal="right" vertical="center" wrapText="1" indent="1"/>
    </xf>
    <xf numFmtId="165" fontId="6" fillId="0" borderId="1" xfId="1" applyNumberFormat="1" applyFont="1" applyBorder="1" applyAlignment="1">
      <alignment horizontal="right" wrapText="1" indent="1"/>
    </xf>
    <xf numFmtId="0" fontId="6" fillId="0" borderId="1" xfId="2" applyFont="1" applyBorder="1" applyAlignment="1">
      <alignment horizontal="right" wrapText="1" indent="1"/>
    </xf>
    <xf numFmtId="165" fontId="3" fillId="0" borderId="1" xfId="1" applyNumberFormat="1" applyFont="1" applyBorder="1" applyAlignment="1">
      <alignment horizontal="right" vertical="center" wrapText="1" indent="1"/>
    </xf>
    <xf numFmtId="165" fontId="6" fillId="0" borderId="1" xfId="6" applyNumberFormat="1" applyFont="1" applyBorder="1" applyAlignment="1"/>
    <xf numFmtId="0" fontId="23" fillId="6" borderId="1" xfId="2" applyFont="1" applyFill="1" applyBorder="1" applyAlignment="1">
      <alignment horizontal="center"/>
    </xf>
    <xf numFmtId="0" fontId="23" fillId="6" borderId="1" xfId="2" applyFont="1" applyFill="1" applyBorder="1" applyAlignment="1">
      <alignment horizontal="center" vertical="center"/>
    </xf>
    <xf numFmtId="9" fontId="6" fillId="2" borderId="1" xfId="7" applyFont="1" applyFill="1" applyBorder="1" applyAlignment="1">
      <alignment vertical="center"/>
    </xf>
    <xf numFmtId="0" fontId="6" fillId="2" borderId="1" xfId="14" applyFont="1" applyFill="1" applyBorder="1" applyAlignment="1">
      <alignment vertical="center" wrapText="1"/>
    </xf>
    <xf numFmtId="9" fontId="6" fillId="2" borderId="1" xfId="2" applyNumberFormat="1" applyFont="1" applyFill="1" applyBorder="1" applyAlignment="1">
      <alignment vertical="center"/>
    </xf>
    <xf numFmtId="165" fontId="6" fillId="0" borderId="0" xfId="6" applyNumberFormat="1" applyFont="1"/>
    <xf numFmtId="3" fontId="6" fillId="0" borderId="1" xfId="2" applyNumberFormat="1" applyFont="1" applyBorder="1"/>
    <xf numFmtId="166" fontId="3" fillId="0" borderId="1" xfId="8" applyNumberFormat="1" applyFont="1" applyBorder="1"/>
    <xf numFmtId="0" fontId="2" fillId="2" borderId="0" xfId="2" applyFont="1" applyFill="1" applyAlignment="1">
      <alignment horizontal="left" wrapText="1"/>
    </xf>
    <xf numFmtId="0" fontId="15" fillId="2" borderId="8" xfId="13" applyFont="1" applyFill="1" applyBorder="1" applyAlignment="1">
      <alignment horizontal="justify" vertical="center" wrapText="1"/>
    </xf>
    <xf numFmtId="0" fontId="12" fillId="0" borderId="0" xfId="5" applyFont="1" applyAlignment="1">
      <alignment horizontal="justify" vertical="top" wrapText="1"/>
    </xf>
    <xf numFmtId="0" fontId="20" fillId="0" borderId="0" xfId="5" applyFont="1" applyAlignment="1">
      <alignment horizontal="justify" vertical="top" wrapText="1"/>
    </xf>
    <xf numFmtId="0" fontId="9" fillId="2" borderId="0" xfId="2" applyFont="1" applyFill="1"/>
    <xf numFmtId="0" fontId="9" fillId="0" borderId="0" xfId="5" applyFont="1" applyAlignment="1">
      <alignment wrapText="1"/>
    </xf>
    <xf numFmtId="0" fontId="9" fillId="0" borderId="0" xfId="2" applyFont="1"/>
    <xf numFmtId="3" fontId="3" fillId="6" borderId="9" xfId="2" applyNumberFormat="1" applyFont="1" applyFill="1" applyBorder="1"/>
    <xf numFmtId="0" fontId="6" fillId="2" borderId="0" xfId="2" applyFont="1" applyFill="1" applyAlignment="1">
      <alignment horizontal="justify" vertical="center"/>
    </xf>
    <xf numFmtId="164" fontId="6" fillId="2" borderId="1" xfId="3" applyNumberFormat="1" applyFont="1" applyFill="1" applyBorder="1" applyAlignment="1">
      <alignment horizontal="justify" vertical="center"/>
    </xf>
    <xf numFmtId="0" fontId="15" fillId="2" borderId="8" xfId="0" applyFont="1" applyFill="1" applyBorder="1" applyAlignment="1">
      <alignment horizontal="left" vertical="center" wrapText="1"/>
    </xf>
    <xf numFmtId="0" fontId="15" fillId="2" borderId="8" xfId="0" applyFont="1" applyFill="1" applyBorder="1" applyAlignment="1">
      <alignment vertical="center" wrapText="1"/>
    </xf>
    <xf numFmtId="165" fontId="2" fillId="6" borderId="7" xfId="1" applyNumberFormat="1" applyFont="1" applyFill="1" applyBorder="1" applyAlignment="1">
      <alignment horizontal="center"/>
    </xf>
    <xf numFmtId="165" fontId="2" fillId="6" borderId="1" xfId="1" applyNumberFormat="1" applyFont="1" applyFill="1" applyBorder="1" applyAlignment="1">
      <alignment horizontal="left"/>
    </xf>
    <xf numFmtId="10" fontId="6" fillId="0" borderId="1" xfId="2" applyNumberFormat="1" applyFont="1" applyBorder="1"/>
    <xf numFmtId="165" fontId="3" fillId="0" borderId="0" xfId="1" applyNumberFormat="1" applyFont="1" applyAlignment="1">
      <alignment wrapText="1"/>
    </xf>
    <xf numFmtId="0" fontId="12" fillId="2" borderId="0" xfId="2" applyFont="1" applyFill="1" applyAlignment="1">
      <alignment horizontal="justify" wrapText="1"/>
    </xf>
    <xf numFmtId="0" fontId="11" fillId="0" borderId="0" xfId="5" applyFont="1" applyAlignment="1">
      <alignment wrapText="1"/>
    </xf>
    <xf numFmtId="165" fontId="11" fillId="0" borderId="0" xfId="6" applyNumberFormat="1" applyFont="1"/>
    <xf numFmtId="0" fontId="3" fillId="2" borderId="0" xfId="13" applyFont="1" applyFill="1"/>
    <xf numFmtId="0" fontId="3" fillId="2" borderId="0" xfId="13" applyFont="1" applyFill="1" applyAlignment="1">
      <alignment wrapText="1"/>
    </xf>
    <xf numFmtId="0" fontId="2" fillId="2" borderId="0" xfId="13" applyFont="1" applyFill="1"/>
    <xf numFmtId="0" fontId="3" fillId="2" borderId="0" xfId="13" applyFont="1" applyFill="1" applyAlignment="1">
      <alignment horizontal="left" wrapText="1"/>
    </xf>
    <xf numFmtId="0" fontId="3" fillId="2" borderId="0" xfId="13" applyFont="1" applyFill="1" applyAlignment="1">
      <alignment horizontal="left"/>
    </xf>
    <xf numFmtId="0" fontId="3" fillId="0" borderId="0" xfId="13" applyFont="1" applyAlignment="1">
      <alignment horizontal="left" vertical="center" wrapText="1"/>
    </xf>
    <xf numFmtId="0" fontId="3" fillId="2" borderId="0" xfId="13" applyFont="1" applyFill="1" applyAlignment="1">
      <alignment horizontal="left" vertical="center" wrapText="1"/>
    </xf>
    <xf numFmtId="0" fontId="3" fillId="2" borderId="0" xfId="13" applyFont="1" applyFill="1" applyAlignment="1">
      <alignment horizontal="left" vertical="center"/>
    </xf>
    <xf numFmtId="0" fontId="3" fillId="0" borderId="0" xfId="13" applyFont="1" applyAlignment="1">
      <alignment horizontal="justify" vertical="center" wrapText="1"/>
    </xf>
    <xf numFmtId="0" fontId="2" fillId="0" borderId="1" xfId="13" applyFont="1" applyBorder="1" applyAlignment="1">
      <alignment horizontal="center" vertical="center"/>
    </xf>
    <xf numFmtId="0" fontId="2" fillId="0" borderId="7" xfId="13" applyFont="1" applyBorder="1" applyAlignment="1">
      <alignment horizontal="center" vertical="center" wrapText="1"/>
    </xf>
    <xf numFmtId="0" fontId="6" fillId="0" borderId="1" xfId="13" applyFont="1" applyBorder="1" applyAlignment="1">
      <alignment horizontal="justify" vertical="center" wrapText="1"/>
    </xf>
    <xf numFmtId="0" fontId="2" fillId="0" borderId="1" xfId="13" applyFont="1" applyBorder="1" applyAlignment="1">
      <alignment horizontal="center" vertical="center" wrapText="1"/>
    </xf>
    <xf numFmtId="0" fontId="3" fillId="0" borderId="1" xfId="13" applyFont="1" applyBorder="1" applyAlignment="1">
      <alignment horizontal="justify" vertical="center" wrapText="1"/>
    </xf>
    <xf numFmtId="0" fontId="3" fillId="2" borderId="0" xfId="13" applyFont="1" applyFill="1" applyAlignment="1">
      <alignment vertical="center"/>
    </xf>
    <xf numFmtId="0" fontId="2" fillId="0" borderId="1" xfId="13" applyFont="1" applyBorder="1" applyAlignment="1">
      <alignment horizontal="center"/>
    </xf>
    <xf numFmtId="0" fontId="2" fillId="0" borderId="1" xfId="13" applyFont="1" applyBorder="1" applyAlignment="1">
      <alignment horizontal="left" vertical="center" wrapText="1"/>
    </xf>
    <xf numFmtId="0" fontId="3" fillId="0" borderId="1" xfId="13" applyFont="1" applyBorder="1" applyAlignment="1">
      <alignment vertical="center" wrapText="1"/>
    </xf>
    <xf numFmtId="0" fontId="2" fillId="0" borderId="7" xfId="13" applyFont="1" applyBorder="1" applyAlignment="1">
      <alignment horizontal="center" vertical="center"/>
    </xf>
    <xf numFmtId="0" fontId="3" fillId="0" borderId="1" xfId="13" applyFont="1" applyBorder="1" applyAlignment="1">
      <alignment horizontal="left" vertical="center" wrapText="1"/>
    </xf>
    <xf numFmtId="0" fontId="2" fillId="2" borderId="1" xfId="13" applyFont="1" applyFill="1" applyBorder="1" applyAlignment="1">
      <alignment horizontal="center" vertical="center" wrapText="1"/>
    </xf>
    <xf numFmtId="0" fontId="3" fillId="2" borderId="1" xfId="13" applyFont="1" applyFill="1" applyBorder="1" applyAlignment="1">
      <alignment vertical="center" wrapText="1"/>
    </xf>
    <xf numFmtId="0" fontId="2" fillId="2" borderId="1" xfId="13" applyFont="1" applyFill="1" applyBorder="1" applyAlignment="1">
      <alignment horizontal="center" vertical="center"/>
    </xf>
    <xf numFmtId="0" fontId="3" fillId="2" borderId="1" xfId="13" applyFont="1" applyFill="1" applyBorder="1" applyAlignment="1">
      <alignment horizontal="justify" vertical="center" wrapText="1"/>
    </xf>
    <xf numFmtId="0" fontId="3" fillId="0" borderId="0" xfId="5" applyFont="1"/>
    <xf numFmtId="0" fontId="3" fillId="0" borderId="0" xfId="13" applyFont="1"/>
    <xf numFmtId="0" fontId="3" fillId="0" borderId="0" xfId="5" applyFont="1" applyAlignment="1">
      <alignment horizontal="center"/>
    </xf>
    <xf numFmtId="0" fontId="3" fillId="0" borderId="0" xfId="13" applyFont="1" applyAlignment="1">
      <alignment horizontal="center" vertical="center" wrapText="1"/>
    </xf>
    <xf numFmtId="0" fontId="3" fillId="2" borderId="0" xfId="5" applyFont="1" applyFill="1"/>
    <xf numFmtId="0" fontId="3" fillId="2" borderId="0" xfId="5" applyFont="1" applyFill="1" applyAlignment="1">
      <alignment horizontal="center"/>
    </xf>
    <xf numFmtId="0" fontId="2" fillId="0" borderId="0" xfId="5" applyFont="1" applyAlignment="1">
      <alignment horizontal="center" vertical="center" wrapText="1"/>
    </xf>
    <xf numFmtId="10" fontId="28" fillId="0" borderId="0" xfId="13" applyNumberFormat="1" applyFont="1" applyAlignment="1">
      <alignment horizontal="center"/>
    </xf>
    <xf numFmtId="0" fontId="3" fillId="0" borderId="22" xfId="5" applyFont="1" applyBorder="1"/>
    <xf numFmtId="0" fontId="3" fillId="0" borderId="0" xfId="13" applyFont="1" applyAlignment="1">
      <alignment wrapText="1"/>
    </xf>
    <xf numFmtId="0" fontId="3" fillId="0" borderId="0" xfId="13" applyFont="1" applyAlignment="1">
      <alignment horizontal="justify" vertical="center"/>
    </xf>
    <xf numFmtId="0" fontId="30" fillId="0" borderId="0" xfId="0" applyFont="1" applyAlignment="1">
      <alignment horizontal="center" wrapText="1"/>
    </xf>
    <xf numFmtId="10" fontId="30" fillId="0" borderId="0" xfId="0" applyNumberFormat="1" applyFont="1" applyAlignment="1">
      <alignment horizontal="center" wrapText="1"/>
    </xf>
    <xf numFmtId="0" fontId="31" fillId="6" borderId="1" xfId="1" applyNumberFormat="1" applyFont="1" applyFill="1" applyBorder="1" applyAlignment="1">
      <alignment vertical="center" wrapText="1"/>
    </xf>
    <xf numFmtId="165" fontId="31" fillId="6" borderId="1" xfId="1" applyNumberFormat="1" applyFont="1" applyFill="1" applyBorder="1" applyAlignment="1">
      <alignment vertical="center" wrapText="1"/>
    </xf>
    <xf numFmtId="0" fontId="3" fillId="0" borderId="0" xfId="1" applyNumberFormat="1" applyFont="1"/>
    <xf numFmtId="0" fontId="32" fillId="2" borderId="1" xfId="1" applyNumberFormat="1" applyFont="1" applyFill="1" applyBorder="1" applyAlignment="1">
      <alignment vertical="center" wrapText="1"/>
    </xf>
    <xf numFmtId="0" fontId="32" fillId="2" borderId="1" xfId="1" applyNumberFormat="1" applyFont="1" applyFill="1" applyBorder="1" applyAlignment="1">
      <alignment vertical="justify" wrapText="1"/>
    </xf>
    <xf numFmtId="0" fontId="32" fillId="2" borderId="7" xfId="1" applyNumberFormat="1" applyFont="1" applyFill="1" applyBorder="1" applyAlignment="1">
      <alignment vertical="center" wrapText="1"/>
    </xf>
    <xf numFmtId="0" fontId="33" fillId="12" borderId="1" xfId="1" applyNumberFormat="1" applyFont="1" applyFill="1" applyBorder="1" applyAlignment="1">
      <alignment vertical="center" wrapText="1"/>
    </xf>
    <xf numFmtId="165" fontId="33" fillId="12" borderId="1" xfId="1" applyNumberFormat="1" applyFont="1" applyFill="1" applyBorder="1" applyAlignment="1">
      <alignment vertical="center" wrapText="1"/>
    </xf>
    <xf numFmtId="0" fontId="15" fillId="2" borderId="0" xfId="1" applyNumberFormat="1" applyFont="1" applyFill="1" applyBorder="1"/>
    <xf numFmtId="165" fontId="3" fillId="0" borderId="0" xfId="1" applyNumberFormat="1" applyFont="1" applyBorder="1"/>
    <xf numFmtId="10" fontId="3" fillId="0" borderId="0" xfId="1" applyNumberFormat="1" applyFont="1" applyBorder="1"/>
    <xf numFmtId="10" fontId="3" fillId="0" borderId="0" xfId="1" applyNumberFormat="1" applyFont="1"/>
    <xf numFmtId="165" fontId="3" fillId="0" borderId="0" xfId="1" applyNumberFormat="1" applyFont="1" applyBorder="1" applyAlignment="1">
      <alignment wrapText="1"/>
    </xf>
    <xf numFmtId="10" fontId="3" fillId="0" borderId="1" xfId="2" applyNumberFormat="1" applyFont="1" applyBorder="1"/>
    <xf numFmtId="0" fontId="10" fillId="2" borderId="0" xfId="2" applyFont="1" applyFill="1" applyBorder="1" applyAlignment="1">
      <alignment horizontal="justify" vertical="center" wrapText="1"/>
    </xf>
    <xf numFmtId="0" fontId="12" fillId="0" borderId="0" xfId="5" applyFont="1" applyAlignment="1">
      <alignment horizontal="justify" vertical="center" wrapText="1"/>
    </xf>
    <xf numFmtId="0" fontId="9" fillId="0" borderId="0" xfId="2" applyFont="1" applyBorder="1" applyAlignment="1">
      <alignment horizontal="justify" vertical="center" wrapText="1"/>
    </xf>
    <xf numFmtId="0" fontId="18" fillId="0" borderId="0" xfId="2" applyFont="1" applyBorder="1" applyAlignment="1">
      <alignment horizontal="justify" vertical="center" wrapText="1"/>
    </xf>
    <xf numFmtId="165" fontId="3" fillId="0" borderId="0" xfId="2" applyNumberFormat="1" applyFont="1"/>
    <xf numFmtId="165" fontId="2" fillId="11" borderId="1" xfId="1" applyNumberFormat="1" applyFont="1" applyFill="1" applyBorder="1" applyAlignment="1">
      <alignment horizontal="center" vertical="center" wrapText="1"/>
    </xf>
    <xf numFmtId="164" fontId="2" fillId="6" borderId="3" xfId="3" applyNumberFormat="1" applyFont="1" applyFill="1" applyBorder="1" applyAlignment="1">
      <alignment horizontal="center"/>
    </xf>
    <xf numFmtId="0" fontId="6" fillId="2" borderId="0" xfId="9" applyFont="1" applyFill="1" applyBorder="1" applyAlignment="1">
      <alignment horizontal="justify" vertical="center" wrapText="1"/>
    </xf>
    <xf numFmtId="0" fontId="29" fillId="0" borderId="0" xfId="1" applyNumberFormat="1" applyFont="1" applyAlignment="1">
      <alignment horizontal="center" wrapText="1"/>
    </xf>
    <xf numFmtId="0" fontId="0" fillId="0" borderId="0" xfId="0" applyAlignment="1">
      <alignment horizontal="center" wrapText="1"/>
    </xf>
    <xf numFmtId="165" fontId="32" fillId="2" borderId="1" xfId="1" applyNumberFormat="1" applyFont="1" applyFill="1" applyBorder="1" applyAlignment="1">
      <alignment vertical="center" wrapText="1"/>
    </xf>
    <xf numFmtId="165" fontId="32" fillId="2" borderId="1" xfId="1" applyNumberFormat="1" applyFont="1" applyFill="1" applyBorder="1" applyAlignment="1">
      <alignment vertical="justify" wrapText="1"/>
    </xf>
    <xf numFmtId="165" fontId="32" fillId="2" borderId="7" xfId="1" applyNumberFormat="1" applyFont="1" applyFill="1" applyBorder="1" applyAlignment="1">
      <alignment vertical="center" wrapText="1"/>
    </xf>
    <xf numFmtId="165" fontId="36" fillId="11" borderId="1" xfId="6" applyNumberFormat="1" applyFont="1" applyFill="1" applyBorder="1" applyAlignment="1">
      <alignment horizontal="center" vertical="center" wrapText="1"/>
    </xf>
    <xf numFmtId="165" fontId="30" fillId="0" borderId="0" xfId="1" applyNumberFormat="1" applyFont="1" applyAlignment="1">
      <alignment horizontal="center" wrapText="1"/>
    </xf>
    <xf numFmtId="165" fontId="3" fillId="0" borderId="0" xfId="1" applyNumberFormat="1" applyFont="1" applyAlignment="1">
      <alignment horizontal="left"/>
    </xf>
    <xf numFmtId="165" fontId="2" fillId="2" borderId="1" xfId="6" applyNumberFormat="1" applyFont="1" applyFill="1" applyBorder="1" applyAlignment="1">
      <alignment horizontal="center" vertical="center" wrapText="1"/>
    </xf>
    <xf numFmtId="165" fontId="2" fillId="13" borderId="1" xfId="6" applyNumberFormat="1" applyFont="1" applyFill="1" applyBorder="1" applyAlignment="1">
      <alignment horizontal="center" vertical="center" wrapText="1"/>
    </xf>
    <xf numFmtId="165" fontId="2" fillId="9" borderId="1" xfId="6" applyNumberFormat="1" applyFont="1" applyFill="1" applyBorder="1" applyAlignment="1">
      <alignment horizontal="center" vertical="center" wrapText="1"/>
    </xf>
    <xf numFmtId="9" fontId="31" fillId="6" borderId="1" xfId="8" applyFont="1" applyFill="1" applyBorder="1" applyAlignment="1">
      <alignment vertical="center" wrapText="1"/>
    </xf>
    <xf numFmtId="9" fontId="32" fillId="2" borderId="1" xfId="8" applyFont="1" applyFill="1" applyBorder="1" applyAlignment="1">
      <alignment vertical="center" wrapText="1"/>
    </xf>
    <xf numFmtId="9" fontId="31" fillId="6" borderId="1" xfId="8" applyFont="1" applyFill="1" applyBorder="1" applyAlignment="1">
      <alignment horizontal="center" vertical="center" wrapText="1"/>
    </xf>
    <xf numFmtId="9" fontId="32" fillId="2" borderId="1" xfId="8" applyFont="1" applyFill="1" applyBorder="1" applyAlignment="1">
      <alignment horizontal="center" vertical="center" wrapText="1"/>
    </xf>
    <xf numFmtId="9" fontId="32" fillId="2" borderId="1" xfId="8" applyFont="1" applyFill="1" applyBorder="1" applyAlignment="1">
      <alignment horizontal="center" vertical="justify" wrapText="1"/>
    </xf>
    <xf numFmtId="9" fontId="32" fillId="2" borderId="7" xfId="8" applyFont="1" applyFill="1" applyBorder="1" applyAlignment="1">
      <alignment horizontal="center" vertical="center" wrapText="1"/>
    </xf>
    <xf numFmtId="165" fontId="3" fillId="0" borderId="0" xfId="1" applyNumberFormat="1" applyFont="1" applyAlignment="1">
      <alignment horizontal="center"/>
    </xf>
    <xf numFmtId="165" fontId="31" fillId="6" borderId="1" xfId="1" applyNumberFormat="1" applyFont="1" applyFill="1" applyBorder="1" applyAlignment="1">
      <alignment horizontal="center" vertical="center" wrapText="1"/>
    </xf>
    <xf numFmtId="165" fontId="32" fillId="2" borderId="1" xfId="1" applyNumberFormat="1" applyFont="1" applyFill="1" applyBorder="1" applyAlignment="1">
      <alignment horizontal="center" vertical="center" wrapText="1"/>
    </xf>
    <xf numFmtId="165" fontId="3" fillId="0" borderId="0" xfId="1" applyNumberFormat="1" applyFont="1" applyBorder="1" applyAlignment="1">
      <alignment horizontal="center" wrapText="1"/>
    </xf>
    <xf numFmtId="165" fontId="31" fillId="6" borderId="16" xfId="1" applyNumberFormat="1" applyFont="1" applyFill="1" applyBorder="1" applyAlignment="1">
      <alignment vertical="center" wrapText="1"/>
    </xf>
    <xf numFmtId="9" fontId="31" fillId="6" borderId="16" xfId="8" applyFont="1" applyFill="1" applyBorder="1" applyAlignment="1">
      <alignment vertical="center" wrapText="1"/>
    </xf>
    <xf numFmtId="9" fontId="3" fillId="0" borderId="0" xfId="1" applyNumberFormat="1" applyFont="1"/>
    <xf numFmtId="166" fontId="33" fillId="12" borderId="1" xfId="8" applyNumberFormat="1" applyFont="1" applyFill="1" applyBorder="1" applyAlignment="1">
      <alignment horizontal="center" vertical="center" wrapText="1"/>
    </xf>
    <xf numFmtId="0" fontId="3" fillId="0" borderId="0" xfId="5" applyFont="1" applyAlignment="1">
      <alignment wrapText="1"/>
    </xf>
    <xf numFmtId="0" fontId="0" fillId="0" borderId="0" xfId="0" applyAlignment="1">
      <alignment wrapText="1"/>
    </xf>
    <xf numFmtId="0" fontId="2" fillId="2" borderId="0" xfId="2" applyFont="1" applyFill="1" applyAlignment="1">
      <alignment horizontal="left" wrapText="1"/>
    </xf>
    <xf numFmtId="0" fontId="3" fillId="0" borderId="0" xfId="5" applyFont="1" applyAlignment="1">
      <alignment horizontal="left" wrapText="1"/>
    </xf>
    <xf numFmtId="0" fontId="3" fillId="0" borderId="0" xfId="5" applyFont="1" applyBorder="1" applyAlignment="1">
      <alignment horizontal="left" wrapText="1"/>
    </xf>
    <xf numFmtId="0" fontId="0" fillId="0" borderId="2" xfId="0" applyBorder="1" applyAlignment="1">
      <alignment wrapText="1"/>
    </xf>
    <xf numFmtId="0" fontId="15" fillId="2" borderId="8" xfId="0" applyFont="1" applyFill="1" applyBorder="1" applyAlignment="1">
      <alignment horizontal="justify" vertical="center" wrapText="1"/>
    </xf>
    <xf numFmtId="165" fontId="6" fillId="2" borderId="1" xfId="1" applyNumberFormat="1" applyFont="1" applyFill="1" applyBorder="1" applyAlignment="1">
      <alignment horizontal="right" vertical="center"/>
    </xf>
    <xf numFmtId="9" fontId="3" fillId="0" borderId="0" xfId="8" applyFont="1"/>
    <xf numFmtId="0" fontId="9" fillId="2" borderId="0" xfId="0" applyFont="1" applyFill="1" applyAlignment="1">
      <alignment horizontal="justify" vertical="center" wrapText="1"/>
    </xf>
    <xf numFmtId="164" fontId="13" fillId="7" borderId="8" xfId="15" applyNumberFormat="1" applyFont="1" applyFill="1" applyBorder="1" applyAlignment="1">
      <alignment horizontal="center" vertical="center" wrapText="1"/>
    </xf>
    <xf numFmtId="164" fontId="15" fillId="2" borderId="0" xfId="15" applyNumberFormat="1" applyFont="1" applyFill="1"/>
    <xf numFmtId="0" fontId="2" fillId="2" borderId="0" xfId="2" applyFont="1" applyFill="1" applyAlignment="1">
      <alignment horizontal="center" wrapText="1"/>
    </xf>
    <xf numFmtId="0" fontId="2" fillId="13" borderId="1" xfId="2" applyFont="1" applyFill="1" applyBorder="1"/>
    <xf numFmtId="165" fontId="3" fillId="0" borderId="0" xfId="19" applyNumberFormat="1" applyFont="1" applyBorder="1" applyAlignment="1">
      <alignment horizontal="center"/>
    </xf>
    <xf numFmtId="0" fontId="2" fillId="14" borderId="1" xfId="2" applyFont="1" applyFill="1" applyBorder="1"/>
    <xf numFmtId="0" fontId="3" fillId="0" borderId="0" xfId="2" applyFont="1" applyAlignment="1">
      <alignment horizontal="center" vertical="center" wrapText="1"/>
    </xf>
    <xf numFmtId="0" fontId="2" fillId="0" borderId="1" xfId="2" applyFont="1" applyBorder="1"/>
    <xf numFmtId="165" fontId="2" fillId="0" borderId="1" xfId="19" applyNumberFormat="1" applyFont="1" applyBorder="1" applyAlignment="1">
      <alignment horizontal="center"/>
    </xf>
    <xf numFmtId="164" fontId="3" fillId="0" borderId="1" xfId="15" applyNumberFormat="1" applyFont="1" applyBorder="1"/>
    <xf numFmtId="165" fontId="3" fillId="0" borderId="0" xfId="19" applyNumberFormat="1" applyFont="1" applyBorder="1"/>
    <xf numFmtId="165" fontId="3" fillId="0" borderId="29" xfId="19" applyNumberFormat="1" applyFont="1" applyBorder="1"/>
    <xf numFmtId="0" fontId="3" fillId="0" borderId="30" xfId="2" applyFont="1" applyBorder="1"/>
    <xf numFmtId="0" fontId="3" fillId="0" borderId="31" xfId="2" applyFont="1" applyBorder="1"/>
    <xf numFmtId="165" fontId="3" fillId="0" borderId="32" xfId="19" applyNumberFormat="1" applyFont="1" applyBorder="1"/>
    <xf numFmtId="0" fontId="3" fillId="0" borderId="33" xfId="2" applyFont="1" applyBorder="1"/>
    <xf numFmtId="0" fontId="3" fillId="0" borderId="32" xfId="2" applyFont="1" applyBorder="1"/>
    <xf numFmtId="0" fontId="3" fillId="0" borderId="34" xfId="2" applyFont="1" applyBorder="1"/>
    <xf numFmtId="0" fontId="3" fillId="0" borderId="35" xfId="2" applyFont="1" applyBorder="1"/>
    <xf numFmtId="0" fontId="3" fillId="0" borderId="36" xfId="2" applyFont="1" applyBorder="1"/>
    <xf numFmtId="0" fontId="34" fillId="0" borderId="0" xfId="24" applyBorder="1"/>
    <xf numFmtId="0" fontId="2" fillId="14" borderId="1" xfId="2" applyFont="1" applyFill="1" applyBorder="1" applyAlignment="1">
      <alignment horizontal="center" wrapText="1"/>
    </xf>
    <xf numFmtId="0" fontId="2" fillId="0" borderId="7" xfId="2" applyFont="1" applyBorder="1"/>
    <xf numFmtId="0" fontId="2" fillId="0" borderId="0" xfId="2" applyFont="1" applyAlignment="1">
      <alignment horizontal="center"/>
    </xf>
    <xf numFmtId="165" fontId="2" fillId="0" borderId="1" xfId="19" applyNumberFormat="1" applyFont="1" applyBorder="1" applyAlignment="1"/>
    <xf numFmtId="165" fontId="3" fillId="0" borderId="1" xfId="2" applyNumberFormat="1" applyFont="1" applyBorder="1" applyAlignment="1">
      <alignment horizontal="center"/>
    </xf>
    <xf numFmtId="165" fontId="3" fillId="0" borderId="1" xfId="19" applyNumberFormat="1" applyFont="1" applyBorder="1" applyAlignment="1"/>
    <xf numFmtId="165" fontId="3" fillId="0" borderId="0" xfId="2" applyNumberFormat="1" applyFont="1" applyAlignment="1">
      <alignment horizontal="center"/>
    </xf>
    <xf numFmtId="165" fontId="3" fillId="0" borderId="0" xfId="19" applyNumberFormat="1" applyFont="1" applyBorder="1" applyAlignment="1"/>
    <xf numFmtId="0" fontId="38" fillId="15" borderId="37" xfId="2" applyFont="1" applyFill="1" applyBorder="1" applyAlignment="1">
      <alignment horizontal="center" vertical="center"/>
    </xf>
    <xf numFmtId="0" fontId="38" fillId="15" borderId="38" xfId="2" applyFont="1" applyFill="1" applyBorder="1" applyAlignment="1">
      <alignment horizontal="center" vertical="center" wrapText="1"/>
    </xf>
    <xf numFmtId="0" fontId="38" fillId="15" borderId="39" xfId="2" applyFont="1" applyFill="1" applyBorder="1" applyAlignment="1">
      <alignment horizontal="center" vertical="center" wrapText="1"/>
    </xf>
    <xf numFmtId="0" fontId="39" fillId="15" borderId="1" xfId="2" applyFont="1" applyFill="1" applyBorder="1" applyAlignment="1">
      <alignment horizontal="center" vertical="center" wrapText="1"/>
    </xf>
    <xf numFmtId="165" fontId="2" fillId="14" borderId="1" xfId="1" applyNumberFormat="1" applyFont="1" applyFill="1" applyBorder="1"/>
    <xf numFmtId="0" fontId="40" fillId="0" borderId="0" xfId="20" applyFont="1" applyBorder="1"/>
    <xf numFmtId="164" fontId="2" fillId="14" borderId="1" xfId="3" applyNumberFormat="1" applyFont="1" applyFill="1" applyBorder="1" applyAlignment="1">
      <alignment horizontal="center"/>
    </xf>
    <xf numFmtId="0" fontId="2" fillId="14" borderId="1" xfId="2" applyFont="1" applyFill="1" applyBorder="1" applyAlignment="1">
      <alignment horizontal="center"/>
    </xf>
    <xf numFmtId="0" fontId="6" fillId="10" borderId="1" xfId="2" applyFont="1" applyFill="1" applyBorder="1"/>
    <xf numFmtId="165" fontId="6" fillId="0" borderId="1" xfId="19" applyNumberFormat="1" applyFont="1" applyBorder="1" applyAlignment="1">
      <alignment horizontal="center"/>
    </xf>
    <xf numFmtId="165" fontId="23" fillId="0" borderId="1" xfId="19" applyNumberFormat="1" applyFont="1" applyBorder="1" applyAlignment="1">
      <alignment horizontal="center"/>
    </xf>
    <xf numFmtId="0" fontId="23" fillId="14" borderId="1" xfId="2" applyFont="1" applyFill="1" applyBorder="1"/>
    <xf numFmtId="165" fontId="23" fillId="14" borderId="1" xfId="19" applyNumberFormat="1" applyFont="1" applyFill="1" applyBorder="1"/>
    <xf numFmtId="0" fontId="3" fillId="0" borderId="0" xfId="2" applyFont="1" applyAlignment="1">
      <alignment wrapText="1"/>
    </xf>
    <xf numFmtId="0" fontId="2" fillId="14" borderId="1" xfId="2" applyFont="1" applyFill="1" applyBorder="1" applyAlignment="1">
      <alignment horizontal="left"/>
    </xf>
    <xf numFmtId="165" fontId="3" fillId="0" borderId="0" xfId="19" applyNumberFormat="1" applyFont="1" applyBorder="1" applyAlignment="1">
      <alignment horizontal="left"/>
    </xf>
    <xf numFmtId="165" fontId="3" fillId="0" borderId="0" xfId="19" applyNumberFormat="1" applyFont="1" applyBorder="1" applyAlignment="1">
      <alignment wrapText="1"/>
    </xf>
    <xf numFmtId="0" fontId="2" fillId="10" borderId="1" xfId="2" applyFont="1" applyFill="1" applyBorder="1"/>
    <xf numFmtId="0" fontId="2" fillId="10" borderId="7" xfId="2" applyFont="1" applyFill="1" applyBorder="1"/>
    <xf numFmtId="0" fontId="2" fillId="16" borderId="1" xfId="0" applyFont="1" applyFill="1" applyBorder="1" applyAlignment="1">
      <alignment horizontal="center"/>
    </xf>
    <xf numFmtId="0" fontId="2" fillId="16" borderId="1" xfId="0" applyFont="1" applyFill="1" applyBorder="1" applyAlignment="1">
      <alignment horizontal="center" wrapText="1"/>
    </xf>
    <xf numFmtId="0" fontId="3" fillId="0" borderId="1" xfId="0" applyFont="1" applyBorder="1" applyAlignment="1">
      <alignment horizontal="left"/>
    </xf>
    <xf numFmtId="167" fontId="3" fillId="0" borderId="1" xfId="0" applyNumberFormat="1" applyFont="1" applyBorder="1"/>
    <xf numFmtId="0" fontId="2" fillId="16" borderId="1" xfId="0" applyFont="1" applyFill="1" applyBorder="1" applyAlignment="1">
      <alignment horizontal="left"/>
    </xf>
    <xf numFmtId="165" fontId="2" fillId="16" borderId="1" xfId="1" applyNumberFormat="1" applyFont="1" applyFill="1" applyBorder="1"/>
    <xf numFmtId="167" fontId="2" fillId="16" borderId="1" xfId="1" applyNumberFormat="1" applyFont="1" applyFill="1" applyBorder="1"/>
    <xf numFmtId="166" fontId="2" fillId="16" borderId="1" xfId="8" applyNumberFormat="1" applyFont="1" applyFill="1" applyBorder="1"/>
    <xf numFmtId="0" fontId="2" fillId="11" borderId="7" xfId="2" applyFont="1" applyFill="1" applyBorder="1"/>
    <xf numFmtId="165" fontId="6" fillId="0" borderId="1" xfId="19" applyNumberFormat="1" applyFont="1" applyBorder="1"/>
    <xf numFmtId="165" fontId="6" fillId="0" borderId="0" xfId="19" applyNumberFormat="1" applyFont="1" applyBorder="1"/>
    <xf numFmtId="0" fontId="2" fillId="10" borderId="1" xfId="2" applyFont="1" applyFill="1" applyBorder="1" applyAlignment="1">
      <alignment wrapText="1"/>
    </xf>
    <xf numFmtId="165" fontId="3" fillId="0" borderId="1" xfId="19" applyNumberFormat="1" applyFont="1" applyBorder="1"/>
    <xf numFmtId="165" fontId="2" fillId="14" borderId="1" xfId="19" applyNumberFormat="1" applyFont="1" applyFill="1" applyBorder="1" applyAlignment="1">
      <alignment wrapText="1"/>
    </xf>
    <xf numFmtId="165" fontId="2" fillId="10" borderId="1" xfId="19" applyNumberFormat="1" applyFont="1" applyFill="1" applyBorder="1"/>
    <xf numFmtId="0" fontId="6" fillId="2" borderId="1" xfId="2" applyFont="1" applyFill="1" applyBorder="1" applyAlignment="1">
      <alignment wrapText="1"/>
    </xf>
    <xf numFmtId="165" fontId="6" fillId="2" borderId="1" xfId="19" applyNumberFormat="1" applyFont="1" applyFill="1" applyBorder="1"/>
    <xf numFmtId="165" fontId="2" fillId="10" borderId="1" xfId="19" applyNumberFormat="1" applyFont="1" applyFill="1" applyBorder="1" applyAlignment="1">
      <alignment wrapText="1"/>
    </xf>
    <xf numFmtId="165" fontId="2" fillId="10" borderId="1" xfId="1" applyNumberFormat="1" applyFont="1" applyFill="1" applyBorder="1"/>
    <xf numFmtId="0" fontId="2" fillId="13" borderId="7" xfId="2" applyFont="1" applyFill="1" applyBorder="1" applyAlignment="1">
      <alignment horizontal="left"/>
    </xf>
    <xf numFmtId="164" fontId="2" fillId="14" borderId="1" xfId="2" applyNumberFormat="1" applyFont="1" applyFill="1" applyBorder="1"/>
    <xf numFmtId="0" fontId="2" fillId="13" borderId="1" xfId="2" applyFont="1" applyFill="1" applyBorder="1" applyAlignment="1">
      <alignment horizontal="center"/>
    </xf>
    <xf numFmtId="0" fontId="2" fillId="13" borderId="1" xfId="2" applyFont="1" applyFill="1" applyBorder="1" applyAlignment="1">
      <alignment wrapText="1"/>
    </xf>
    <xf numFmtId="164" fontId="2" fillId="13" borderId="1" xfId="3" applyNumberFormat="1" applyFont="1" applyFill="1" applyBorder="1" applyAlignment="1">
      <alignment wrapText="1"/>
    </xf>
    <xf numFmtId="0" fontId="3" fillId="2" borderId="0" xfId="2" applyFont="1" applyFill="1" applyAlignment="1">
      <alignment wrapText="1"/>
    </xf>
    <xf numFmtId="165" fontId="3" fillId="0" borderId="0" xfId="19" applyNumberFormat="1" applyFont="1" applyAlignment="1">
      <alignment horizontal="center"/>
    </xf>
    <xf numFmtId="0" fontId="2" fillId="13" borderId="1" xfId="2" applyFont="1" applyFill="1" applyBorder="1" applyAlignment="1">
      <alignment horizontal="left" vertical="center"/>
    </xf>
    <xf numFmtId="0" fontId="2" fillId="13" borderId="1" xfId="2" applyFont="1" applyFill="1" applyBorder="1" applyAlignment="1">
      <alignment horizontal="center" vertical="center"/>
    </xf>
    <xf numFmtId="164" fontId="3" fillId="0" borderId="1" xfId="3" applyNumberFormat="1" applyFont="1" applyBorder="1"/>
    <xf numFmtId="164" fontId="3" fillId="2" borderId="1" xfId="15" applyNumberFormat="1" applyFont="1" applyFill="1" applyBorder="1"/>
    <xf numFmtId="164" fontId="3" fillId="0" borderId="1" xfId="15" applyNumberFormat="1" applyFont="1" applyBorder="1" applyAlignment="1"/>
    <xf numFmtId="164" fontId="3" fillId="2" borderId="1" xfId="3" applyNumberFormat="1" applyFont="1" applyFill="1" applyBorder="1"/>
    <xf numFmtId="0" fontId="2" fillId="10" borderId="1" xfId="2" applyFont="1" applyFill="1" applyBorder="1" applyAlignment="1">
      <alignment horizontal="left" wrapText="1"/>
    </xf>
    <xf numFmtId="0" fontId="3" fillId="10" borderId="1" xfId="2" applyFont="1" applyFill="1" applyBorder="1" applyAlignment="1">
      <alignment horizontal="left" wrapText="1"/>
    </xf>
    <xf numFmtId="0" fontId="2" fillId="13" borderId="37" xfId="2" applyFont="1" applyFill="1" applyBorder="1"/>
    <xf numFmtId="165" fontId="2" fillId="13" borderId="1" xfId="2" applyNumberFormat="1" applyFont="1" applyFill="1" applyBorder="1"/>
    <xf numFmtId="0" fontId="2" fillId="13" borderId="7" xfId="2" applyFont="1" applyFill="1" applyBorder="1"/>
    <xf numFmtId="165" fontId="2" fillId="13" borderId="1" xfId="19" applyNumberFormat="1" applyFont="1" applyFill="1" applyBorder="1"/>
    <xf numFmtId="165" fontId="3" fillId="0" borderId="1" xfId="19" applyNumberFormat="1" applyFont="1" applyBorder="1" applyAlignment="1">
      <alignment wrapText="1"/>
    </xf>
    <xf numFmtId="0" fontId="3" fillId="0" borderId="0" xfId="2" applyFont="1" applyAlignment="1">
      <alignment horizontal="justify" wrapText="1"/>
    </xf>
    <xf numFmtId="165" fontId="3" fillId="2" borderId="1" xfId="19" applyNumberFormat="1" applyFont="1" applyFill="1" applyBorder="1"/>
    <xf numFmtId="0" fontId="3" fillId="0" borderId="0" xfId="2" applyFont="1" applyAlignment="1">
      <alignment horizontal="justify" vertical="justify" wrapText="1"/>
    </xf>
    <xf numFmtId="0" fontId="9" fillId="0" borderId="0" xfId="2" applyFont="1" applyAlignment="1">
      <alignment horizontal="justify" wrapText="1"/>
    </xf>
    <xf numFmtId="0" fontId="2" fillId="10" borderId="1" xfId="2" applyFont="1" applyFill="1" applyBorder="1" applyAlignment="1">
      <alignment horizontal="center"/>
    </xf>
    <xf numFmtId="0" fontId="2" fillId="11" borderId="1" xfId="2" applyFont="1" applyFill="1" applyBorder="1"/>
    <xf numFmtId="165" fontId="2" fillId="11" borderId="1" xfId="19" applyNumberFormat="1" applyFont="1" applyFill="1" applyBorder="1"/>
    <xf numFmtId="165" fontId="2" fillId="2" borderId="0" xfId="19" applyNumberFormat="1" applyFont="1" applyFill="1" applyBorder="1"/>
    <xf numFmtId="165" fontId="3" fillId="0" borderId="1" xfId="2" applyNumberFormat="1" applyFont="1" applyBorder="1"/>
    <xf numFmtId="0" fontId="2" fillId="11" borderId="1" xfId="2" applyFont="1" applyFill="1" applyBorder="1" applyAlignment="1">
      <alignment horizontal="center"/>
    </xf>
    <xf numFmtId="165" fontId="10" fillId="0" borderId="0" xfId="19" applyNumberFormat="1" applyFont="1" applyBorder="1" applyAlignment="1">
      <alignment vertical="center" wrapText="1"/>
    </xf>
    <xf numFmtId="164" fontId="10" fillId="0" borderId="0" xfId="3" applyNumberFormat="1" applyFont="1" applyBorder="1" applyAlignment="1">
      <alignment vertical="center"/>
    </xf>
    <xf numFmtId="0" fontId="10" fillId="0" borderId="0" xfId="2" applyFont="1" applyAlignment="1">
      <alignment horizontal="justify" wrapText="1"/>
    </xf>
    <xf numFmtId="0" fontId="10" fillId="0" borderId="0" xfId="2" applyFont="1" applyAlignment="1">
      <alignment wrapText="1"/>
    </xf>
    <xf numFmtId="0" fontId="2" fillId="2" borderId="9" xfId="2" applyFont="1" applyFill="1" applyBorder="1"/>
    <xf numFmtId="165" fontId="2" fillId="11" borderId="1" xfId="2" applyNumberFormat="1" applyFont="1" applyFill="1" applyBorder="1"/>
    <xf numFmtId="0" fontId="2" fillId="11" borderId="5" xfId="2" applyFont="1" applyFill="1" applyBorder="1"/>
    <xf numFmtId="0" fontId="2" fillId="11" borderId="1" xfId="2" applyFont="1" applyFill="1" applyBorder="1" applyAlignment="1">
      <alignment wrapText="1"/>
    </xf>
    <xf numFmtId="0" fontId="3" fillId="0" borderId="5" xfId="2" applyFont="1" applyBorder="1"/>
    <xf numFmtId="0" fontId="2" fillId="11" borderId="1" xfId="2" applyFont="1" applyFill="1" applyBorder="1" applyAlignment="1">
      <alignment horizontal="left"/>
    </xf>
    <xf numFmtId="0" fontId="23" fillId="10" borderId="1" xfId="2" applyFont="1" applyFill="1" applyBorder="1"/>
    <xf numFmtId="165" fontId="10" fillId="0" borderId="0" xfId="19" applyNumberFormat="1" applyFont="1" applyBorder="1" applyAlignment="1">
      <alignment horizontal="center"/>
    </xf>
    <xf numFmtId="165" fontId="23" fillId="10" borderId="1" xfId="19" applyNumberFormat="1" applyFont="1" applyFill="1" applyBorder="1"/>
    <xf numFmtId="165" fontId="6" fillId="0" borderId="0" xfId="19" applyNumberFormat="1" applyFont="1" applyBorder="1" applyAlignment="1">
      <alignment horizontal="center"/>
    </xf>
    <xf numFmtId="0" fontId="2" fillId="11" borderId="1" xfId="5" applyFont="1" applyFill="1" applyBorder="1" applyAlignment="1">
      <alignment horizontal="left"/>
    </xf>
    <xf numFmtId="0" fontId="2" fillId="11" borderId="1" xfId="5" applyFont="1" applyFill="1" applyBorder="1" applyAlignment="1">
      <alignment horizontal="center"/>
    </xf>
    <xf numFmtId="0" fontId="6" fillId="0" borderId="1" xfId="2" applyFont="1" applyBorder="1" applyAlignment="1">
      <alignment horizontal="center" wrapText="1"/>
    </xf>
    <xf numFmtId="165" fontId="10" fillId="0" borderId="0" xfId="19" applyNumberFormat="1" applyFont="1" applyBorder="1"/>
    <xf numFmtId="0" fontId="3" fillId="2" borderId="0" xfId="14" applyFont="1" applyFill="1"/>
    <xf numFmtId="0" fontId="6" fillId="0" borderId="0" xfId="2" applyFont="1" applyAlignment="1">
      <alignment horizontal="center"/>
    </xf>
    <xf numFmtId="165" fontId="3" fillId="0" borderId="0" xfId="6" applyNumberFormat="1" applyFont="1" applyBorder="1"/>
    <xf numFmtId="0" fontId="41" fillId="0" borderId="0" xfId="0" applyFont="1"/>
    <xf numFmtId="0" fontId="41" fillId="0" borderId="0" xfId="0" applyFont="1" applyAlignment="1">
      <alignment horizontal="center"/>
    </xf>
    <xf numFmtId="0" fontId="3" fillId="0" borderId="1" xfId="5" applyFont="1" applyBorder="1" applyAlignment="1">
      <alignment wrapText="1"/>
    </xf>
    <xf numFmtId="0" fontId="3" fillId="0" borderId="1" xfId="5" applyFont="1" applyBorder="1"/>
    <xf numFmtId="0" fontId="2" fillId="11" borderId="1" xfId="5" applyFont="1" applyFill="1" applyBorder="1" applyAlignment="1">
      <alignment horizontal="center" vertical="center" wrapText="1"/>
    </xf>
    <xf numFmtId="0" fontId="3" fillId="0" borderId="1" xfId="5" applyFont="1" applyBorder="1" applyAlignment="1">
      <alignment horizontal="left" wrapText="1"/>
    </xf>
    <xf numFmtId="165" fontId="3" fillId="0" borderId="1" xfId="5" applyNumberFormat="1" applyFont="1" applyBorder="1" applyAlignment="1">
      <alignment horizontal="center"/>
    </xf>
    <xf numFmtId="9" fontId="3" fillId="0" borderId="1" xfId="5" applyNumberFormat="1" applyFont="1" applyBorder="1"/>
    <xf numFmtId="0" fontId="3" fillId="0" borderId="1" xfId="5" applyFont="1" applyBorder="1" applyAlignment="1">
      <alignment horizontal="left"/>
    </xf>
    <xf numFmtId="166" fontId="3" fillId="0" borderId="1" xfId="5" applyNumberFormat="1" applyFont="1" applyBorder="1"/>
    <xf numFmtId="165" fontId="3" fillId="0" borderId="0" xfId="6" applyNumberFormat="1" applyFont="1" applyBorder="1" applyAlignment="1">
      <alignment horizontal="center"/>
    </xf>
    <xf numFmtId="165" fontId="3" fillId="0" borderId="0" xfId="5" applyNumberFormat="1" applyFont="1" applyAlignment="1">
      <alignment horizontal="center"/>
    </xf>
    <xf numFmtId="166" fontId="3" fillId="0" borderId="0" xfId="5" applyNumberFormat="1" applyFont="1"/>
    <xf numFmtId="9" fontId="3" fillId="0" borderId="0" xfId="5" applyNumberFormat="1" applyFont="1"/>
    <xf numFmtId="165" fontId="3" fillId="0" borderId="0" xfId="5" applyNumberFormat="1" applyFont="1"/>
    <xf numFmtId="165" fontId="2" fillId="11" borderId="1" xfId="1" applyNumberFormat="1" applyFont="1" applyFill="1" applyBorder="1" applyAlignment="1">
      <alignment horizontal="left"/>
    </xf>
    <xf numFmtId="41" fontId="6" fillId="0" borderId="1" xfId="23" applyFont="1" applyBorder="1"/>
    <xf numFmtId="10" fontId="6" fillId="2" borderId="1" xfId="2" applyNumberFormat="1" applyFont="1" applyFill="1" applyBorder="1"/>
    <xf numFmtId="10" fontId="6" fillId="0" borderId="1" xfId="8" applyNumberFormat="1" applyFont="1" applyBorder="1"/>
    <xf numFmtId="10" fontId="3" fillId="0" borderId="0" xfId="8" applyNumberFormat="1" applyFont="1" applyBorder="1"/>
    <xf numFmtId="165" fontId="2" fillId="11" borderId="0" xfId="1" applyNumberFormat="1" applyFont="1" applyFill="1" applyBorder="1" applyAlignment="1">
      <alignment horizontal="left"/>
    </xf>
    <xf numFmtId="165" fontId="2" fillId="11" borderId="1" xfId="1" applyNumberFormat="1" applyFont="1" applyFill="1" applyBorder="1" applyAlignment="1">
      <alignment horizontal="center"/>
    </xf>
    <xf numFmtId="0" fontId="2" fillId="10" borderId="7" xfId="5" applyFont="1" applyFill="1" applyBorder="1"/>
    <xf numFmtId="0" fontId="3" fillId="2" borderId="1" xfId="14" applyFont="1" applyFill="1" applyBorder="1"/>
    <xf numFmtId="165" fontId="3" fillId="2" borderId="1" xfId="6" applyNumberFormat="1" applyFont="1" applyFill="1" applyBorder="1" applyAlignment="1">
      <alignment horizontal="center"/>
    </xf>
    <xf numFmtId="0" fontId="2" fillId="2" borderId="0" xfId="5" applyFont="1" applyFill="1"/>
    <xf numFmtId="165" fontId="2" fillId="2" borderId="0" xfId="5" applyNumberFormat="1" applyFont="1" applyFill="1"/>
    <xf numFmtId="165" fontId="3" fillId="2" borderId="1" xfId="1" applyNumberFormat="1" applyFont="1" applyFill="1" applyBorder="1"/>
    <xf numFmtId="165" fontId="3" fillId="0" borderId="1" xfId="1" applyNumberFormat="1" applyFont="1" applyBorder="1" applyAlignment="1">
      <alignment horizontal="center"/>
    </xf>
    <xf numFmtId="165" fontId="2" fillId="10" borderId="1" xfId="21" applyNumberFormat="1" applyFont="1" applyFill="1" applyBorder="1"/>
    <xf numFmtId="0" fontId="23" fillId="10" borderId="1" xfId="5" applyFont="1" applyFill="1" applyBorder="1" applyAlignment="1">
      <alignment wrapText="1"/>
    </xf>
    <xf numFmtId="165" fontId="2" fillId="10" borderId="1" xfId="21" applyNumberFormat="1" applyFont="1" applyFill="1" applyBorder="1" applyAlignment="1">
      <alignment horizontal="center"/>
    </xf>
    <xf numFmtId="165" fontId="23" fillId="10" borderId="1" xfId="5" applyNumberFormat="1" applyFont="1" applyFill="1" applyBorder="1"/>
    <xf numFmtId="0" fontId="2" fillId="10" borderId="1" xfId="5" applyFont="1" applyFill="1" applyBorder="1"/>
    <xf numFmtId="165" fontId="2" fillId="10" borderId="3" xfId="1" applyNumberFormat="1" applyFont="1" applyFill="1" applyBorder="1"/>
    <xf numFmtId="165" fontId="2" fillId="10" borderId="0" xfId="1" applyNumberFormat="1" applyFont="1" applyFill="1" applyBorder="1"/>
    <xf numFmtId="1" fontId="2" fillId="10" borderId="7" xfId="5" applyNumberFormat="1" applyFont="1" applyFill="1" applyBorder="1"/>
    <xf numFmtId="165" fontId="23" fillId="2" borderId="1" xfId="1" applyNumberFormat="1" applyFont="1" applyFill="1" applyBorder="1"/>
    <xf numFmtId="165" fontId="6" fillId="2" borderId="1" xfId="2" applyNumberFormat="1" applyFont="1" applyFill="1" applyBorder="1"/>
    <xf numFmtId="165" fontId="23" fillId="2" borderId="0" xfId="1" applyNumberFormat="1" applyFont="1" applyFill="1" applyBorder="1"/>
    <xf numFmtId="9" fontId="2" fillId="10" borderId="1" xfId="8" applyFont="1" applyFill="1" applyBorder="1"/>
    <xf numFmtId="165" fontId="2" fillId="10" borderId="7" xfId="1" applyNumberFormat="1" applyFont="1" applyFill="1" applyBorder="1"/>
    <xf numFmtId="165" fontId="2" fillId="2" borderId="0" xfId="1" applyNumberFormat="1" applyFont="1" applyFill="1" applyBorder="1"/>
    <xf numFmtId="165" fontId="2" fillId="10" borderId="1" xfId="1" applyNumberFormat="1" applyFont="1" applyFill="1" applyBorder="1" applyAlignment="1">
      <alignment horizontal="center"/>
    </xf>
    <xf numFmtId="165" fontId="2" fillId="11" borderId="1" xfId="1" applyNumberFormat="1" applyFont="1" applyFill="1" applyBorder="1" applyAlignment="1">
      <alignment horizontal="left" vertical="center" wrapText="1" indent="7"/>
    </xf>
    <xf numFmtId="0" fontId="3" fillId="0" borderId="0" xfId="14" applyFont="1"/>
    <xf numFmtId="165" fontId="3" fillId="0" borderId="1" xfId="21" applyNumberFormat="1" applyFont="1" applyBorder="1"/>
    <xf numFmtId="165" fontId="6" fillId="0" borderId="1" xfId="21" applyNumberFormat="1" applyFont="1" applyBorder="1"/>
    <xf numFmtId="165" fontId="0" fillId="0" borderId="1" xfId="1" applyNumberFormat="1" applyFont="1" applyBorder="1"/>
    <xf numFmtId="165" fontId="42" fillId="0" borderId="0" xfId="1" applyNumberFormat="1" applyFont="1" applyAlignment="1">
      <alignment wrapText="1"/>
    </xf>
    <xf numFmtId="165" fontId="0" fillId="0" borderId="0" xfId="1" applyNumberFormat="1" applyFont="1"/>
    <xf numFmtId="0" fontId="23" fillId="10" borderId="1" xfId="5" applyFont="1" applyFill="1" applyBorder="1"/>
    <xf numFmtId="0" fontId="43" fillId="10" borderId="1" xfId="0" applyFont="1" applyFill="1" applyBorder="1" applyAlignment="1">
      <alignment horizontal="center"/>
    </xf>
    <xf numFmtId="165" fontId="2" fillId="2" borderId="1" xfId="21" applyNumberFormat="1" applyFont="1" applyFill="1" applyBorder="1"/>
    <xf numFmtId="165" fontId="2" fillId="2" borderId="0" xfId="21" applyNumberFormat="1" applyFont="1" applyFill="1" applyBorder="1"/>
    <xf numFmtId="165" fontId="3" fillId="2" borderId="0" xfId="6" applyNumberFormat="1" applyFont="1" applyFill="1" applyBorder="1"/>
    <xf numFmtId="9" fontId="3" fillId="2" borderId="0" xfId="5" applyNumberFormat="1" applyFont="1" applyFill="1"/>
    <xf numFmtId="165" fontId="3" fillId="2" borderId="0" xfId="5" applyNumberFormat="1" applyFont="1" applyFill="1"/>
    <xf numFmtId="0" fontId="44" fillId="10" borderId="1" xfId="0" applyFont="1" applyFill="1" applyBorder="1" applyAlignment="1">
      <alignment horizontal="center"/>
    </xf>
    <xf numFmtId="165" fontId="3" fillId="2" borderId="1" xfId="14" applyNumberFormat="1" applyFont="1" applyFill="1" applyBorder="1"/>
    <xf numFmtId="165" fontId="23" fillId="2" borderId="0" xfId="5" applyNumberFormat="1" applyFont="1" applyFill="1"/>
    <xf numFmtId="0" fontId="37" fillId="0" borderId="0" xfId="0" applyFont="1"/>
    <xf numFmtId="0" fontId="23" fillId="10" borderId="1" xfId="2" applyFont="1" applyFill="1" applyBorder="1" applyAlignment="1">
      <alignment horizontal="left" wrapText="1"/>
    </xf>
    <xf numFmtId="165" fontId="6" fillId="0" borderId="0" xfId="6" applyNumberFormat="1" applyFont="1" applyBorder="1" applyAlignment="1">
      <alignment horizontal="center"/>
    </xf>
    <xf numFmtId="165" fontId="6" fillId="0" borderId="0" xfId="6" applyNumberFormat="1" applyFont="1" applyBorder="1"/>
    <xf numFmtId="9" fontId="6" fillId="0" borderId="0" xfId="5" applyNumberFormat="1" applyFont="1"/>
    <xf numFmtId="165" fontId="6" fillId="0" borderId="0" xfId="5" applyNumberFormat="1" applyFont="1"/>
    <xf numFmtId="0" fontId="6" fillId="0" borderId="0" xfId="5" applyFont="1" applyAlignment="1">
      <alignment horizontal="left" wrapText="1"/>
    </xf>
    <xf numFmtId="0" fontId="6" fillId="0" borderId="0" xfId="5" applyFont="1"/>
    <xf numFmtId="0" fontId="6" fillId="0" borderId="1" xfId="5" applyFont="1" applyBorder="1" applyAlignment="1">
      <alignment horizontal="left" wrapText="1"/>
    </xf>
    <xf numFmtId="165" fontId="6" fillId="0" borderId="1" xfId="1" applyNumberFormat="1" applyFont="1" applyBorder="1" applyAlignment="1">
      <alignment horizontal="center"/>
    </xf>
    <xf numFmtId="165" fontId="23" fillId="10" borderId="1" xfId="21" applyNumberFormat="1" applyFont="1" applyFill="1" applyBorder="1"/>
    <xf numFmtId="165" fontId="3" fillId="0" borderId="1" xfId="5" applyNumberFormat="1" applyFont="1" applyBorder="1"/>
    <xf numFmtId="0" fontId="45" fillId="0" borderId="0" xfId="0" applyFont="1" applyAlignment="1">
      <alignment wrapText="1"/>
    </xf>
    <xf numFmtId="0" fontId="46" fillId="2" borderId="0" xfId="0" applyFont="1" applyFill="1"/>
    <xf numFmtId="165" fontId="46" fillId="2" borderId="0" xfId="1" applyNumberFormat="1" applyFont="1" applyFill="1" applyBorder="1" applyAlignment="1">
      <alignment horizontal="center"/>
    </xf>
    <xf numFmtId="165" fontId="3" fillId="0" borderId="1" xfId="1" applyNumberFormat="1" applyFont="1" applyBorder="1" applyAlignment="1">
      <alignment horizontal="right"/>
    </xf>
    <xf numFmtId="41" fontId="3" fillId="0" borderId="1" xfId="22" applyFont="1" applyBorder="1"/>
    <xf numFmtId="165" fontId="2" fillId="10" borderId="1" xfId="1" applyNumberFormat="1" applyFont="1" applyFill="1" applyBorder="1" applyAlignment="1">
      <alignment horizontal="left" wrapText="1"/>
    </xf>
    <xf numFmtId="0" fontId="3" fillId="0" borderId="1" xfId="14" applyFont="1" applyBorder="1"/>
    <xf numFmtId="41" fontId="3" fillId="0" borderId="1" xfId="18" applyFont="1" applyBorder="1"/>
    <xf numFmtId="165" fontId="2" fillId="10" borderId="1" xfId="1" applyNumberFormat="1" applyFont="1" applyFill="1" applyBorder="1" applyAlignment="1">
      <alignment horizontal="center" vertical="center" wrapText="1"/>
    </xf>
    <xf numFmtId="3" fontId="3" fillId="0" borderId="1" xfId="14" applyNumberFormat="1" applyFont="1" applyBorder="1"/>
    <xf numFmtId="165" fontId="3" fillId="2" borderId="0" xfId="2" applyNumberFormat="1" applyFont="1" applyFill="1"/>
    <xf numFmtId="0" fontId="3" fillId="0" borderId="7" xfId="14" applyFont="1" applyBorder="1"/>
    <xf numFmtId="3" fontId="6" fillId="0" borderId="1" xfId="14" applyNumberFormat="1" applyFont="1" applyBorder="1"/>
    <xf numFmtId="3" fontId="3" fillId="2" borderId="1" xfId="14" applyNumberFormat="1" applyFont="1" applyFill="1" applyBorder="1"/>
    <xf numFmtId="0" fontId="2" fillId="2" borderId="1" xfId="2" applyFont="1" applyFill="1" applyBorder="1" applyAlignment="1">
      <alignment horizontal="left" wrapText="1"/>
    </xf>
    <xf numFmtId="165" fontId="8" fillId="0" borderId="1" xfId="0" applyNumberFormat="1" applyFont="1" applyBorder="1" applyAlignment="1">
      <alignment horizontal="center"/>
    </xf>
    <xf numFmtId="165" fontId="2" fillId="6" borderId="3" xfId="1" applyNumberFormat="1" applyFont="1" applyFill="1" applyBorder="1" applyAlignment="1">
      <alignment horizontal="center"/>
    </xf>
    <xf numFmtId="0" fontId="3" fillId="0" borderId="0" xfId="5" applyFont="1" applyBorder="1" applyAlignment="1">
      <alignment horizontal="justify" wrapText="1"/>
    </xf>
    <xf numFmtId="0" fontId="3" fillId="2" borderId="0" xfId="2" applyFont="1" applyFill="1" applyAlignment="1">
      <alignment horizontal="justify" wrapText="1"/>
    </xf>
    <xf numFmtId="0" fontId="0" fillId="0" borderId="0" xfId="0" applyAlignment="1"/>
    <xf numFmtId="0" fontId="0" fillId="0" borderId="0" xfId="0" applyAlignment="1">
      <alignment horizontal="justify" wrapText="1"/>
    </xf>
    <xf numFmtId="0" fontId="6" fillId="2" borderId="1" xfId="2" applyFont="1" applyFill="1" applyBorder="1" applyAlignment="1">
      <alignment horizontal="fill" vertical="top" wrapText="1"/>
    </xf>
    <xf numFmtId="164" fontId="6" fillId="2" borderId="1" xfId="15" applyNumberFormat="1" applyFont="1" applyFill="1" applyBorder="1" applyAlignment="1">
      <alignment horizontal="right" vertical="center"/>
    </xf>
    <xf numFmtId="0" fontId="2" fillId="6" borderId="16" xfId="2" applyFont="1" applyFill="1" applyBorder="1" applyAlignment="1">
      <alignment horizontal="center"/>
    </xf>
    <xf numFmtId="165" fontId="2" fillId="6" borderId="16" xfId="6" applyNumberFormat="1" applyFont="1" applyFill="1" applyBorder="1" applyAlignment="1">
      <alignment horizontal="center"/>
    </xf>
    <xf numFmtId="0" fontId="3" fillId="0" borderId="0" xfId="2" applyFont="1" applyBorder="1"/>
    <xf numFmtId="164" fontId="3" fillId="0" borderId="0" xfId="2" applyNumberFormat="1" applyFont="1" applyBorder="1"/>
    <xf numFmtId="0" fontId="2" fillId="0" borderId="0" xfId="5" applyFont="1" applyBorder="1" applyAlignment="1">
      <alignment horizontal="left" wrapText="1"/>
    </xf>
    <xf numFmtId="0" fontId="3" fillId="2" borderId="0" xfId="2" applyFont="1" applyFill="1" applyAlignment="1">
      <alignment horizontal="justify"/>
    </xf>
    <xf numFmtId="0" fontId="0" fillId="0" borderId="0" xfId="0" applyAlignment="1">
      <alignment horizontal="justify"/>
    </xf>
    <xf numFmtId="0" fontId="0" fillId="0" borderId="0" xfId="0" applyBorder="1" applyAlignment="1">
      <alignment horizontal="justify" wrapText="1"/>
    </xf>
    <xf numFmtId="0" fontId="47" fillId="2" borderId="8" xfId="13" applyFont="1" applyFill="1" applyBorder="1" applyAlignment="1">
      <alignment horizontal="justify" vertical="center" wrapText="1"/>
    </xf>
    <xf numFmtId="9" fontId="10" fillId="0" borderId="1" xfId="2" applyNumberFormat="1" applyFont="1" applyBorder="1"/>
    <xf numFmtId="167" fontId="3" fillId="0" borderId="0" xfId="1" applyNumberFormat="1" applyFont="1"/>
    <xf numFmtId="10" fontId="33" fillId="12" borderId="1" xfId="8" applyNumberFormat="1" applyFont="1" applyFill="1" applyBorder="1" applyAlignment="1">
      <alignment horizontal="center" vertical="center" wrapText="1"/>
    </xf>
    <xf numFmtId="0" fontId="3" fillId="0" borderId="0" xfId="0" applyFont="1" applyAlignment="1">
      <alignment horizontal="center" wrapText="1"/>
    </xf>
    <xf numFmtId="10" fontId="29" fillId="0" borderId="0" xfId="0" applyNumberFormat="1" applyFont="1" applyAlignment="1">
      <alignment horizontal="center" wrapText="1"/>
    </xf>
    <xf numFmtId="0" fontId="49" fillId="18" borderId="1" xfId="1" applyNumberFormat="1" applyFont="1" applyFill="1" applyBorder="1" applyAlignment="1">
      <alignment horizontal="center" vertical="center" wrapText="1"/>
    </xf>
    <xf numFmtId="0" fontId="29" fillId="0" borderId="0" xfId="1" applyNumberFormat="1" applyFont="1" applyAlignment="1">
      <alignment horizontal="center" vertical="center" wrapText="1"/>
    </xf>
    <xf numFmtId="0" fontId="3" fillId="0" borderId="0" xfId="0" applyFont="1" applyAlignment="1">
      <alignment horizontal="center" vertical="center" wrapText="1"/>
    </xf>
    <xf numFmtId="165" fontId="3" fillId="0" borderId="0" xfId="1" applyNumberFormat="1" applyFont="1" applyAlignment="1">
      <alignment horizontal="center" vertical="center" wrapText="1"/>
    </xf>
    <xf numFmtId="0" fontId="29" fillId="0" borderId="0" xfId="0" applyFont="1" applyAlignment="1">
      <alignment horizontal="center" vertical="center" wrapText="1"/>
    </xf>
    <xf numFmtId="165" fontId="29" fillId="0" borderId="0" xfId="1" applyNumberFormat="1" applyFont="1" applyAlignment="1">
      <alignment horizontal="center" vertical="center" wrapText="1"/>
    </xf>
    <xf numFmtId="165" fontId="3" fillId="0" borderId="0" xfId="1" applyNumberFormat="1" applyFont="1" applyAlignment="1">
      <alignment vertical="center" wrapText="1"/>
    </xf>
    <xf numFmtId="165" fontId="3" fillId="0" borderId="0" xfId="1" applyNumberFormat="1" applyFont="1" applyAlignment="1">
      <alignment vertical="center"/>
    </xf>
    <xf numFmtId="165" fontId="6" fillId="0" borderId="0" xfId="1" applyNumberFormat="1" applyFont="1" applyBorder="1" applyAlignment="1">
      <alignment vertical="center" wrapText="1"/>
    </xf>
    <xf numFmtId="165" fontId="6" fillId="0" borderId="0" xfId="1" applyNumberFormat="1" applyFont="1" applyBorder="1" applyAlignment="1">
      <alignment vertical="center"/>
    </xf>
    <xf numFmtId="165" fontId="48" fillId="18" borderId="1" xfId="1" applyNumberFormat="1" applyFont="1" applyFill="1" applyBorder="1" applyAlignment="1">
      <alignment horizontal="center" vertical="center" wrapText="1"/>
    </xf>
    <xf numFmtId="10" fontId="48" fillId="18" borderId="1" xfId="1" applyNumberFormat="1" applyFont="1" applyFill="1" applyBorder="1" applyAlignment="1">
      <alignment horizontal="center" vertical="center" wrapText="1"/>
    </xf>
    <xf numFmtId="0" fontId="31" fillId="14" borderId="1" xfId="1" applyNumberFormat="1" applyFont="1" applyFill="1" applyBorder="1" applyAlignment="1">
      <alignment vertical="center" wrapText="1"/>
    </xf>
    <xf numFmtId="165" fontId="31" fillId="14" borderId="1" xfId="1" applyNumberFormat="1" applyFont="1" applyFill="1" applyBorder="1" applyAlignment="1">
      <alignment vertical="center" wrapText="1"/>
    </xf>
    <xf numFmtId="10" fontId="31" fillId="14" borderId="1" xfId="8" applyNumberFormat="1" applyFont="1" applyFill="1" applyBorder="1" applyAlignment="1">
      <alignment vertical="center" wrapText="1"/>
    </xf>
    <xf numFmtId="165" fontId="49" fillId="18" borderId="1" xfId="1" applyNumberFormat="1" applyFont="1" applyFill="1" applyBorder="1" applyAlignment="1">
      <alignment horizontal="center" vertical="center" wrapText="1"/>
    </xf>
    <xf numFmtId="9" fontId="49" fillId="18" borderId="1" xfId="8" applyFont="1" applyFill="1" applyBorder="1" applyAlignment="1">
      <alignment horizontal="center" vertical="center" wrapText="1"/>
    </xf>
    <xf numFmtId="0" fontId="30" fillId="0" borderId="0" xfId="0" applyFont="1" applyAlignment="1">
      <alignment horizontal="center" vertical="center" wrapText="1"/>
    </xf>
    <xf numFmtId="10" fontId="30" fillId="0" borderId="0" xfId="0" applyNumberFormat="1" applyFont="1" applyAlignment="1">
      <alignment horizontal="center" vertical="center" wrapText="1"/>
    </xf>
    <xf numFmtId="0" fontId="3" fillId="0" borderId="0" xfId="1" applyNumberFormat="1" applyFont="1" applyAlignment="1">
      <alignment vertical="center"/>
    </xf>
    <xf numFmtId="165" fontId="3" fillId="0" borderId="1" xfId="1" applyNumberFormat="1" applyFont="1" applyBorder="1" applyAlignment="1">
      <alignment vertical="center"/>
    </xf>
    <xf numFmtId="10" fontId="3" fillId="0" borderId="1" xfId="8" applyNumberFormat="1" applyFont="1" applyBorder="1" applyAlignment="1">
      <alignment vertical="center"/>
    </xf>
    <xf numFmtId="10" fontId="51" fillId="0" borderId="0" xfId="1" applyNumberFormat="1" applyFont="1" applyAlignment="1">
      <alignment vertical="center"/>
    </xf>
    <xf numFmtId="0" fontId="15" fillId="2" borderId="0" xfId="1" applyNumberFormat="1" applyFont="1" applyFill="1" applyBorder="1" applyAlignment="1">
      <alignment vertical="center"/>
    </xf>
    <xf numFmtId="165" fontId="3" fillId="0" borderId="0" xfId="1" applyNumberFormat="1" applyFont="1" applyBorder="1" applyAlignment="1">
      <alignment vertical="center" wrapText="1"/>
    </xf>
    <xf numFmtId="165" fontId="3" fillId="0" borderId="0" xfId="1" applyNumberFormat="1" applyFont="1" applyBorder="1" applyAlignment="1">
      <alignment vertical="center"/>
    </xf>
    <xf numFmtId="10" fontId="3" fillId="0" borderId="0" xfId="1" applyNumberFormat="1" applyFont="1" applyBorder="1" applyAlignment="1">
      <alignment vertical="center"/>
    </xf>
    <xf numFmtId="10" fontId="3" fillId="0" borderId="0" xfId="1" applyNumberFormat="1" applyFont="1" applyAlignment="1">
      <alignment vertical="center"/>
    </xf>
    <xf numFmtId="0" fontId="13" fillId="17" borderId="8" xfId="0" applyFont="1" applyFill="1" applyBorder="1" applyAlignment="1">
      <alignment horizontal="center" vertical="center" wrapText="1"/>
    </xf>
    <xf numFmtId="164" fontId="13" fillId="17" borderId="8" xfId="15" applyNumberFormat="1" applyFont="1" applyFill="1" applyBorder="1" applyAlignment="1">
      <alignment horizontal="center" vertical="center" wrapText="1"/>
    </xf>
    <xf numFmtId="0" fontId="3" fillId="0" borderId="0" xfId="5" applyFont="1" applyAlignment="1">
      <alignment vertical="center"/>
    </xf>
    <xf numFmtId="0" fontId="3" fillId="0" borderId="0" xfId="13" applyFont="1" applyAlignment="1">
      <alignment vertical="center" wrapText="1"/>
    </xf>
    <xf numFmtId="10" fontId="28" fillId="0" borderId="0" xfId="13" applyNumberFormat="1" applyFont="1" applyAlignment="1">
      <alignment horizontal="center" vertical="center"/>
    </xf>
    <xf numFmtId="165" fontId="50" fillId="17" borderId="3" xfId="1" applyNumberFormat="1" applyFont="1" applyFill="1" applyBorder="1" applyAlignment="1">
      <alignment horizontal="center" vertical="center" wrapText="1"/>
    </xf>
    <xf numFmtId="165" fontId="31" fillId="6" borderId="3" xfId="1" applyNumberFormat="1" applyFont="1" applyFill="1" applyBorder="1" applyAlignment="1">
      <alignment vertical="center" wrapText="1"/>
    </xf>
    <xf numFmtId="165" fontId="32" fillId="2" borderId="3" xfId="1" applyNumberFormat="1" applyFont="1" applyFill="1" applyBorder="1" applyAlignment="1">
      <alignment vertical="center" wrapText="1"/>
    </xf>
    <xf numFmtId="165" fontId="32" fillId="2" borderId="3" xfId="1" applyNumberFormat="1" applyFont="1" applyFill="1" applyBorder="1" applyAlignment="1">
      <alignment vertical="justify" wrapText="1"/>
    </xf>
    <xf numFmtId="165" fontId="32" fillId="2" borderId="41" xfId="1" applyNumberFormat="1" applyFont="1" applyFill="1" applyBorder="1" applyAlignment="1">
      <alignment vertical="center" wrapText="1"/>
    </xf>
    <xf numFmtId="165" fontId="33" fillId="12" borderId="3" xfId="1" applyNumberFormat="1" applyFont="1" applyFill="1" applyBorder="1" applyAlignment="1">
      <alignment vertical="center" wrapText="1"/>
    </xf>
    <xf numFmtId="165" fontId="50" fillId="18" borderId="40" xfId="1" applyNumberFormat="1" applyFont="1" applyFill="1" applyBorder="1" applyAlignment="1">
      <alignment horizontal="center" vertical="center" wrapText="1"/>
    </xf>
    <xf numFmtId="165" fontId="13" fillId="18" borderId="40" xfId="6" applyNumberFormat="1" applyFont="1" applyFill="1" applyBorder="1" applyAlignment="1">
      <alignment horizontal="center" vertical="center" wrapText="1"/>
    </xf>
    <xf numFmtId="0" fontId="23" fillId="14" borderId="40" xfId="1" applyNumberFormat="1" applyFont="1" applyFill="1" applyBorder="1" applyAlignment="1">
      <alignment vertical="center" wrapText="1"/>
    </xf>
    <xf numFmtId="165" fontId="23" fillId="14" borderId="40" xfId="1" applyNumberFormat="1" applyFont="1" applyFill="1" applyBorder="1" applyAlignment="1">
      <alignment vertical="center" wrapText="1"/>
    </xf>
    <xf numFmtId="0" fontId="6" fillId="2" borderId="40" xfId="1" applyNumberFormat="1" applyFont="1" applyFill="1" applyBorder="1" applyAlignment="1">
      <alignment vertical="center" wrapText="1"/>
    </xf>
    <xf numFmtId="165" fontId="6" fillId="2" borderId="40" xfId="1" applyNumberFormat="1" applyFont="1" applyFill="1" applyBorder="1" applyAlignment="1">
      <alignment vertical="center" wrapText="1"/>
    </xf>
    <xf numFmtId="0" fontId="49" fillId="18" borderId="40" xfId="1" applyNumberFormat="1" applyFont="1" applyFill="1" applyBorder="1" applyAlignment="1">
      <alignment horizontal="center" vertical="center" wrapText="1"/>
    </xf>
    <xf numFmtId="165" fontId="49" fillId="18" borderId="40" xfId="1" applyNumberFormat="1" applyFont="1" applyFill="1" applyBorder="1" applyAlignment="1">
      <alignment vertical="center" wrapText="1"/>
    </xf>
    <xf numFmtId="166" fontId="49" fillId="18" borderId="40" xfId="8" applyNumberFormat="1" applyFont="1" applyFill="1" applyBorder="1" applyAlignment="1">
      <alignment vertical="center" wrapText="1"/>
    </xf>
    <xf numFmtId="0" fontId="3" fillId="0" borderId="9" xfId="13" applyFont="1" applyBorder="1" applyAlignment="1">
      <alignment horizontal="left" vertical="center" wrapText="1"/>
    </xf>
    <xf numFmtId="0" fontId="3" fillId="0" borderId="3" xfId="13" applyFont="1" applyBorder="1" applyAlignment="1">
      <alignment horizontal="left" vertical="center" wrapText="1"/>
    </xf>
    <xf numFmtId="0" fontId="3" fillId="0" borderId="1" xfId="13" applyFont="1" applyBorder="1" applyAlignment="1">
      <alignment horizontal="justify" vertical="center" wrapText="1"/>
    </xf>
    <xf numFmtId="0" fontId="2" fillId="0" borderId="1" xfId="13" applyFont="1" applyBorder="1" applyAlignment="1">
      <alignment horizontal="center" vertical="center"/>
    </xf>
    <xf numFmtId="0" fontId="3" fillId="0" borderId="9" xfId="13" applyFont="1" applyBorder="1" applyAlignment="1">
      <alignment horizontal="justify" vertical="center" wrapText="1"/>
    </xf>
    <xf numFmtId="0" fontId="3" fillId="0" borderId="3" xfId="13" applyFont="1" applyBorder="1" applyAlignment="1">
      <alignment horizontal="justify" vertical="center" wrapText="1"/>
    </xf>
    <xf numFmtId="0" fontId="2" fillId="0" borderId="9" xfId="13" applyFont="1" applyBorder="1" applyAlignment="1">
      <alignment horizontal="center" vertical="center"/>
    </xf>
    <xf numFmtId="0" fontId="2" fillId="0" borderId="3" xfId="13" applyFont="1" applyBorder="1" applyAlignment="1">
      <alignment horizontal="center" vertical="center"/>
    </xf>
    <xf numFmtId="0" fontId="3" fillId="0" borderId="17" xfId="13" applyFont="1" applyBorder="1" applyAlignment="1">
      <alignment horizontal="left" vertical="center" wrapText="1"/>
    </xf>
    <xf numFmtId="0" fontId="3" fillId="2" borderId="0" xfId="13" applyFont="1" applyFill="1" applyAlignment="1">
      <alignment horizontal="center"/>
    </xf>
    <xf numFmtId="0" fontId="2" fillId="2" borderId="0" xfId="13" applyFont="1" applyFill="1" applyAlignment="1">
      <alignment horizontal="center" vertical="center"/>
    </xf>
    <xf numFmtId="0" fontId="6" fillId="0" borderId="10" xfId="13" applyFont="1" applyBorder="1" applyAlignment="1">
      <alignment horizontal="justify" vertical="top" wrapText="1"/>
    </xf>
    <xf numFmtId="0" fontId="6" fillId="0" borderId="11" xfId="13" applyFont="1" applyBorder="1" applyAlignment="1">
      <alignment horizontal="justify" vertical="top" wrapText="1"/>
    </xf>
    <xf numFmtId="0" fontId="6" fillId="0" borderId="12" xfId="13" applyFont="1" applyBorder="1" applyAlignment="1">
      <alignment horizontal="justify" vertical="top" wrapText="1"/>
    </xf>
    <xf numFmtId="0" fontId="6" fillId="0" borderId="13" xfId="13" applyFont="1" applyBorder="1" applyAlignment="1">
      <alignment horizontal="justify" vertical="top" wrapText="1"/>
    </xf>
    <xf numFmtId="0" fontId="2" fillId="0" borderId="14" xfId="13" applyFont="1" applyBorder="1" applyAlignment="1">
      <alignment horizontal="center" vertical="center"/>
    </xf>
    <xf numFmtId="0" fontId="2" fillId="0" borderId="15" xfId="13" applyFont="1" applyBorder="1" applyAlignment="1">
      <alignment horizontal="center" vertical="center"/>
    </xf>
    <xf numFmtId="0" fontId="3" fillId="0" borderId="16" xfId="13" applyFont="1" applyBorder="1" applyAlignment="1">
      <alignment horizontal="justify" vertical="center" wrapText="1"/>
    </xf>
    <xf numFmtId="0" fontId="27" fillId="0" borderId="25" xfId="5" applyFont="1" applyBorder="1" applyAlignment="1">
      <alignment horizontal="left" vertical="center" wrapText="1"/>
    </xf>
    <xf numFmtId="0" fontId="27" fillId="0" borderId="26" xfId="5" applyFont="1" applyBorder="1" applyAlignment="1">
      <alignment horizontal="left" vertical="center" wrapText="1"/>
    </xf>
    <xf numFmtId="0" fontId="3" fillId="0" borderId="9" xfId="5" applyFont="1" applyBorder="1" applyAlignment="1">
      <alignment horizontal="justify" vertical="center" wrapText="1"/>
    </xf>
    <xf numFmtId="0" fontId="3" fillId="0" borderId="27" xfId="13" applyFont="1" applyBorder="1" applyAlignment="1">
      <alignment horizontal="justify" vertical="center" wrapText="1"/>
    </xf>
    <xf numFmtId="0" fontId="6" fillId="2" borderId="0" xfId="13" applyFont="1" applyFill="1" applyAlignment="1">
      <alignment horizontal="justify" vertical="center" wrapText="1"/>
    </xf>
    <xf numFmtId="0" fontId="3" fillId="2" borderId="0" xfId="13" applyFont="1" applyFill="1" applyAlignment="1">
      <alignment wrapText="1"/>
    </xf>
    <xf numFmtId="0" fontId="3" fillId="2" borderId="28" xfId="13" applyFont="1" applyFill="1" applyBorder="1" applyAlignment="1">
      <alignment wrapText="1"/>
    </xf>
    <xf numFmtId="0" fontId="3" fillId="0" borderId="0" xfId="5" applyFont="1" applyAlignment="1">
      <alignment wrapText="1"/>
    </xf>
    <xf numFmtId="0" fontId="3" fillId="0" borderId="0" xfId="13" applyFont="1" applyAlignment="1">
      <alignment wrapText="1"/>
    </xf>
    <xf numFmtId="0" fontId="2" fillId="2" borderId="1" xfId="13" applyFont="1" applyFill="1" applyBorder="1" applyAlignment="1">
      <alignment vertical="center" wrapText="1"/>
    </xf>
    <xf numFmtId="0" fontId="3" fillId="2" borderId="1" xfId="13" applyFont="1" applyFill="1" applyBorder="1" applyAlignment="1">
      <alignment vertical="center" wrapText="1"/>
    </xf>
    <xf numFmtId="0" fontId="3" fillId="2" borderId="1" xfId="5" applyFont="1" applyFill="1" applyBorder="1" applyAlignment="1">
      <alignment horizontal="justify" vertical="center" wrapText="1"/>
    </xf>
    <xf numFmtId="0" fontId="3" fillId="2" borderId="1" xfId="13" applyFont="1" applyFill="1" applyBorder="1" applyAlignment="1">
      <alignment horizontal="justify" vertical="center" wrapText="1"/>
    </xf>
    <xf numFmtId="0" fontId="2" fillId="10" borderId="0" xfId="5" applyFont="1" applyFill="1" applyAlignment="1">
      <alignment horizontal="left" wrapText="1"/>
    </xf>
    <xf numFmtId="0" fontId="2" fillId="10" borderId="0" xfId="13" applyFont="1" applyFill="1" applyAlignment="1">
      <alignment horizontal="left" wrapText="1"/>
    </xf>
    <xf numFmtId="0" fontId="2" fillId="0" borderId="25" xfId="5" applyFont="1" applyBorder="1" applyAlignment="1">
      <alignment horizontal="justify" vertical="center" wrapText="1"/>
    </xf>
    <xf numFmtId="0" fontId="2" fillId="0" borderId="26" xfId="5" applyFont="1" applyBorder="1" applyAlignment="1">
      <alignment horizontal="justify" vertical="center" wrapText="1"/>
    </xf>
    <xf numFmtId="0" fontId="3" fillId="0" borderId="9" xfId="5" applyFont="1" applyBorder="1" applyAlignment="1">
      <alignment horizontal="left" vertical="center" wrapText="1"/>
    </xf>
    <xf numFmtId="0" fontId="3" fillId="0" borderId="27" xfId="13" applyFont="1" applyBorder="1" applyAlignment="1">
      <alignment horizontal="left" vertical="center" wrapText="1"/>
    </xf>
    <xf numFmtId="0" fontId="3" fillId="0" borderId="18" xfId="5" applyFont="1" applyBorder="1" applyAlignment="1">
      <alignment horizontal="center"/>
    </xf>
    <xf numFmtId="0" fontId="3" fillId="0" borderId="19" xfId="5" applyFont="1" applyBorder="1" applyAlignment="1">
      <alignment horizontal="center"/>
    </xf>
    <xf numFmtId="0" fontId="3" fillId="0" borderId="22" xfId="5" applyFont="1" applyBorder="1" applyAlignment="1">
      <alignment horizontal="center"/>
    </xf>
    <xf numFmtId="0" fontId="3" fillId="0" borderId="0" xfId="5" applyFont="1" applyAlignment="1">
      <alignment horizontal="center"/>
    </xf>
    <xf numFmtId="0" fontId="3" fillId="0" borderId="23" xfId="5" applyFont="1" applyBorder="1" applyAlignment="1">
      <alignment horizontal="center"/>
    </xf>
    <xf numFmtId="0" fontId="3" fillId="0" borderId="24" xfId="5" applyFont="1" applyBorder="1" applyAlignment="1">
      <alignment horizontal="center"/>
    </xf>
    <xf numFmtId="0" fontId="2" fillId="0" borderId="1" xfId="5" applyFont="1" applyBorder="1" applyAlignment="1">
      <alignment horizontal="center" vertical="center" wrapText="1"/>
    </xf>
    <xf numFmtId="0" fontId="3" fillId="0" borderId="1" xfId="13" applyFont="1" applyBorder="1" applyAlignment="1">
      <alignment horizontal="center" vertical="center" wrapText="1"/>
    </xf>
    <xf numFmtId="0" fontId="3" fillId="0" borderId="20" xfId="5" applyFont="1" applyBorder="1" applyAlignment="1">
      <alignment horizontal="center"/>
    </xf>
    <xf numFmtId="0" fontId="3" fillId="0" borderId="21" xfId="5" applyFont="1" applyBorder="1" applyAlignment="1">
      <alignment horizontal="center"/>
    </xf>
    <xf numFmtId="0" fontId="2" fillId="10" borderId="1" xfId="2" applyFont="1" applyFill="1" applyBorder="1" applyAlignment="1">
      <alignment horizontal="left" wrapText="1"/>
    </xf>
    <xf numFmtId="0" fontId="2" fillId="13" borderId="1" xfId="2" applyFont="1" applyFill="1" applyBorder="1" applyAlignment="1">
      <alignment horizontal="center" wrapText="1"/>
    </xf>
    <xf numFmtId="0" fontId="2" fillId="14" borderId="1" xfId="2" applyFont="1" applyFill="1" applyBorder="1" applyAlignment="1">
      <alignment horizontal="center" wrapText="1"/>
    </xf>
    <xf numFmtId="0" fontId="38" fillId="15" borderId="9" xfId="2" applyFont="1" applyFill="1" applyBorder="1" applyAlignment="1">
      <alignment horizontal="center" vertical="center" wrapText="1"/>
    </xf>
    <xf numFmtId="0" fontId="38" fillId="15" borderId="27" xfId="2" applyFont="1" applyFill="1" applyBorder="1" applyAlignment="1">
      <alignment horizontal="center" vertical="center" wrapText="1"/>
    </xf>
    <xf numFmtId="0" fontId="38" fillId="15" borderId="3" xfId="2" applyFont="1" applyFill="1" applyBorder="1" applyAlignment="1">
      <alignment horizontal="center" vertical="center" wrapText="1"/>
    </xf>
    <xf numFmtId="0" fontId="39" fillId="15" borderId="7" xfId="2" applyFont="1" applyFill="1" applyBorder="1" applyAlignment="1">
      <alignment horizontal="center" vertical="center" wrapText="1"/>
    </xf>
    <xf numFmtId="0" fontId="39" fillId="15" borderId="37" xfId="2" applyFont="1" applyFill="1" applyBorder="1" applyAlignment="1">
      <alignment horizontal="center" vertical="center" wrapText="1"/>
    </xf>
    <xf numFmtId="0" fontId="39" fillId="15" borderId="16" xfId="2" applyFont="1" applyFill="1" applyBorder="1" applyAlignment="1">
      <alignment horizontal="center" vertical="center" wrapText="1"/>
    </xf>
    <xf numFmtId="0" fontId="2" fillId="14" borderId="1" xfId="2" applyFont="1" applyFill="1" applyBorder="1" applyAlignment="1">
      <alignment wrapText="1"/>
    </xf>
    <xf numFmtId="0" fontId="3" fillId="0" borderId="1" xfId="2" applyFont="1" applyBorder="1" applyAlignment="1">
      <alignment wrapText="1"/>
    </xf>
    <xf numFmtId="0" fontId="6" fillId="0" borderId="17" xfId="2" applyFont="1" applyBorder="1" applyAlignment="1">
      <alignment wrapText="1"/>
    </xf>
    <xf numFmtId="0" fontId="3" fillId="0" borderId="17" xfId="2" applyFont="1" applyBorder="1" applyAlignment="1">
      <alignment wrapText="1"/>
    </xf>
    <xf numFmtId="0" fontId="2" fillId="10" borderId="9" xfId="2" applyFont="1" applyFill="1" applyBorder="1" applyAlignment="1">
      <alignment wrapText="1"/>
    </xf>
    <xf numFmtId="0" fontId="2" fillId="10" borderId="3" xfId="2" applyFont="1" applyFill="1" applyBorder="1" applyAlignment="1">
      <alignment wrapText="1"/>
    </xf>
    <xf numFmtId="0" fontId="3" fillId="2" borderId="17" xfId="2" applyFont="1" applyFill="1" applyBorder="1" applyAlignment="1">
      <alignment wrapText="1"/>
    </xf>
    <xf numFmtId="0" fontId="9" fillId="0" borderId="17" xfId="2" applyFont="1" applyBorder="1" applyAlignment="1">
      <alignment horizontal="justify" wrapText="1"/>
    </xf>
    <xf numFmtId="0" fontId="9" fillId="0" borderId="0" xfId="2" applyFont="1" applyAlignment="1">
      <alignment horizontal="justify" vertical="justify" wrapText="1"/>
    </xf>
    <xf numFmtId="0" fontId="2" fillId="10" borderId="1" xfId="2" applyFont="1" applyFill="1" applyBorder="1" applyAlignment="1">
      <alignment wrapText="1"/>
    </xf>
    <xf numFmtId="0" fontId="3" fillId="10" borderId="1" xfId="2" applyFont="1" applyFill="1" applyBorder="1" applyAlignment="1">
      <alignment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center" vertical="center" wrapText="1"/>
    </xf>
    <xf numFmtId="0" fontId="15" fillId="2" borderId="8" xfId="0" applyFont="1" applyFill="1" applyBorder="1" applyAlignment="1">
      <alignment vertical="center" wrapText="1"/>
    </xf>
    <xf numFmtId="0" fontId="9" fillId="2" borderId="8" xfId="0" applyFont="1" applyFill="1" applyBorder="1" applyAlignment="1">
      <alignment horizontal="justify" vertical="center" wrapText="1"/>
    </xf>
    <xf numFmtId="164" fontId="15" fillId="2" borderId="8" xfId="15" applyNumberFormat="1" applyFont="1" applyFill="1" applyBorder="1" applyAlignment="1">
      <alignment horizontal="left" vertical="center" wrapText="1"/>
    </xf>
    <xf numFmtId="0" fontId="29" fillId="0" borderId="0" xfId="1" applyNumberFormat="1" applyFont="1" applyAlignment="1">
      <alignment horizontal="center" vertical="center" wrapText="1"/>
    </xf>
    <xf numFmtId="0" fontId="0" fillId="0" borderId="0" xfId="0" applyAlignment="1">
      <alignment horizontal="center" vertical="center" wrapText="1"/>
    </xf>
    <xf numFmtId="0" fontId="29" fillId="0" borderId="0" xfId="1" applyNumberFormat="1" applyFont="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0" fontId="2" fillId="2" borderId="0" xfId="2" applyFont="1" applyFill="1" applyAlignment="1">
      <alignment horizontal="left" wrapText="1"/>
    </xf>
    <xf numFmtId="0" fontId="3" fillId="0" borderId="0" xfId="5" applyFont="1" applyAlignment="1">
      <alignment horizontal="left" wrapText="1"/>
    </xf>
    <xf numFmtId="0" fontId="3" fillId="0" borderId="0" xfId="5" applyFont="1" applyBorder="1" applyAlignment="1">
      <alignment horizontal="left" wrapText="1"/>
    </xf>
    <xf numFmtId="0" fontId="3" fillId="0" borderId="0" xfId="5" applyFont="1" applyBorder="1" applyAlignment="1">
      <alignment horizontal="justify" wrapText="1"/>
    </xf>
    <xf numFmtId="0" fontId="0" fillId="0" borderId="0" xfId="0" applyAlignment="1">
      <alignment horizontal="justify" wrapText="1"/>
    </xf>
    <xf numFmtId="0" fontId="3" fillId="2" borderId="0" xfId="2" applyFont="1" applyFill="1" applyAlignment="1">
      <alignment horizontal="justify" wrapText="1"/>
    </xf>
    <xf numFmtId="0" fontId="2" fillId="2" borderId="0" xfId="2" applyFont="1" applyFill="1" applyBorder="1" applyAlignment="1">
      <alignment horizontal="left" wrapText="1"/>
    </xf>
    <xf numFmtId="0" fontId="2" fillId="0" borderId="0" xfId="5" applyFont="1" applyBorder="1" applyAlignment="1">
      <alignment wrapText="1"/>
    </xf>
    <xf numFmtId="0" fontId="0" fillId="0" borderId="0" xfId="0" applyBorder="1" applyAlignment="1">
      <alignment wrapText="1"/>
    </xf>
    <xf numFmtId="0" fontId="24" fillId="0" borderId="0" xfId="0" applyFont="1" applyBorder="1" applyAlignment="1">
      <alignment wrapText="1"/>
    </xf>
    <xf numFmtId="0" fontId="3" fillId="2" borderId="0" xfId="2" applyFont="1" applyFill="1" applyAlignment="1">
      <alignment horizontal="justify"/>
    </xf>
    <xf numFmtId="0" fontId="0" fillId="0" borderId="0" xfId="0" applyAlignment="1">
      <alignment horizontal="justify"/>
    </xf>
    <xf numFmtId="0" fontId="0" fillId="0" borderId="0" xfId="0" applyBorder="1" applyAlignment="1">
      <alignment horizontal="justify" wrapText="1"/>
    </xf>
    <xf numFmtId="0" fontId="2" fillId="0" borderId="0" xfId="5" applyFont="1" applyBorder="1" applyAlignment="1">
      <alignment horizontal="justify" wrapText="1"/>
    </xf>
    <xf numFmtId="0" fontId="24" fillId="0" borderId="0" xfId="0" applyFont="1" applyAlignment="1">
      <alignment horizontal="justify" wrapText="1"/>
    </xf>
    <xf numFmtId="0" fontId="2" fillId="2" borderId="0" xfId="2" applyFont="1" applyFill="1" applyBorder="1" applyAlignment="1">
      <alignment horizontal="left" vertical="center" wrapText="1"/>
    </xf>
    <xf numFmtId="0" fontId="2" fillId="2" borderId="0" xfId="2" applyFont="1" applyFill="1" applyAlignment="1">
      <alignment horizontal="left" vertical="center" wrapText="1"/>
    </xf>
    <xf numFmtId="0" fontId="3" fillId="0" borderId="0" xfId="5" applyFont="1" applyAlignment="1">
      <alignment horizontal="left" vertical="center" wrapText="1"/>
    </xf>
    <xf numFmtId="0" fontId="24" fillId="0" borderId="0" xfId="0" applyFont="1" applyBorder="1" applyAlignment="1">
      <alignment horizontal="justify" wrapText="1"/>
    </xf>
    <xf numFmtId="0" fontId="0" fillId="0" borderId="0" xfId="0" applyAlignment="1">
      <alignment horizontal="left" wrapText="1"/>
    </xf>
  </cellXfs>
  <cellStyles count="25">
    <cellStyle name="Hipervínculo" xfId="24" builtinId="8"/>
    <cellStyle name="Hipervínculo 2" xfId="20"/>
    <cellStyle name="Millares" xfId="1" builtinId="3"/>
    <cellStyle name="Millares [0]" xfId="23" builtinId="6"/>
    <cellStyle name="Millares [0] 2" xfId="18"/>
    <cellStyle name="Millares [0] 3" xfId="22"/>
    <cellStyle name="Millares 2 2" xfId="6"/>
    <cellStyle name="Millares 2 2 2" xfId="19"/>
    <cellStyle name="Millares 6" xfId="21"/>
    <cellStyle name="Moneda" xfId="15" builtinId="4"/>
    <cellStyle name="Moneda 2" xfId="4"/>
    <cellStyle name="Moneda 2 2" xfId="3"/>
    <cellStyle name="Normal" xfId="0" builtinId="0"/>
    <cellStyle name="Normal 2" xfId="12"/>
    <cellStyle name="Normal 2 2" xfId="2"/>
    <cellStyle name="Normal 2 2 3 3" xfId="14"/>
    <cellStyle name="Normal 2 2 4" xfId="9"/>
    <cellStyle name="Normal 2 2 4 3" xfId="11"/>
    <cellStyle name="Normal 2 2 5" xfId="16"/>
    <cellStyle name="Normal 2 3 2" xfId="10"/>
    <cellStyle name="Normal 2 4" xfId="17"/>
    <cellStyle name="Normal 3 2" xfId="5"/>
    <cellStyle name="Normal 3 3" xfId="13"/>
    <cellStyle name="Porcentaje" xfId="8" builtinId="5"/>
    <cellStyle name="Porcentaje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21" Type="http://schemas.openxmlformats.org/officeDocument/2006/relationships/externalLink" Target="externalLinks/externalLink6.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638969</xdr:colOff>
      <xdr:row>25</xdr:row>
      <xdr:rowOff>575469</xdr:rowOff>
    </xdr:from>
    <xdr:to>
      <xdr:col>2</xdr:col>
      <xdr:colOff>867569</xdr:colOff>
      <xdr:row>25</xdr:row>
      <xdr:rowOff>689769</xdr:rowOff>
    </xdr:to>
    <xdr:sp macro="" textlink="">
      <xdr:nvSpPr>
        <xdr:cNvPr id="2" name="Rectángulo 1">
          <a:extLst>
            <a:ext uri="{FF2B5EF4-FFF2-40B4-BE49-F238E27FC236}">
              <a16:creationId xmlns:a16="http://schemas.microsoft.com/office/drawing/2014/main" id="{65D41872-5575-40A2-8CD4-A072742F37C3}"/>
            </a:ext>
          </a:extLst>
        </xdr:cNvPr>
        <xdr:cNvSpPr/>
      </xdr:nvSpPr>
      <xdr:spPr>
        <a:xfrm>
          <a:off x="2848769" y="8963819"/>
          <a:ext cx="228600" cy="1143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632619</xdr:colOff>
      <xdr:row>25</xdr:row>
      <xdr:rowOff>788988</xdr:rowOff>
    </xdr:from>
    <xdr:to>
      <xdr:col>2</xdr:col>
      <xdr:colOff>861219</xdr:colOff>
      <xdr:row>25</xdr:row>
      <xdr:rowOff>903288</xdr:rowOff>
    </xdr:to>
    <xdr:sp macro="" textlink="">
      <xdr:nvSpPr>
        <xdr:cNvPr id="3" name="Rectángulo 2">
          <a:extLst>
            <a:ext uri="{FF2B5EF4-FFF2-40B4-BE49-F238E27FC236}">
              <a16:creationId xmlns:a16="http://schemas.microsoft.com/office/drawing/2014/main" id="{B0479C0D-D79C-41B3-B97E-B47207A9872E}"/>
            </a:ext>
          </a:extLst>
        </xdr:cNvPr>
        <xdr:cNvSpPr/>
      </xdr:nvSpPr>
      <xdr:spPr>
        <a:xfrm>
          <a:off x="2842419" y="9177338"/>
          <a:ext cx="228600" cy="11430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626269</xdr:colOff>
      <xdr:row>25</xdr:row>
      <xdr:rowOff>961231</xdr:rowOff>
    </xdr:from>
    <xdr:to>
      <xdr:col>2</xdr:col>
      <xdr:colOff>854869</xdr:colOff>
      <xdr:row>25</xdr:row>
      <xdr:rowOff>1075531</xdr:rowOff>
    </xdr:to>
    <xdr:sp macro="" textlink="">
      <xdr:nvSpPr>
        <xdr:cNvPr id="4" name="Rectángulo 3">
          <a:extLst>
            <a:ext uri="{FF2B5EF4-FFF2-40B4-BE49-F238E27FC236}">
              <a16:creationId xmlns:a16="http://schemas.microsoft.com/office/drawing/2014/main" id="{C1D40F4C-DAAC-45C1-9044-AF9FF7987305}"/>
            </a:ext>
          </a:extLst>
        </xdr:cNvPr>
        <xdr:cNvSpPr/>
      </xdr:nvSpPr>
      <xdr:spPr>
        <a:xfrm>
          <a:off x="2836069" y="9349581"/>
          <a:ext cx="228600" cy="1143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0</xdr:colOff>
      <xdr:row>0</xdr:row>
      <xdr:rowOff>0</xdr:rowOff>
    </xdr:from>
    <xdr:ext cx="1283242" cy="529167"/>
    <xdr:pic>
      <xdr:nvPicPr>
        <xdr:cNvPr id="5" name="Imagen 4" descr="C:\Users\NELLY\Documents\UPRA\upra madr prosperidad color.jpg">
          <a:extLst>
            <a:ext uri="{FF2B5EF4-FFF2-40B4-BE49-F238E27FC236}">
              <a16:creationId xmlns:a16="http://schemas.microsoft.com/office/drawing/2014/main" id="{AFD2A655-C384-46E8-89A9-FC15733F02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5611"/>
        <a:stretch>
          <a:fillRect/>
        </a:stretch>
      </xdr:blipFill>
      <xdr:spPr bwMode="auto">
        <a:xfrm>
          <a:off x="406400" y="0"/>
          <a:ext cx="1283242" cy="52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30</xdr:row>
      <xdr:rowOff>0</xdr:rowOff>
    </xdr:from>
    <xdr:ext cx="304800" cy="233818"/>
    <xdr:sp macro="" textlink="">
      <xdr:nvSpPr>
        <xdr:cNvPr id="2" name="AutoShape 1">
          <a:extLst>
            <a:ext uri="{FF2B5EF4-FFF2-40B4-BE49-F238E27FC236}">
              <a16:creationId xmlns:a16="http://schemas.microsoft.com/office/drawing/2014/main" id="{70A8E557-CE95-43D2-BB4D-11E25923D222}"/>
            </a:ext>
          </a:extLst>
        </xdr:cNvPr>
        <xdr:cNvSpPr>
          <a:spLocks noChangeAspect="1" noChangeArrowheads="1"/>
        </xdr:cNvSpPr>
      </xdr:nvSpPr>
      <xdr:spPr bwMode="auto">
        <a:xfrm>
          <a:off x="0" y="6625167"/>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04097"/>
    <xdr:sp macro="" textlink="">
      <xdr:nvSpPr>
        <xdr:cNvPr id="3" name="AutoShape 1">
          <a:extLst>
            <a:ext uri="{FF2B5EF4-FFF2-40B4-BE49-F238E27FC236}">
              <a16:creationId xmlns:a16="http://schemas.microsoft.com/office/drawing/2014/main" id="{5E3E6671-1ECA-4504-9FE2-A86394F04C74}"/>
            </a:ext>
          </a:extLst>
        </xdr:cNvPr>
        <xdr:cNvSpPr>
          <a:spLocks noChangeAspect="1" noChangeArrowheads="1"/>
        </xdr:cNvSpPr>
      </xdr:nvSpPr>
      <xdr:spPr bwMode="auto">
        <a:xfrm>
          <a:off x="0" y="18965333"/>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097"/>
    <xdr:sp macro="" textlink="">
      <xdr:nvSpPr>
        <xdr:cNvPr id="4" name="AutoShape 1">
          <a:extLst>
            <a:ext uri="{FF2B5EF4-FFF2-40B4-BE49-F238E27FC236}">
              <a16:creationId xmlns:a16="http://schemas.microsoft.com/office/drawing/2014/main" id="{F21D35C0-17DE-4243-BE74-17FE740A343F}"/>
            </a:ext>
          </a:extLst>
        </xdr:cNvPr>
        <xdr:cNvSpPr>
          <a:spLocks noChangeAspect="1" noChangeArrowheads="1"/>
        </xdr:cNvSpPr>
      </xdr:nvSpPr>
      <xdr:spPr bwMode="auto">
        <a:xfrm>
          <a:off x="0" y="17949333"/>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xdr:row>
      <xdr:rowOff>0</xdr:rowOff>
    </xdr:from>
    <xdr:ext cx="304800" cy="233818"/>
    <xdr:sp macro="" textlink="">
      <xdr:nvSpPr>
        <xdr:cNvPr id="5" name="AutoShape 1">
          <a:extLst>
            <a:ext uri="{FF2B5EF4-FFF2-40B4-BE49-F238E27FC236}">
              <a16:creationId xmlns:a16="http://schemas.microsoft.com/office/drawing/2014/main" id="{D36FF769-944B-480B-8EF3-923C6A8CC1F8}"/>
            </a:ext>
          </a:extLst>
        </xdr:cNvPr>
        <xdr:cNvSpPr>
          <a:spLocks noChangeAspect="1" noChangeArrowheads="1"/>
        </xdr:cNvSpPr>
      </xdr:nvSpPr>
      <xdr:spPr bwMode="auto">
        <a:xfrm>
          <a:off x="0" y="200660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304097"/>
    <xdr:sp macro="" textlink="">
      <xdr:nvSpPr>
        <xdr:cNvPr id="6" name="AutoShape 1">
          <a:extLst>
            <a:ext uri="{FF2B5EF4-FFF2-40B4-BE49-F238E27FC236}">
              <a16:creationId xmlns:a16="http://schemas.microsoft.com/office/drawing/2014/main" id="{E89ABF5D-74B3-4D61-9AB6-CFD4CBB8069D}"/>
            </a:ext>
          </a:extLst>
        </xdr:cNvPr>
        <xdr:cNvSpPr>
          <a:spLocks noChangeAspect="1" noChangeArrowheads="1"/>
        </xdr:cNvSpPr>
      </xdr:nvSpPr>
      <xdr:spPr bwMode="auto">
        <a:xfrm>
          <a:off x="0" y="1732491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31</xdr:row>
      <xdr:rowOff>0</xdr:rowOff>
    </xdr:from>
    <xdr:ext cx="304800" cy="233818"/>
    <xdr:sp macro="" textlink="">
      <xdr:nvSpPr>
        <xdr:cNvPr id="2" name="AutoShape 1">
          <a:extLst>
            <a:ext uri="{FF2B5EF4-FFF2-40B4-BE49-F238E27FC236}">
              <a16:creationId xmlns:a16="http://schemas.microsoft.com/office/drawing/2014/main" id="{A63B2667-16FE-4B9B-849E-EB5CD7184DD6}"/>
            </a:ext>
          </a:extLst>
        </xdr:cNvPr>
        <xdr:cNvSpPr>
          <a:spLocks noChangeAspect="1" noChangeArrowheads="1"/>
        </xdr:cNvSpPr>
      </xdr:nvSpPr>
      <xdr:spPr bwMode="auto">
        <a:xfrm>
          <a:off x="0" y="77597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097"/>
    <xdr:sp macro="" textlink="">
      <xdr:nvSpPr>
        <xdr:cNvPr id="3" name="AutoShape 1">
          <a:extLst>
            <a:ext uri="{FF2B5EF4-FFF2-40B4-BE49-F238E27FC236}">
              <a16:creationId xmlns:a16="http://schemas.microsoft.com/office/drawing/2014/main" id="{517D0630-E377-4DA0-99BF-AF391A3A874A}"/>
            </a:ext>
          </a:extLst>
        </xdr:cNvPr>
        <xdr:cNvSpPr>
          <a:spLocks noChangeAspect="1" noChangeArrowheads="1"/>
        </xdr:cNvSpPr>
      </xdr:nvSpPr>
      <xdr:spPr bwMode="auto">
        <a:xfrm>
          <a:off x="0" y="123317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097"/>
    <xdr:sp macro="" textlink="">
      <xdr:nvSpPr>
        <xdr:cNvPr id="4" name="AutoShape 1">
          <a:extLst>
            <a:ext uri="{FF2B5EF4-FFF2-40B4-BE49-F238E27FC236}">
              <a16:creationId xmlns:a16="http://schemas.microsoft.com/office/drawing/2014/main" id="{426C25E9-771C-451A-AD73-9B2712817F4B}"/>
            </a:ext>
          </a:extLst>
        </xdr:cNvPr>
        <xdr:cNvSpPr>
          <a:spLocks noChangeAspect="1" noChangeArrowheads="1"/>
        </xdr:cNvSpPr>
      </xdr:nvSpPr>
      <xdr:spPr bwMode="auto">
        <a:xfrm>
          <a:off x="0" y="10722429"/>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304800" cy="304097"/>
    <xdr:sp macro="" textlink="">
      <xdr:nvSpPr>
        <xdr:cNvPr id="5" name="AutoShape 1">
          <a:extLst>
            <a:ext uri="{FF2B5EF4-FFF2-40B4-BE49-F238E27FC236}">
              <a16:creationId xmlns:a16="http://schemas.microsoft.com/office/drawing/2014/main" id="{7C13FF45-8EE3-4DF1-BB09-0D737F9C97AB}"/>
            </a:ext>
          </a:extLst>
        </xdr:cNvPr>
        <xdr:cNvSpPr>
          <a:spLocks noChangeAspect="1" noChangeArrowheads="1"/>
        </xdr:cNvSpPr>
      </xdr:nvSpPr>
      <xdr:spPr bwMode="auto">
        <a:xfrm>
          <a:off x="0" y="16473714"/>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333375</xdr:colOff>
      <xdr:row>0</xdr:row>
      <xdr:rowOff>0</xdr:rowOff>
    </xdr:from>
    <xdr:ext cx="1283242" cy="529167"/>
    <xdr:pic>
      <xdr:nvPicPr>
        <xdr:cNvPr id="2" name="Imagen 1" descr="C:\Users\NELLY\Documents\UPRA\upra madr prosperidad color.jpg">
          <a:extLst>
            <a:ext uri="{FF2B5EF4-FFF2-40B4-BE49-F238E27FC236}">
              <a16:creationId xmlns:a16="http://schemas.microsoft.com/office/drawing/2014/main" id="{18930C6B-8F16-441A-B8C2-98230B390F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5611"/>
        <a:stretch>
          <a:fillRect/>
        </a:stretch>
      </xdr:blipFill>
      <xdr:spPr bwMode="auto">
        <a:xfrm>
          <a:off x="390525" y="0"/>
          <a:ext cx="1283242" cy="52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15</xdr:col>
      <xdr:colOff>198436</xdr:colOff>
      <xdr:row>0</xdr:row>
      <xdr:rowOff>23806</xdr:rowOff>
    </xdr:from>
    <xdr:to>
      <xdr:col>16</xdr:col>
      <xdr:colOff>1271595</xdr:colOff>
      <xdr:row>2</xdr:row>
      <xdr:rowOff>154067</xdr:rowOff>
    </xdr:to>
    <xdr:pic>
      <xdr:nvPicPr>
        <xdr:cNvPr id="3" name="Imagen 2">
          <a:extLst>
            <a:ext uri="{FF2B5EF4-FFF2-40B4-BE49-F238E27FC236}">
              <a16:creationId xmlns:a16="http://schemas.microsoft.com/office/drawing/2014/main" id="{D9576DC0-02F3-4DB5-865D-C49573704D5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235" r="34137" b="13235"/>
        <a:stretch/>
      </xdr:blipFill>
      <xdr:spPr>
        <a:xfrm>
          <a:off x="12212636" y="23806"/>
          <a:ext cx="2295534" cy="498561"/>
        </a:xfrm>
        <a:prstGeom prst="rect">
          <a:avLst/>
        </a:prstGeom>
      </xdr:spPr>
    </xdr:pic>
    <xdr:clientData/>
  </xdr:twoCellAnchor>
  <xdr:twoCellAnchor>
    <xdr:from>
      <xdr:col>11</xdr:col>
      <xdr:colOff>492950</xdr:colOff>
      <xdr:row>12</xdr:row>
      <xdr:rowOff>145143</xdr:rowOff>
    </xdr:from>
    <xdr:to>
      <xdr:col>15</xdr:col>
      <xdr:colOff>217715</xdr:colOff>
      <xdr:row>16</xdr:row>
      <xdr:rowOff>0</xdr:rowOff>
    </xdr:to>
    <xdr:sp macro="" textlink="">
      <xdr:nvSpPr>
        <xdr:cNvPr id="4" name="Rectángulo 3">
          <a:extLst>
            <a:ext uri="{FF2B5EF4-FFF2-40B4-BE49-F238E27FC236}">
              <a16:creationId xmlns:a16="http://schemas.microsoft.com/office/drawing/2014/main" id="{384DBF12-0E87-4D08-8590-036B87CB9686}"/>
            </a:ext>
          </a:extLst>
        </xdr:cNvPr>
        <xdr:cNvSpPr/>
      </xdr:nvSpPr>
      <xdr:spPr>
        <a:xfrm>
          <a:off x="9922700" y="9981293"/>
          <a:ext cx="2309215" cy="2706007"/>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467933</xdr:colOff>
      <xdr:row>156</xdr:row>
      <xdr:rowOff>0</xdr:rowOff>
    </xdr:from>
    <xdr:to>
      <xdr:col>38</xdr:col>
      <xdr:colOff>90712</xdr:colOff>
      <xdr:row>170</xdr:row>
      <xdr:rowOff>64537</xdr:rowOff>
    </xdr:to>
    <xdr:pic>
      <xdr:nvPicPr>
        <xdr:cNvPr id="2" name="Imagen 1">
          <a:extLst>
            <a:ext uri="{FF2B5EF4-FFF2-40B4-BE49-F238E27FC236}">
              <a16:creationId xmlns:a16="http://schemas.microsoft.com/office/drawing/2014/main" id="{3841625E-EE8B-440D-BD33-3DB342712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36083" y="25393650"/>
          <a:ext cx="10913079" cy="2909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467933</xdr:colOff>
      <xdr:row>156</xdr:row>
      <xdr:rowOff>0</xdr:rowOff>
    </xdr:from>
    <xdr:ext cx="10925778" cy="2993476"/>
    <xdr:pic>
      <xdr:nvPicPr>
        <xdr:cNvPr id="3" name="Imagen 2">
          <a:extLst>
            <a:ext uri="{FF2B5EF4-FFF2-40B4-BE49-F238E27FC236}">
              <a16:creationId xmlns:a16="http://schemas.microsoft.com/office/drawing/2014/main" id="{2B791EDB-09D3-4D1B-94F3-5E02E5C9B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36083" y="25393650"/>
          <a:ext cx="10925778" cy="29934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261937</xdr:colOff>
      <xdr:row>136</xdr:row>
      <xdr:rowOff>222250</xdr:rowOff>
    </xdr:from>
    <xdr:to>
      <xdr:col>7</xdr:col>
      <xdr:colOff>569917</xdr:colOff>
      <xdr:row>150</xdr:row>
      <xdr:rowOff>159371</xdr:rowOff>
    </xdr:to>
    <xdr:pic>
      <xdr:nvPicPr>
        <xdr:cNvPr id="4" name="Imagen 3">
          <a:extLst>
            <a:ext uri="{FF2B5EF4-FFF2-40B4-BE49-F238E27FC236}">
              <a16:creationId xmlns:a16="http://schemas.microsoft.com/office/drawing/2014/main" id="{C142B6BA-39D1-4185-A39C-A886F51D7B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27187" y="21882100"/>
          <a:ext cx="1997080" cy="2604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47</xdr:row>
      <xdr:rowOff>0</xdr:rowOff>
    </xdr:from>
    <xdr:ext cx="304800" cy="233818"/>
    <xdr:sp macro="" textlink="">
      <xdr:nvSpPr>
        <xdr:cNvPr id="2" name="AutoShape 1">
          <a:extLst>
            <a:ext uri="{FF2B5EF4-FFF2-40B4-BE49-F238E27FC236}">
              <a16:creationId xmlns:a16="http://schemas.microsoft.com/office/drawing/2014/main" id="{1E1D9244-1397-404C-A52E-B3A34DAF54B8}"/>
            </a:ext>
          </a:extLst>
        </xdr:cNvPr>
        <xdr:cNvSpPr>
          <a:spLocks noChangeAspect="1" noChangeArrowheads="1"/>
        </xdr:cNvSpPr>
      </xdr:nvSpPr>
      <xdr:spPr bwMode="auto">
        <a:xfrm>
          <a:off x="0" y="97409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097"/>
    <xdr:sp macro="" textlink="">
      <xdr:nvSpPr>
        <xdr:cNvPr id="3" name="AutoShape 1">
          <a:extLst>
            <a:ext uri="{FF2B5EF4-FFF2-40B4-BE49-F238E27FC236}">
              <a16:creationId xmlns:a16="http://schemas.microsoft.com/office/drawing/2014/main" id="{85A67FE6-3FCD-413E-A3DF-C92D035ECBB5}"/>
            </a:ext>
          </a:extLst>
        </xdr:cNvPr>
        <xdr:cNvSpPr>
          <a:spLocks noChangeAspect="1" noChangeArrowheads="1"/>
        </xdr:cNvSpPr>
      </xdr:nvSpPr>
      <xdr:spPr bwMode="auto">
        <a:xfrm>
          <a:off x="0" y="170688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127</xdr:row>
      <xdr:rowOff>0</xdr:rowOff>
    </xdr:from>
    <xdr:ext cx="304800" cy="233818"/>
    <xdr:sp macro="" textlink="">
      <xdr:nvSpPr>
        <xdr:cNvPr id="4" name="AutoShape 1">
          <a:extLst>
            <a:ext uri="{FF2B5EF4-FFF2-40B4-BE49-F238E27FC236}">
              <a16:creationId xmlns:a16="http://schemas.microsoft.com/office/drawing/2014/main" id="{1AB811DE-17F0-48C0-A7FB-80808B9481D1}"/>
            </a:ext>
          </a:extLst>
        </xdr:cNvPr>
        <xdr:cNvSpPr>
          <a:spLocks noChangeAspect="1" noChangeArrowheads="1"/>
        </xdr:cNvSpPr>
      </xdr:nvSpPr>
      <xdr:spPr bwMode="auto">
        <a:xfrm>
          <a:off x="0" y="97409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46</xdr:row>
      <xdr:rowOff>0</xdr:rowOff>
    </xdr:from>
    <xdr:ext cx="304800" cy="233818"/>
    <xdr:sp macro="" textlink="">
      <xdr:nvSpPr>
        <xdr:cNvPr id="2" name="AutoShape 1">
          <a:extLst>
            <a:ext uri="{FF2B5EF4-FFF2-40B4-BE49-F238E27FC236}">
              <a16:creationId xmlns:a16="http://schemas.microsoft.com/office/drawing/2014/main" id="{C2A6685C-D622-4667-8021-C40869563C21}"/>
            </a:ext>
          </a:extLst>
        </xdr:cNvPr>
        <xdr:cNvSpPr>
          <a:spLocks noChangeAspect="1" noChangeArrowheads="1"/>
        </xdr:cNvSpPr>
      </xdr:nvSpPr>
      <xdr:spPr bwMode="auto">
        <a:xfrm>
          <a:off x="0" y="1176655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xdr:row>
      <xdr:rowOff>0</xdr:rowOff>
    </xdr:from>
    <xdr:ext cx="304800" cy="304097"/>
    <xdr:sp macro="" textlink="">
      <xdr:nvSpPr>
        <xdr:cNvPr id="3" name="AutoShape 1">
          <a:extLst>
            <a:ext uri="{FF2B5EF4-FFF2-40B4-BE49-F238E27FC236}">
              <a16:creationId xmlns:a16="http://schemas.microsoft.com/office/drawing/2014/main" id="{EF2A9ADB-796F-4B38-8599-C806046E6CE1}"/>
            </a:ext>
          </a:extLst>
        </xdr:cNvPr>
        <xdr:cNvSpPr>
          <a:spLocks noChangeAspect="1" noChangeArrowheads="1"/>
        </xdr:cNvSpPr>
      </xdr:nvSpPr>
      <xdr:spPr bwMode="auto">
        <a:xfrm>
          <a:off x="0" y="192786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159</xdr:row>
      <xdr:rowOff>0</xdr:rowOff>
    </xdr:from>
    <xdr:ext cx="304800" cy="304097"/>
    <xdr:sp macro="" textlink="">
      <xdr:nvSpPr>
        <xdr:cNvPr id="4" name="AutoShape 1">
          <a:extLst>
            <a:ext uri="{FF2B5EF4-FFF2-40B4-BE49-F238E27FC236}">
              <a16:creationId xmlns:a16="http://schemas.microsoft.com/office/drawing/2014/main" id="{9FACDE80-80EB-4273-9629-CAF0B22E451F}"/>
            </a:ext>
          </a:extLst>
        </xdr:cNvPr>
        <xdr:cNvSpPr>
          <a:spLocks noChangeAspect="1" noChangeArrowheads="1"/>
        </xdr:cNvSpPr>
      </xdr:nvSpPr>
      <xdr:spPr bwMode="auto">
        <a:xfrm>
          <a:off x="0" y="251523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244</xdr:row>
      <xdr:rowOff>0</xdr:rowOff>
    </xdr:from>
    <xdr:ext cx="304800" cy="304097"/>
    <xdr:sp macro="" textlink="">
      <xdr:nvSpPr>
        <xdr:cNvPr id="5" name="AutoShape 1">
          <a:extLst>
            <a:ext uri="{FF2B5EF4-FFF2-40B4-BE49-F238E27FC236}">
              <a16:creationId xmlns:a16="http://schemas.microsoft.com/office/drawing/2014/main" id="{77902DBF-D648-472F-8A66-D74FF23B3873}"/>
            </a:ext>
          </a:extLst>
        </xdr:cNvPr>
        <xdr:cNvSpPr>
          <a:spLocks noChangeAspect="1" noChangeArrowheads="1"/>
        </xdr:cNvSpPr>
      </xdr:nvSpPr>
      <xdr:spPr bwMode="auto">
        <a:xfrm>
          <a:off x="0" y="351917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148</xdr:row>
      <xdr:rowOff>0</xdr:rowOff>
    </xdr:from>
    <xdr:ext cx="304800" cy="233818"/>
    <xdr:sp macro="" textlink="">
      <xdr:nvSpPr>
        <xdr:cNvPr id="6" name="AutoShape 1">
          <a:extLst>
            <a:ext uri="{FF2B5EF4-FFF2-40B4-BE49-F238E27FC236}">
              <a16:creationId xmlns:a16="http://schemas.microsoft.com/office/drawing/2014/main" id="{6AA7F1C1-8933-418B-8125-73E995BE81EF}"/>
            </a:ext>
          </a:extLst>
        </xdr:cNvPr>
        <xdr:cNvSpPr>
          <a:spLocks noChangeAspect="1" noChangeArrowheads="1"/>
        </xdr:cNvSpPr>
      </xdr:nvSpPr>
      <xdr:spPr bwMode="auto">
        <a:xfrm>
          <a:off x="0" y="2372995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161</xdr:row>
      <xdr:rowOff>0</xdr:rowOff>
    </xdr:from>
    <xdr:ext cx="304800" cy="304097"/>
    <xdr:sp macro="" textlink="">
      <xdr:nvSpPr>
        <xdr:cNvPr id="7" name="AutoShape 1">
          <a:extLst>
            <a:ext uri="{FF2B5EF4-FFF2-40B4-BE49-F238E27FC236}">
              <a16:creationId xmlns:a16="http://schemas.microsoft.com/office/drawing/2014/main" id="{791BD048-87BA-4E34-A06F-D85C1D8F21BB}"/>
            </a:ext>
          </a:extLst>
        </xdr:cNvPr>
        <xdr:cNvSpPr>
          <a:spLocks noChangeAspect="1" noChangeArrowheads="1"/>
        </xdr:cNvSpPr>
      </xdr:nvSpPr>
      <xdr:spPr bwMode="auto">
        <a:xfrm>
          <a:off x="0" y="251523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xdr:row>
      <xdr:rowOff>0</xdr:rowOff>
    </xdr:from>
    <xdr:ext cx="304800" cy="233818"/>
    <xdr:sp macro="" textlink="">
      <xdr:nvSpPr>
        <xdr:cNvPr id="8" name="AutoShape 1">
          <a:extLst>
            <a:ext uri="{FF2B5EF4-FFF2-40B4-BE49-F238E27FC236}">
              <a16:creationId xmlns:a16="http://schemas.microsoft.com/office/drawing/2014/main" id="{14BDBFB7-37CF-477C-B928-470EB892696C}"/>
            </a:ext>
          </a:extLst>
        </xdr:cNvPr>
        <xdr:cNvSpPr>
          <a:spLocks noChangeAspect="1" noChangeArrowheads="1"/>
        </xdr:cNvSpPr>
      </xdr:nvSpPr>
      <xdr:spPr bwMode="auto">
        <a:xfrm>
          <a:off x="0" y="1176655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200</xdr:row>
      <xdr:rowOff>0</xdr:rowOff>
    </xdr:from>
    <xdr:ext cx="304800" cy="304097"/>
    <xdr:sp macro="" textlink="">
      <xdr:nvSpPr>
        <xdr:cNvPr id="9" name="AutoShape 1">
          <a:extLst>
            <a:ext uri="{FF2B5EF4-FFF2-40B4-BE49-F238E27FC236}">
              <a16:creationId xmlns:a16="http://schemas.microsoft.com/office/drawing/2014/main" id="{6A8B1B96-2E37-465F-91D6-D8AE1F0DB279}"/>
            </a:ext>
          </a:extLst>
        </xdr:cNvPr>
        <xdr:cNvSpPr>
          <a:spLocks noChangeAspect="1" noChangeArrowheads="1"/>
        </xdr:cNvSpPr>
      </xdr:nvSpPr>
      <xdr:spPr bwMode="auto">
        <a:xfrm>
          <a:off x="0" y="340360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193</xdr:row>
      <xdr:rowOff>0</xdr:rowOff>
    </xdr:from>
    <xdr:ext cx="304800" cy="233818"/>
    <xdr:sp macro="" textlink="">
      <xdr:nvSpPr>
        <xdr:cNvPr id="10" name="AutoShape 1">
          <a:extLst>
            <a:ext uri="{FF2B5EF4-FFF2-40B4-BE49-F238E27FC236}">
              <a16:creationId xmlns:a16="http://schemas.microsoft.com/office/drawing/2014/main" id="{007AD3CE-43F3-4866-8BE6-79F6415FB166}"/>
            </a:ext>
          </a:extLst>
        </xdr:cNvPr>
        <xdr:cNvSpPr>
          <a:spLocks noChangeAspect="1" noChangeArrowheads="1"/>
        </xdr:cNvSpPr>
      </xdr:nvSpPr>
      <xdr:spPr bwMode="auto">
        <a:xfrm>
          <a:off x="0" y="32115125"/>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203</xdr:row>
      <xdr:rowOff>0</xdr:rowOff>
    </xdr:from>
    <xdr:ext cx="304800" cy="304097"/>
    <xdr:sp macro="" textlink="">
      <xdr:nvSpPr>
        <xdr:cNvPr id="11" name="AutoShape 1">
          <a:extLst>
            <a:ext uri="{FF2B5EF4-FFF2-40B4-BE49-F238E27FC236}">
              <a16:creationId xmlns:a16="http://schemas.microsoft.com/office/drawing/2014/main" id="{B2806F08-8C20-4472-A1A0-6F14687D5406}"/>
            </a:ext>
          </a:extLst>
        </xdr:cNvPr>
        <xdr:cNvSpPr>
          <a:spLocks noChangeAspect="1" noChangeArrowheads="1"/>
        </xdr:cNvSpPr>
      </xdr:nvSpPr>
      <xdr:spPr bwMode="auto">
        <a:xfrm>
          <a:off x="0" y="354012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29</xdr:row>
      <xdr:rowOff>0</xdr:rowOff>
    </xdr:from>
    <xdr:ext cx="304800" cy="233818"/>
    <xdr:sp macro="" textlink="">
      <xdr:nvSpPr>
        <xdr:cNvPr id="2" name="AutoShape 1">
          <a:extLst>
            <a:ext uri="{FF2B5EF4-FFF2-40B4-BE49-F238E27FC236}">
              <a16:creationId xmlns:a16="http://schemas.microsoft.com/office/drawing/2014/main" id="{518FA594-E5D6-4DA8-BB65-3BF1AC01C1E7}"/>
            </a:ext>
          </a:extLst>
        </xdr:cNvPr>
        <xdr:cNvSpPr>
          <a:spLocks noChangeAspect="1" noChangeArrowheads="1"/>
        </xdr:cNvSpPr>
      </xdr:nvSpPr>
      <xdr:spPr bwMode="auto">
        <a:xfrm>
          <a:off x="0" y="5642429"/>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xdr:row>
      <xdr:rowOff>0</xdr:rowOff>
    </xdr:from>
    <xdr:ext cx="304800" cy="304097"/>
    <xdr:sp macro="" textlink="">
      <xdr:nvSpPr>
        <xdr:cNvPr id="3" name="AutoShape 1">
          <a:extLst>
            <a:ext uri="{FF2B5EF4-FFF2-40B4-BE49-F238E27FC236}">
              <a16:creationId xmlns:a16="http://schemas.microsoft.com/office/drawing/2014/main" id="{A77FDF64-E0A7-4D9C-8DF2-E6B9CB74FB27}"/>
            </a:ext>
          </a:extLst>
        </xdr:cNvPr>
        <xdr:cNvSpPr>
          <a:spLocks noChangeAspect="1" noChangeArrowheads="1"/>
        </xdr:cNvSpPr>
      </xdr:nvSpPr>
      <xdr:spPr bwMode="auto">
        <a:xfrm>
          <a:off x="0" y="9243786"/>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04097"/>
    <xdr:sp macro="" textlink="">
      <xdr:nvSpPr>
        <xdr:cNvPr id="4" name="AutoShape 1">
          <a:extLst>
            <a:ext uri="{FF2B5EF4-FFF2-40B4-BE49-F238E27FC236}">
              <a16:creationId xmlns:a16="http://schemas.microsoft.com/office/drawing/2014/main" id="{A4F7A22B-6FA8-4D3D-9182-EB7121454A72}"/>
            </a:ext>
          </a:extLst>
        </xdr:cNvPr>
        <xdr:cNvSpPr>
          <a:spLocks noChangeAspect="1" noChangeArrowheads="1"/>
        </xdr:cNvSpPr>
      </xdr:nvSpPr>
      <xdr:spPr bwMode="auto">
        <a:xfrm>
          <a:off x="0" y="186690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233818"/>
    <xdr:sp macro="" textlink="">
      <xdr:nvSpPr>
        <xdr:cNvPr id="5" name="AutoShape 1">
          <a:extLst>
            <a:ext uri="{FF2B5EF4-FFF2-40B4-BE49-F238E27FC236}">
              <a16:creationId xmlns:a16="http://schemas.microsoft.com/office/drawing/2014/main" id="{5E00B69D-8AE0-4EC2-9197-84C9BA0E366D}"/>
            </a:ext>
          </a:extLst>
        </xdr:cNvPr>
        <xdr:cNvSpPr>
          <a:spLocks noChangeAspect="1" noChangeArrowheads="1"/>
        </xdr:cNvSpPr>
      </xdr:nvSpPr>
      <xdr:spPr bwMode="auto">
        <a:xfrm>
          <a:off x="0" y="1176655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xdr:row>
      <xdr:rowOff>0</xdr:rowOff>
    </xdr:from>
    <xdr:ext cx="304800" cy="233818"/>
    <xdr:sp macro="" textlink="">
      <xdr:nvSpPr>
        <xdr:cNvPr id="6" name="AutoShape 1">
          <a:extLst>
            <a:ext uri="{FF2B5EF4-FFF2-40B4-BE49-F238E27FC236}">
              <a16:creationId xmlns:a16="http://schemas.microsoft.com/office/drawing/2014/main" id="{CC89EFCF-BDA8-46AC-A084-D239BA755BC6}"/>
            </a:ext>
          </a:extLst>
        </xdr:cNvPr>
        <xdr:cNvSpPr>
          <a:spLocks noChangeAspect="1" noChangeArrowheads="1"/>
        </xdr:cNvSpPr>
      </xdr:nvSpPr>
      <xdr:spPr bwMode="auto">
        <a:xfrm>
          <a:off x="0" y="12170833"/>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233818"/>
    <xdr:sp macro="" textlink="">
      <xdr:nvSpPr>
        <xdr:cNvPr id="7" name="AutoShape 1">
          <a:extLst>
            <a:ext uri="{FF2B5EF4-FFF2-40B4-BE49-F238E27FC236}">
              <a16:creationId xmlns:a16="http://schemas.microsoft.com/office/drawing/2014/main" id="{1647260C-95F6-440A-B40E-25C21C2C3D1A}"/>
            </a:ext>
          </a:extLst>
        </xdr:cNvPr>
        <xdr:cNvSpPr>
          <a:spLocks noChangeAspect="1" noChangeArrowheads="1"/>
        </xdr:cNvSpPr>
      </xdr:nvSpPr>
      <xdr:spPr bwMode="auto">
        <a:xfrm>
          <a:off x="0" y="55880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04097"/>
    <xdr:sp macro="" textlink="">
      <xdr:nvSpPr>
        <xdr:cNvPr id="8" name="AutoShape 1">
          <a:extLst>
            <a:ext uri="{FF2B5EF4-FFF2-40B4-BE49-F238E27FC236}">
              <a16:creationId xmlns:a16="http://schemas.microsoft.com/office/drawing/2014/main" id="{7163D644-BBD2-4F8A-B6BC-F5BB813585C6}"/>
            </a:ext>
          </a:extLst>
        </xdr:cNvPr>
        <xdr:cNvSpPr>
          <a:spLocks noChangeAspect="1" noChangeArrowheads="1"/>
        </xdr:cNvSpPr>
      </xdr:nvSpPr>
      <xdr:spPr bwMode="auto">
        <a:xfrm>
          <a:off x="0" y="111125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26</xdr:row>
      <xdr:rowOff>0</xdr:rowOff>
    </xdr:from>
    <xdr:ext cx="304800" cy="233818"/>
    <xdr:sp macro="" textlink="">
      <xdr:nvSpPr>
        <xdr:cNvPr id="2" name="AutoShape 1">
          <a:extLst>
            <a:ext uri="{FF2B5EF4-FFF2-40B4-BE49-F238E27FC236}">
              <a16:creationId xmlns:a16="http://schemas.microsoft.com/office/drawing/2014/main" id="{69433735-7EF7-48E7-A5E4-4DDC5C858871}"/>
            </a:ext>
          </a:extLst>
        </xdr:cNvPr>
        <xdr:cNvSpPr>
          <a:spLocks noChangeAspect="1" noChangeArrowheads="1"/>
        </xdr:cNvSpPr>
      </xdr:nvSpPr>
      <xdr:spPr bwMode="auto">
        <a:xfrm>
          <a:off x="0" y="46355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xdr:row>
      <xdr:rowOff>0</xdr:rowOff>
    </xdr:from>
    <xdr:ext cx="304800" cy="304097"/>
    <xdr:sp macro="" textlink="">
      <xdr:nvSpPr>
        <xdr:cNvPr id="3" name="AutoShape 1">
          <a:extLst>
            <a:ext uri="{FF2B5EF4-FFF2-40B4-BE49-F238E27FC236}">
              <a16:creationId xmlns:a16="http://schemas.microsoft.com/office/drawing/2014/main" id="{24D3EB9A-4D7E-42EF-920C-71BF84F9C26E}"/>
            </a:ext>
          </a:extLst>
        </xdr:cNvPr>
        <xdr:cNvSpPr>
          <a:spLocks noChangeAspect="1" noChangeArrowheads="1"/>
        </xdr:cNvSpPr>
      </xdr:nvSpPr>
      <xdr:spPr bwMode="auto">
        <a:xfrm>
          <a:off x="0" y="81978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xdr:row>
      <xdr:rowOff>0</xdr:rowOff>
    </xdr:from>
    <xdr:ext cx="304800" cy="304097"/>
    <xdr:sp macro="" textlink="">
      <xdr:nvSpPr>
        <xdr:cNvPr id="4" name="AutoShape 1">
          <a:extLst>
            <a:ext uri="{FF2B5EF4-FFF2-40B4-BE49-F238E27FC236}">
              <a16:creationId xmlns:a16="http://schemas.microsoft.com/office/drawing/2014/main" id="{22FABA66-BF1A-4164-AFAF-3F26A9326A48}"/>
            </a:ext>
          </a:extLst>
        </xdr:cNvPr>
        <xdr:cNvSpPr>
          <a:spLocks noChangeAspect="1" noChangeArrowheads="1"/>
        </xdr:cNvSpPr>
      </xdr:nvSpPr>
      <xdr:spPr bwMode="auto">
        <a:xfrm>
          <a:off x="0" y="143764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xdr:row>
      <xdr:rowOff>0</xdr:rowOff>
    </xdr:from>
    <xdr:ext cx="304800" cy="233818"/>
    <xdr:sp macro="" textlink="">
      <xdr:nvSpPr>
        <xdr:cNvPr id="5" name="AutoShape 1">
          <a:extLst>
            <a:ext uri="{FF2B5EF4-FFF2-40B4-BE49-F238E27FC236}">
              <a16:creationId xmlns:a16="http://schemas.microsoft.com/office/drawing/2014/main" id="{AD22999B-440F-445A-A0F4-4DF9F4FA9BDA}"/>
            </a:ext>
          </a:extLst>
        </xdr:cNvPr>
        <xdr:cNvSpPr>
          <a:spLocks noChangeAspect="1" noChangeArrowheads="1"/>
        </xdr:cNvSpPr>
      </xdr:nvSpPr>
      <xdr:spPr bwMode="auto">
        <a:xfrm>
          <a:off x="0" y="120904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233818"/>
    <xdr:sp macro="" textlink="">
      <xdr:nvSpPr>
        <xdr:cNvPr id="6" name="AutoShape 1">
          <a:extLst>
            <a:ext uri="{FF2B5EF4-FFF2-40B4-BE49-F238E27FC236}">
              <a16:creationId xmlns:a16="http://schemas.microsoft.com/office/drawing/2014/main" id="{70C3C81E-D6DA-46A7-8DF8-0ABAFEB2397A}"/>
            </a:ext>
          </a:extLst>
        </xdr:cNvPr>
        <xdr:cNvSpPr>
          <a:spLocks noChangeAspect="1" noChangeArrowheads="1"/>
        </xdr:cNvSpPr>
      </xdr:nvSpPr>
      <xdr:spPr bwMode="auto">
        <a:xfrm>
          <a:off x="0" y="5027083"/>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xdr:row>
      <xdr:rowOff>0</xdr:rowOff>
    </xdr:from>
    <xdr:ext cx="304800" cy="304097"/>
    <xdr:sp macro="" textlink="">
      <xdr:nvSpPr>
        <xdr:cNvPr id="7" name="AutoShape 1">
          <a:extLst>
            <a:ext uri="{FF2B5EF4-FFF2-40B4-BE49-F238E27FC236}">
              <a16:creationId xmlns:a16="http://schemas.microsoft.com/office/drawing/2014/main" id="{DAD67CC9-8D5F-4E71-9A04-0DCF09D16124}"/>
            </a:ext>
          </a:extLst>
        </xdr:cNvPr>
        <xdr:cNvSpPr>
          <a:spLocks noChangeAspect="1" noChangeArrowheads="1"/>
        </xdr:cNvSpPr>
      </xdr:nvSpPr>
      <xdr:spPr bwMode="auto">
        <a:xfrm>
          <a:off x="0" y="248158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xdr:row>
      <xdr:rowOff>0</xdr:rowOff>
    </xdr:from>
    <xdr:ext cx="304800" cy="304097"/>
    <xdr:sp macro="" textlink="">
      <xdr:nvSpPr>
        <xdr:cNvPr id="8" name="AutoShape 1">
          <a:extLst>
            <a:ext uri="{FF2B5EF4-FFF2-40B4-BE49-F238E27FC236}">
              <a16:creationId xmlns:a16="http://schemas.microsoft.com/office/drawing/2014/main" id="{27CF4CAE-2476-4079-A566-B6CE04E0AEB9}"/>
            </a:ext>
          </a:extLst>
        </xdr:cNvPr>
        <xdr:cNvSpPr>
          <a:spLocks noChangeAspect="1" noChangeArrowheads="1"/>
        </xdr:cNvSpPr>
      </xdr:nvSpPr>
      <xdr:spPr bwMode="auto">
        <a:xfrm>
          <a:off x="0" y="248158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097"/>
    <xdr:sp macro="" textlink="">
      <xdr:nvSpPr>
        <xdr:cNvPr id="9" name="AutoShape 1">
          <a:extLst>
            <a:ext uri="{FF2B5EF4-FFF2-40B4-BE49-F238E27FC236}">
              <a16:creationId xmlns:a16="http://schemas.microsoft.com/office/drawing/2014/main" id="{6AE021C5-97F2-4A25-B248-872813F32734}"/>
            </a:ext>
          </a:extLst>
        </xdr:cNvPr>
        <xdr:cNvSpPr>
          <a:spLocks noChangeAspect="1" noChangeArrowheads="1"/>
        </xdr:cNvSpPr>
      </xdr:nvSpPr>
      <xdr:spPr bwMode="auto">
        <a:xfrm>
          <a:off x="0" y="31432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097"/>
    <xdr:sp macro="" textlink="">
      <xdr:nvSpPr>
        <xdr:cNvPr id="10" name="AutoShape 1">
          <a:extLst>
            <a:ext uri="{FF2B5EF4-FFF2-40B4-BE49-F238E27FC236}">
              <a16:creationId xmlns:a16="http://schemas.microsoft.com/office/drawing/2014/main" id="{ED30B2FF-CE76-442A-B189-224DF46E6209}"/>
            </a:ext>
          </a:extLst>
        </xdr:cNvPr>
        <xdr:cNvSpPr>
          <a:spLocks noChangeAspect="1" noChangeArrowheads="1"/>
        </xdr:cNvSpPr>
      </xdr:nvSpPr>
      <xdr:spPr bwMode="auto">
        <a:xfrm>
          <a:off x="0" y="31432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xdr:row>
      <xdr:rowOff>0</xdr:rowOff>
    </xdr:from>
    <xdr:ext cx="304800" cy="304097"/>
    <xdr:sp macro="" textlink="">
      <xdr:nvSpPr>
        <xdr:cNvPr id="11" name="AutoShape 1">
          <a:extLst>
            <a:ext uri="{FF2B5EF4-FFF2-40B4-BE49-F238E27FC236}">
              <a16:creationId xmlns:a16="http://schemas.microsoft.com/office/drawing/2014/main" id="{A2C9111A-6787-4094-944E-948085313067}"/>
            </a:ext>
          </a:extLst>
        </xdr:cNvPr>
        <xdr:cNvSpPr>
          <a:spLocks noChangeAspect="1" noChangeArrowheads="1"/>
        </xdr:cNvSpPr>
      </xdr:nvSpPr>
      <xdr:spPr bwMode="auto">
        <a:xfrm>
          <a:off x="0" y="31432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xdr:row>
      <xdr:rowOff>0</xdr:rowOff>
    </xdr:from>
    <xdr:ext cx="304800" cy="304097"/>
    <xdr:sp macro="" textlink="">
      <xdr:nvSpPr>
        <xdr:cNvPr id="12" name="AutoShape 1">
          <a:extLst>
            <a:ext uri="{FF2B5EF4-FFF2-40B4-BE49-F238E27FC236}">
              <a16:creationId xmlns:a16="http://schemas.microsoft.com/office/drawing/2014/main" id="{E226E946-81E0-45D5-86A5-1947CEA109FB}"/>
            </a:ext>
          </a:extLst>
        </xdr:cNvPr>
        <xdr:cNvSpPr>
          <a:spLocks noChangeAspect="1" noChangeArrowheads="1"/>
        </xdr:cNvSpPr>
      </xdr:nvSpPr>
      <xdr:spPr bwMode="auto">
        <a:xfrm>
          <a:off x="0" y="31432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097"/>
    <xdr:sp macro="" textlink="">
      <xdr:nvSpPr>
        <xdr:cNvPr id="13" name="AutoShape 1">
          <a:extLst>
            <a:ext uri="{FF2B5EF4-FFF2-40B4-BE49-F238E27FC236}">
              <a16:creationId xmlns:a16="http://schemas.microsoft.com/office/drawing/2014/main" id="{78E30EDF-C9C5-40AA-9620-5131F64B6B70}"/>
            </a:ext>
          </a:extLst>
        </xdr:cNvPr>
        <xdr:cNvSpPr>
          <a:spLocks noChangeAspect="1" noChangeArrowheads="1"/>
        </xdr:cNvSpPr>
      </xdr:nvSpPr>
      <xdr:spPr bwMode="auto">
        <a:xfrm>
          <a:off x="0" y="376766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097"/>
    <xdr:sp macro="" textlink="">
      <xdr:nvSpPr>
        <xdr:cNvPr id="14" name="AutoShape 1">
          <a:extLst>
            <a:ext uri="{FF2B5EF4-FFF2-40B4-BE49-F238E27FC236}">
              <a16:creationId xmlns:a16="http://schemas.microsoft.com/office/drawing/2014/main" id="{5E120F9B-2F4F-47E7-AE4C-EF9020DECB4E}"/>
            </a:ext>
          </a:extLst>
        </xdr:cNvPr>
        <xdr:cNvSpPr>
          <a:spLocks noChangeAspect="1" noChangeArrowheads="1"/>
        </xdr:cNvSpPr>
      </xdr:nvSpPr>
      <xdr:spPr bwMode="auto">
        <a:xfrm>
          <a:off x="0" y="376766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45</xdr:row>
      <xdr:rowOff>0</xdr:rowOff>
    </xdr:from>
    <xdr:ext cx="304800" cy="233818"/>
    <xdr:sp macro="" textlink="">
      <xdr:nvSpPr>
        <xdr:cNvPr id="2" name="AutoShape 1">
          <a:extLst>
            <a:ext uri="{FF2B5EF4-FFF2-40B4-BE49-F238E27FC236}">
              <a16:creationId xmlns:a16="http://schemas.microsoft.com/office/drawing/2014/main" id="{85287483-4C43-45B1-907F-818F71232291}"/>
            </a:ext>
          </a:extLst>
        </xdr:cNvPr>
        <xdr:cNvSpPr>
          <a:spLocks noChangeAspect="1" noChangeArrowheads="1"/>
        </xdr:cNvSpPr>
      </xdr:nvSpPr>
      <xdr:spPr bwMode="auto">
        <a:xfrm>
          <a:off x="0" y="9726083"/>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097"/>
    <xdr:sp macro="" textlink="">
      <xdr:nvSpPr>
        <xdr:cNvPr id="3" name="AutoShape 1">
          <a:extLst>
            <a:ext uri="{FF2B5EF4-FFF2-40B4-BE49-F238E27FC236}">
              <a16:creationId xmlns:a16="http://schemas.microsoft.com/office/drawing/2014/main" id="{DD1B0CA4-6D64-4793-B0C0-BFC75C043B05}"/>
            </a:ext>
          </a:extLst>
        </xdr:cNvPr>
        <xdr:cNvSpPr>
          <a:spLocks noChangeAspect="1" noChangeArrowheads="1"/>
        </xdr:cNvSpPr>
      </xdr:nvSpPr>
      <xdr:spPr bwMode="auto">
        <a:xfrm>
          <a:off x="0" y="99060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04097"/>
    <xdr:sp macro="" textlink="">
      <xdr:nvSpPr>
        <xdr:cNvPr id="4" name="AutoShape 1">
          <a:extLst>
            <a:ext uri="{FF2B5EF4-FFF2-40B4-BE49-F238E27FC236}">
              <a16:creationId xmlns:a16="http://schemas.microsoft.com/office/drawing/2014/main" id="{0CFFB052-C060-4D8E-9E2E-FCA18D750ED0}"/>
            </a:ext>
          </a:extLst>
        </xdr:cNvPr>
        <xdr:cNvSpPr>
          <a:spLocks noChangeAspect="1" noChangeArrowheads="1"/>
        </xdr:cNvSpPr>
      </xdr:nvSpPr>
      <xdr:spPr bwMode="auto">
        <a:xfrm>
          <a:off x="0" y="1719791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097"/>
    <xdr:sp macro="" textlink="">
      <xdr:nvSpPr>
        <xdr:cNvPr id="5" name="AutoShape 1">
          <a:extLst>
            <a:ext uri="{FF2B5EF4-FFF2-40B4-BE49-F238E27FC236}">
              <a16:creationId xmlns:a16="http://schemas.microsoft.com/office/drawing/2014/main" id="{C80C2067-8807-4C0D-A4FB-E74AA44FD195}"/>
            </a:ext>
          </a:extLst>
        </xdr:cNvPr>
        <xdr:cNvSpPr>
          <a:spLocks noChangeAspect="1" noChangeArrowheads="1"/>
        </xdr:cNvSpPr>
      </xdr:nvSpPr>
      <xdr:spPr bwMode="auto">
        <a:xfrm>
          <a:off x="0" y="9726083"/>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04097"/>
    <xdr:sp macro="" textlink="">
      <xdr:nvSpPr>
        <xdr:cNvPr id="6" name="AutoShape 1">
          <a:extLst>
            <a:ext uri="{FF2B5EF4-FFF2-40B4-BE49-F238E27FC236}">
              <a16:creationId xmlns:a16="http://schemas.microsoft.com/office/drawing/2014/main" id="{89FA6767-1FBC-47AE-8EB7-A8399D048992}"/>
            </a:ext>
          </a:extLst>
        </xdr:cNvPr>
        <xdr:cNvSpPr>
          <a:spLocks noChangeAspect="1" noChangeArrowheads="1"/>
        </xdr:cNvSpPr>
      </xdr:nvSpPr>
      <xdr:spPr bwMode="auto">
        <a:xfrm>
          <a:off x="0" y="13504333"/>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xdr:row>
      <xdr:rowOff>0</xdr:rowOff>
    </xdr:from>
    <xdr:ext cx="304800" cy="263528"/>
    <xdr:sp macro="" textlink="">
      <xdr:nvSpPr>
        <xdr:cNvPr id="7" name="AutoShape 1">
          <a:extLst>
            <a:ext uri="{FF2B5EF4-FFF2-40B4-BE49-F238E27FC236}">
              <a16:creationId xmlns:a16="http://schemas.microsoft.com/office/drawing/2014/main" id="{1832CC5B-1B59-4E72-97FC-D7117F55B5CA}"/>
            </a:ext>
          </a:extLst>
        </xdr:cNvPr>
        <xdr:cNvSpPr>
          <a:spLocks noChangeAspect="1" noChangeArrowheads="1"/>
        </xdr:cNvSpPr>
      </xdr:nvSpPr>
      <xdr:spPr bwMode="auto">
        <a:xfrm>
          <a:off x="0" y="23516167"/>
          <a:ext cx="304800" cy="26352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xdr:row>
      <xdr:rowOff>0</xdr:rowOff>
    </xdr:from>
    <xdr:ext cx="304800" cy="276761"/>
    <xdr:sp macro="" textlink="">
      <xdr:nvSpPr>
        <xdr:cNvPr id="8" name="AutoShape 1">
          <a:extLst>
            <a:ext uri="{FF2B5EF4-FFF2-40B4-BE49-F238E27FC236}">
              <a16:creationId xmlns:a16="http://schemas.microsoft.com/office/drawing/2014/main" id="{0B25246E-FCDE-43BA-A63B-EDC54B3B07AD}"/>
            </a:ext>
          </a:extLst>
        </xdr:cNvPr>
        <xdr:cNvSpPr>
          <a:spLocks noChangeAspect="1" noChangeArrowheads="1"/>
        </xdr:cNvSpPr>
      </xdr:nvSpPr>
      <xdr:spPr bwMode="auto">
        <a:xfrm>
          <a:off x="0" y="23516167"/>
          <a:ext cx="304800" cy="2767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xdr:row>
      <xdr:rowOff>0</xdr:rowOff>
    </xdr:from>
    <xdr:ext cx="304800" cy="268820"/>
    <xdr:sp macro="" textlink="">
      <xdr:nvSpPr>
        <xdr:cNvPr id="9" name="AutoShape 1">
          <a:extLst>
            <a:ext uri="{FF2B5EF4-FFF2-40B4-BE49-F238E27FC236}">
              <a16:creationId xmlns:a16="http://schemas.microsoft.com/office/drawing/2014/main" id="{34435042-4C62-4295-BC7E-0BB19E212770}"/>
            </a:ext>
          </a:extLst>
        </xdr:cNvPr>
        <xdr:cNvSpPr>
          <a:spLocks noChangeAspect="1" noChangeArrowheads="1"/>
        </xdr:cNvSpPr>
      </xdr:nvSpPr>
      <xdr:spPr bwMode="auto">
        <a:xfrm>
          <a:off x="0" y="23516167"/>
          <a:ext cx="304800" cy="2688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xdr:row>
      <xdr:rowOff>0</xdr:rowOff>
    </xdr:from>
    <xdr:ext cx="304800" cy="303216"/>
    <xdr:sp macro="" textlink="">
      <xdr:nvSpPr>
        <xdr:cNvPr id="10" name="AutoShape 1">
          <a:extLst>
            <a:ext uri="{FF2B5EF4-FFF2-40B4-BE49-F238E27FC236}">
              <a16:creationId xmlns:a16="http://schemas.microsoft.com/office/drawing/2014/main" id="{D589A2CB-2222-49BF-AB19-608193971AAC}"/>
            </a:ext>
          </a:extLst>
        </xdr:cNvPr>
        <xdr:cNvSpPr>
          <a:spLocks noChangeAspect="1" noChangeArrowheads="1"/>
        </xdr:cNvSpPr>
      </xdr:nvSpPr>
      <xdr:spPr bwMode="auto">
        <a:xfrm>
          <a:off x="0" y="23516167"/>
          <a:ext cx="304800" cy="3032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xdr:row>
      <xdr:rowOff>0</xdr:rowOff>
    </xdr:from>
    <xdr:ext cx="304800" cy="286958"/>
    <xdr:sp macro="" textlink="">
      <xdr:nvSpPr>
        <xdr:cNvPr id="11" name="AutoShape 1">
          <a:extLst>
            <a:ext uri="{FF2B5EF4-FFF2-40B4-BE49-F238E27FC236}">
              <a16:creationId xmlns:a16="http://schemas.microsoft.com/office/drawing/2014/main" id="{DCC9009A-DCE4-408D-B460-D55A1E8D281D}"/>
            </a:ext>
          </a:extLst>
        </xdr:cNvPr>
        <xdr:cNvSpPr>
          <a:spLocks noChangeAspect="1" noChangeArrowheads="1"/>
        </xdr:cNvSpPr>
      </xdr:nvSpPr>
      <xdr:spPr bwMode="auto">
        <a:xfrm>
          <a:off x="0" y="23516167"/>
          <a:ext cx="304800" cy="2869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304097"/>
    <xdr:sp macro="" textlink="">
      <xdr:nvSpPr>
        <xdr:cNvPr id="12" name="AutoShape 1">
          <a:extLst>
            <a:ext uri="{FF2B5EF4-FFF2-40B4-BE49-F238E27FC236}">
              <a16:creationId xmlns:a16="http://schemas.microsoft.com/office/drawing/2014/main" id="{C109B6C4-EF60-49E1-B71D-AA6390094933}"/>
            </a:ext>
          </a:extLst>
        </xdr:cNvPr>
        <xdr:cNvSpPr>
          <a:spLocks noChangeAspect="1" noChangeArrowheads="1"/>
        </xdr:cNvSpPr>
      </xdr:nvSpPr>
      <xdr:spPr bwMode="auto">
        <a:xfrm>
          <a:off x="0" y="1792816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143</xdr:row>
      <xdr:rowOff>0</xdr:rowOff>
    </xdr:from>
    <xdr:ext cx="304800" cy="263528"/>
    <xdr:sp macro="" textlink="">
      <xdr:nvSpPr>
        <xdr:cNvPr id="13" name="AutoShape 1">
          <a:extLst>
            <a:ext uri="{FF2B5EF4-FFF2-40B4-BE49-F238E27FC236}">
              <a16:creationId xmlns:a16="http://schemas.microsoft.com/office/drawing/2014/main" id="{B9494295-DE26-4C11-B77F-1FFA7B9E4885}"/>
            </a:ext>
          </a:extLst>
        </xdr:cNvPr>
        <xdr:cNvSpPr>
          <a:spLocks noChangeAspect="1" noChangeArrowheads="1"/>
        </xdr:cNvSpPr>
      </xdr:nvSpPr>
      <xdr:spPr bwMode="auto">
        <a:xfrm>
          <a:off x="0" y="23166917"/>
          <a:ext cx="304800" cy="26352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143</xdr:row>
      <xdr:rowOff>0</xdr:rowOff>
    </xdr:from>
    <xdr:ext cx="304800" cy="276761"/>
    <xdr:sp macro="" textlink="">
      <xdr:nvSpPr>
        <xdr:cNvPr id="14" name="AutoShape 1">
          <a:extLst>
            <a:ext uri="{FF2B5EF4-FFF2-40B4-BE49-F238E27FC236}">
              <a16:creationId xmlns:a16="http://schemas.microsoft.com/office/drawing/2014/main" id="{66DD9D54-A42E-4BEB-8194-133895FBFF1D}"/>
            </a:ext>
          </a:extLst>
        </xdr:cNvPr>
        <xdr:cNvSpPr>
          <a:spLocks noChangeAspect="1" noChangeArrowheads="1"/>
        </xdr:cNvSpPr>
      </xdr:nvSpPr>
      <xdr:spPr bwMode="auto">
        <a:xfrm>
          <a:off x="0" y="23166917"/>
          <a:ext cx="304800" cy="2767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143</xdr:row>
      <xdr:rowOff>0</xdr:rowOff>
    </xdr:from>
    <xdr:ext cx="304800" cy="268820"/>
    <xdr:sp macro="" textlink="">
      <xdr:nvSpPr>
        <xdr:cNvPr id="15" name="AutoShape 1">
          <a:extLst>
            <a:ext uri="{FF2B5EF4-FFF2-40B4-BE49-F238E27FC236}">
              <a16:creationId xmlns:a16="http://schemas.microsoft.com/office/drawing/2014/main" id="{5689B08D-85B3-4D5F-B21D-042430D64A5D}"/>
            </a:ext>
          </a:extLst>
        </xdr:cNvPr>
        <xdr:cNvSpPr>
          <a:spLocks noChangeAspect="1" noChangeArrowheads="1"/>
        </xdr:cNvSpPr>
      </xdr:nvSpPr>
      <xdr:spPr bwMode="auto">
        <a:xfrm>
          <a:off x="0" y="23166917"/>
          <a:ext cx="304800" cy="2688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143</xdr:row>
      <xdr:rowOff>0</xdr:rowOff>
    </xdr:from>
    <xdr:ext cx="304800" cy="303216"/>
    <xdr:sp macro="" textlink="">
      <xdr:nvSpPr>
        <xdr:cNvPr id="16" name="AutoShape 1">
          <a:extLst>
            <a:ext uri="{FF2B5EF4-FFF2-40B4-BE49-F238E27FC236}">
              <a16:creationId xmlns:a16="http://schemas.microsoft.com/office/drawing/2014/main" id="{1C4F49BF-23C2-4E04-B1C1-4F14949AA2B3}"/>
            </a:ext>
          </a:extLst>
        </xdr:cNvPr>
        <xdr:cNvSpPr>
          <a:spLocks noChangeAspect="1" noChangeArrowheads="1"/>
        </xdr:cNvSpPr>
      </xdr:nvSpPr>
      <xdr:spPr bwMode="auto">
        <a:xfrm>
          <a:off x="0" y="23166917"/>
          <a:ext cx="304800" cy="3032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143</xdr:row>
      <xdr:rowOff>0</xdr:rowOff>
    </xdr:from>
    <xdr:ext cx="304800" cy="286958"/>
    <xdr:sp macro="" textlink="">
      <xdr:nvSpPr>
        <xdr:cNvPr id="17" name="AutoShape 1">
          <a:extLst>
            <a:ext uri="{FF2B5EF4-FFF2-40B4-BE49-F238E27FC236}">
              <a16:creationId xmlns:a16="http://schemas.microsoft.com/office/drawing/2014/main" id="{6254C2DA-3AF1-4950-8C27-A4C82C96FC3B}"/>
            </a:ext>
          </a:extLst>
        </xdr:cNvPr>
        <xdr:cNvSpPr>
          <a:spLocks noChangeAspect="1" noChangeArrowheads="1"/>
        </xdr:cNvSpPr>
      </xdr:nvSpPr>
      <xdr:spPr bwMode="auto">
        <a:xfrm>
          <a:off x="0" y="23166917"/>
          <a:ext cx="304800" cy="2869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097"/>
    <xdr:sp macro="" textlink="">
      <xdr:nvSpPr>
        <xdr:cNvPr id="18" name="AutoShape 1">
          <a:extLst>
            <a:ext uri="{FF2B5EF4-FFF2-40B4-BE49-F238E27FC236}">
              <a16:creationId xmlns:a16="http://schemas.microsoft.com/office/drawing/2014/main" id="{F7D8C6BD-783C-40B1-BCFB-FFB76213F984}"/>
            </a:ext>
          </a:extLst>
        </xdr:cNvPr>
        <xdr:cNvSpPr>
          <a:spLocks noChangeAspect="1" noChangeArrowheads="1"/>
        </xdr:cNvSpPr>
      </xdr:nvSpPr>
      <xdr:spPr bwMode="auto">
        <a:xfrm>
          <a:off x="0" y="108775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097"/>
    <xdr:sp macro="" textlink="">
      <xdr:nvSpPr>
        <xdr:cNvPr id="19" name="AutoShape 1">
          <a:extLst>
            <a:ext uri="{FF2B5EF4-FFF2-40B4-BE49-F238E27FC236}">
              <a16:creationId xmlns:a16="http://schemas.microsoft.com/office/drawing/2014/main" id="{6D3D7AFB-CE5E-483D-A386-20D6A22ECCB6}"/>
            </a:ext>
          </a:extLst>
        </xdr:cNvPr>
        <xdr:cNvSpPr>
          <a:spLocks noChangeAspect="1" noChangeArrowheads="1"/>
        </xdr:cNvSpPr>
      </xdr:nvSpPr>
      <xdr:spPr bwMode="auto">
        <a:xfrm>
          <a:off x="0" y="108775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097"/>
    <xdr:sp macro="" textlink="">
      <xdr:nvSpPr>
        <xdr:cNvPr id="20" name="AutoShape 1">
          <a:extLst>
            <a:ext uri="{FF2B5EF4-FFF2-40B4-BE49-F238E27FC236}">
              <a16:creationId xmlns:a16="http://schemas.microsoft.com/office/drawing/2014/main" id="{DE360EC4-8C6E-43E6-BAD4-C256EEE423E4}"/>
            </a:ext>
          </a:extLst>
        </xdr:cNvPr>
        <xdr:cNvSpPr>
          <a:spLocks noChangeAspect="1" noChangeArrowheads="1"/>
        </xdr:cNvSpPr>
      </xdr:nvSpPr>
      <xdr:spPr bwMode="auto">
        <a:xfrm>
          <a:off x="0" y="108775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xdr:row>
      <xdr:rowOff>0</xdr:rowOff>
    </xdr:from>
    <xdr:ext cx="304800" cy="304097"/>
    <xdr:sp macro="" textlink="">
      <xdr:nvSpPr>
        <xdr:cNvPr id="21" name="AutoShape 1">
          <a:extLst>
            <a:ext uri="{FF2B5EF4-FFF2-40B4-BE49-F238E27FC236}">
              <a16:creationId xmlns:a16="http://schemas.microsoft.com/office/drawing/2014/main" id="{A1473628-1BE8-49E0-9F08-83C56199F4A1}"/>
            </a:ext>
          </a:extLst>
        </xdr:cNvPr>
        <xdr:cNvSpPr>
          <a:spLocks noChangeAspect="1" noChangeArrowheads="1"/>
        </xdr:cNvSpPr>
      </xdr:nvSpPr>
      <xdr:spPr bwMode="auto">
        <a:xfrm>
          <a:off x="0" y="115125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xdr:row>
      <xdr:rowOff>0</xdr:rowOff>
    </xdr:from>
    <xdr:ext cx="304800" cy="304097"/>
    <xdr:sp macro="" textlink="">
      <xdr:nvSpPr>
        <xdr:cNvPr id="22" name="AutoShape 1">
          <a:extLst>
            <a:ext uri="{FF2B5EF4-FFF2-40B4-BE49-F238E27FC236}">
              <a16:creationId xmlns:a16="http://schemas.microsoft.com/office/drawing/2014/main" id="{E988972B-355E-4068-91A3-C99FE4CBB4F2}"/>
            </a:ext>
          </a:extLst>
        </xdr:cNvPr>
        <xdr:cNvSpPr>
          <a:spLocks noChangeAspect="1" noChangeArrowheads="1"/>
        </xdr:cNvSpPr>
      </xdr:nvSpPr>
      <xdr:spPr bwMode="auto">
        <a:xfrm>
          <a:off x="0" y="115125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097"/>
    <xdr:sp macro="" textlink="">
      <xdr:nvSpPr>
        <xdr:cNvPr id="23" name="AutoShape 1">
          <a:extLst>
            <a:ext uri="{FF2B5EF4-FFF2-40B4-BE49-F238E27FC236}">
              <a16:creationId xmlns:a16="http://schemas.microsoft.com/office/drawing/2014/main" id="{5E36C0C9-6E67-40A7-AA52-12FC2F94DD8D}"/>
            </a:ext>
          </a:extLst>
        </xdr:cNvPr>
        <xdr:cNvSpPr>
          <a:spLocks noChangeAspect="1" noChangeArrowheads="1"/>
        </xdr:cNvSpPr>
      </xdr:nvSpPr>
      <xdr:spPr bwMode="auto">
        <a:xfrm>
          <a:off x="0" y="48895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097"/>
    <xdr:sp macro="" textlink="">
      <xdr:nvSpPr>
        <xdr:cNvPr id="24" name="AutoShape 1">
          <a:extLst>
            <a:ext uri="{FF2B5EF4-FFF2-40B4-BE49-F238E27FC236}">
              <a16:creationId xmlns:a16="http://schemas.microsoft.com/office/drawing/2014/main" id="{29ABB4A4-4EF3-4C6A-AA47-2993C11402B0}"/>
            </a:ext>
          </a:extLst>
        </xdr:cNvPr>
        <xdr:cNvSpPr>
          <a:spLocks noChangeAspect="1" noChangeArrowheads="1"/>
        </xdr:cNvSpPr>
      </xdr:nvSpPr>
      <xdr:spPr bwMode="auto">
        <a:xfrm>
          <a:off x="0" y="48895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097"/>
    <xdr:sp macro="" textlink="">
      <xdr:nvSpPr>
        <xdr:cNvPr id="25" name="AutoShape 1">
          <a:extLst>
            <a:ext uri="{FF2B5EF4-FFF2-40B4-BE49-F238E27FC236}">
              <a16:creationId xmlns:a16="http://schemas.microsoft.com/office/drawing/2014/main" id="{F0D58EFC-AD82-4B54-B26B-BDE71CD20E0A}"/>
            </a:ext>
          </a:extLst>
        </xdr:cNvPr>
        <xdr:cNvSpPr>
          <a:spLocks noChangeAspect="1" noChangeArrowheads="1"/>
        </xdr:cNvSpPr>
      </xdr:nvSpPr>
      <xdr:spPr bwMode="auto">
        <a:xfrm>
          <a:off x="0" y="48895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097"/>
    <xdr:sp macro="" textlink="">
      <xdr:nvSpPr>
        <xdr:cNvPr id="26" name="AutoShape 1">
          <a:extLst>
            <a:ext uri="{FF2B5EF4-FFF2-40B4-BE49-F238E27FC236}">
              <a16:creationId xmlns:a16="http://schemas.microsoft.com/office/drawing/2014/main" id="{9FFBDBD4-B4F8-4F11-8C9F-517CEA1898F5}"/>
            </a:ext>
          </a:extLst>
        </xdr:cNvPr>
        <xdr:cNvSpPr>
          <a:spLocks noChangeAspect="1" noChangeArrowheads="1"/>
        </xdr:cNvSpPr>
      </xdr:nvSpPr>
      <xdr:spPr bwMode="auto">
        <a:xfrm>
          <a:off x="0" y="583141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097"/>
    <xdr:sp macro="" textlink="">
      <xdr:nvSpPr>
        <xdr:cNvPr id="27" name="AutoShape 1">
          <a:extLst>
            <a:ext uri="{FF2B5EF4-FFF2-40B4-BE49-F238E27FC236}">
              <a16:creationId xmlns:a16="http://schemas.microsoft.com/office/drawing/2014/main" id="{E1304B4B-BB11-409F-8DF3-16CDD388E6F2}"/>
            </a:ext>
          </a:extLst>
        </xdr:cNvPr>
        <xdr:cNvSpPr>
          <a:spLocks noChangeAspect="1" noChangeArrowheads="1"/>
        </xdr:cNvSpPr>
      </xdr:nvSpPr>
      <xdr:spPr bwMode="auto">
        <a:xfrm>
          <a:off x="0" y="583141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78</xdr:row>
      <xdr:rowOff>0</xdr:rowOff>
    </xdr:from>
    <xdr:ext cx="304800" cy="304097"/>
    <xdr:sp macro="" textlink="">
      <xdr:nvSpPr>
        <xdr:cNvPr id="28" name="AutoShape 1">
          <a:extLst>
            <a:ext uri="{FF2B5EF4-FFF2-40B4-BE49-F238E27FC236}">
              <a16:creationId xmlns:a16="http://schemas.microsoft.com/office/drawing/2014/main" id="{D30409FC-2C58-44A1-86FD-F9410DF9C380}"/>
            </a:ext>
          </a:extLst>
        </xdr:cNvPr>
        <xdr:cNvSpPr>
          <a:spLocks noChangeAspect="1" noChangeArrowheads="1"/>
        </xdr:cNvSpPr>
      </xdr:nvSpPr>
      <xdr:spPr bwMode="auto">
        <a:xfrm>
          <a:off x="0" y="13790083"/>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78</xdr:row>
      <xdr:rowOff>0</xdr:rowOff>
    </xdr:from>
    <xdr:ext cx="304800" cy="304097"/>
    <xdr:sp macro="" textlink="">
      <xdr:nvSpPr>
        <xdr:cNvPr id="29" name="AutoShape 1">
          <a:extLst>
            <a:ext uri="{FF2B5EF4-FFF2-40B4-BE49-F238E27FC236}">
              <a16:creationId xmlns:a16="http://schemas.microsoft.com/office/drawing/2014/main" id="{74461C63-4E62-4F86-9462-B2C458966313}"/>
            </a:ext>
          </a:extLst>
        </xdr:cNvPr>
        <xdr:cNvSpPr>
          <a:spLocks noChangeAspect="1" noChangeArrowheads="1"/>
        </xdr:cNvSpPr>
      </xdr:nvSpPr>
      <xdr:spPr bwMode="auto">
        <a:xfrm>
          <a:off x="0" y="13790083"/>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78</xdr:row>
      <xdr:rowOff>0</xdr:rowOff>
    </xdr:from>
    <xdr:ext cx="304800" cy="304097"/>
    <xdr:sp macro="" textlink="">
      <xdr:nvSpPr>
        <xdr:cNvPr id="30" name="AutoShape 1">
          <a:extLst>
            <a:ext uri="{FF2B5EF4-FFF2-40B4-BE49-F238E27FC236}">
              <a16:creationId xmlns:a16="http://schemas.microsoft.com/office/drawing/2014/main" id="{F78B4C44-A991-4628-9261-77664D679FCB}"/>
            </a:ext>
          </a:extLst>
        </xdr:cNvPr>
        <xdr:cNvSpPr>
          <a:spLocks noChangeAspect="1" noChangeArrowheads="1"/>
        </xdr:cNvSpPr>
      </xdr:nvSpPr>
      <xdr:spPr bwMode="auto">
        <a:xfrm>
          <a:off x="0" y="13790083"/>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304097"/>
    <xdr:sp macro="" textlink="">
      <xdr:nvSpPr>
        <xdr:cNvPr id="31" name="AutoShape 1">
          <a:extLst>
            <a:ext uri="{FF2B5EF4-FFF2-40B4-BE49-F238E27FC236}">
              <a16:creationId xmlns:a16="http://schemas.microsoft.com/office/drawing/2014/main" id="{EA61C4C4-4B63-44F4-B087-8013975EF478}"/>
            </a:ext>
          </a:extLst>
        </xdr:cNvPr>
        <xdr:cNvSpPr>
          <a:spLocks noChangeAspect="1" noChangeArrowheads="1"/>
        </xdr:cNvSpPr>
      </xdr:nvSpPr>
      <xdr:spPr bwMode="auto">
        <a:xfrm>
          <a:off x="0" y="1475316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304097"/>
    <xdr:sp macro="" textlink="">
      <xdr:nvSpPr>
        <xdr:cNvPr id="32" name="AutoShape 1">
          <a:extLst>
            <a:ext uri="{FF2B5EF4-FFF2-40B4-BE49-F238E27FC236}">
              <a16:creationId xmlns:a16="http://schemas.microsoft.com/office/drawing/2014/main" id="{FDC8E544-5B52-4E0F-8543-E9F05359E89C}"/>
            </a:ext>
          </a:extLst>
        </xdr:cNvPr>
        <xdr:cNvSpPr>
          <a:spLocks noChangeAspect="1" noChangeArrowheads="1"/>
        </xdr:cNvSpPr>
      </xdr:nvSpPr>
      <xdr:spPr bwMode="auto">
        <a:xfrm>
          <a:off x="0" y="1475316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304097"/>
    <xdr:sp macro="" textlink="">
      <xdr:nvSpPr>
        <xdr:cNvPr id="33" name="AutoShape 1">
          <a:extLst>
            <a:ext uri="{FF2B5EF4-FFF2-40B4-BE49-F238E27FC236}">
              <a16:creationId xmlns:a16="http://schemas.microsoft.com/office/drawing/2014/main" id="{6A7EF1C8-8B46-4DAE-A4FB-641BE334EF58}"/>
            </a:ext>
          </a:extLst>
        </xdr:cNvPr>
        <xdr:cNvSpPr>
          <a:spLocks noChangeAspect="1" noChangeArrowheads="1"/>
        </xdr:cNvSpPr>
      </xdr:nvSpPr>
      <xdr:spPr bwMode="auto">
        <a:xfrm>
          <a:off x="0" y="2297641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304097"/>
    <xdr:sp macro="" textlink="">
      <xdr:nvSpPr>
        <xdr:cNvPr id="34" name="AutoShape 1">
          <a:extLst>
            <a:ext uri="{FF2B5EF4-FFF2-40B4-BE49-F238E27FC236}">
              <a16:creationId xmlns:a16="http://schemas.microsoft.com/office/drawing/2014/main" id="{13049DD1-C212-4A4E-9EC3-DE36586B154C}"/>
            </a:ext>
          </a:extLst>
        </xdr:cNvPr>
        <xdr:cNvSpPr>
          <a:spLocks noChangeAspect="1" noChangeArrowheads="1"/>
        </xdr:cNvSpPr>
      </xdr:nvSpPr>
      <xdr:spPr bwMode="auto">
        <a:xfrm>
          <a:off x="0" y="2297641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304097"/>
    <xdr:sp macro="" textlink="">
      <xdr:nvSpPr>
        <xdr:cNvPr id="35" name="AutoShape 1">
          <a:extLst>
            <a:ext uri="{FF2B5EF4-FFF2-40B4-BE49-F238E27FC236}">
              <a16:creationId xmlns:a16="http://schemas.microsoft.com/office/drawing/2014/main" id="{A83A0C31-A82D-48AF-934F-54BBF2DC50C4}"/>
            </a:ext>
          </a:extLst>
        </xdr:cNvPr>
        <xdr:cNvSpPr>
          <a:spLocks noChangeAspect="1" noChangeArrowheads="1"/>
        </xdr:cNvSpPr>
      </xdr:nvSpPr>
      <xdr:spPr bwMode="auto">
        <a:xfrm>
          <a:off x="0" y="2297641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xdr:row>
      <xdr:rowOff>0</xdr:rowOff>
    </xdr:from>
    <xdr:ext cx="304800" cy="304097"/>
    <xdr:sp macro="" textlink="">
      <xdr:nvSpPr>
        <xdr:cNvPr id="36" name="AutoShape 1">
          <a:extLst>
            <a:ext uri="{FF2B5EF4-FFF2-40B4-BE49-F238E27FC236}">
              <a16:creationId xmlns:a16="http://schemas.microsoft.com/office/drawing/2014/main" id="{B60DBD21-2CA4-4A11-8E9A-24DD0C321CED}"/>
            </a:ext>
          </a:extLst>
        </xdr:cNvPr>
        <xdr:cNvSpPr>
          <a:spLocks noChangeAspect="1" noChangeArrowheads="1"/>
        </xdr:cNvSpPr>
      </xdr:nvSpPr>
      <xdr:spPr bwMode="auto">
        <a:xfrm>
          <a:off x="0" y="237172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xdr:row>
      <xdr:rowOff>0</xdr:rowOff>
    </xdr:from>
    <xdr:ext cx="304800" cy="304097"/>
    <xdr:sp macro="" textlink="">
      <xdr:nvSpPr>
        <xdr:cNvPr id="37" name="AutoShape 1">
          <a:extLst>
            <a:ext uri="{FF2B5EF4-FFF2-40B4-BE49-F238E27FC236}">
              <a16:creationId xmlns:a16="http://schemas.microsoft.com/office/drawing/2014/main" id="{5431D3EC-C345-4A90-8206-533E591AE01D}"/>
            </a:ext>
          </a:extLst>
        </xdr:cNvPr>
        <xdr:cNvSpPr>
          <a:spLocks noChangeAspect="1" noChangeArrowheads="1"/>
        </xdr:cNvSpPr>
      </xdr:nvSpPr>
      <xdr:spPr bwMode="auto">
        <a:xfrm>
          <a:off x="0" y="237172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44</xdr:row>
      <xdr:rowOff>0</xdr:rowOff>
    </xdr:from>
    <xdr:ext cx="304800" cy="233818"/>
    <xdr:sp macro="" textlink="">
      <xdr:nvSpPr>
        <xdr:cNvPr id="2" name="AutoShape 1">
          <a:extLst>
            <a:ext uri="{FF2B5EF4-FFF2-40B4-BE49-F238E27FC236}">
              <a16:creationId xmlns:a16="http://schemas.microsoft.com/office/drawing/2014/main" id="{121C00A5-2367-4616-9620-EB7B1AB8EF89}"/>
            </a:ext>
          </a:extLst>
        </xdr:cNvPr>
        <xdr:cNvSpPr>
          <a:spLocks noChangeAspect="1" noChangeArrowheads="1"/>
        </xdr:cNvSpPr>
      </xdr:nvSpPr>
      <xdr:spPr bwMode="auto">
        <a:xfrm>
          <a:off x="0" y="55880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174625</xdr:rowOff>
    </xdr:from>
    <xdr:ext cx="304800" cy="304097"/>
    <xdr:sp macro="" textlink="">
      <xdr:nvSpPr>
        <xdr:cNvPr id="3" name="AutoShape 1">
          <a:extLst>
            <a:ext uri="{FF2B5EF4-FFF2-40B4-BE49-F238E27FC236}">
              <a16:creationId xmlns:a16="http://schemas.microsoft.com/office/drawing/2014/main" id="{AFFD2554-3808-4D6D-9A41-08F28C677DBE}"/>
            </a:ext>
          </a:extLst>
        </xdr:cNvPr>
        <xdr:cNvSpPr>
          <a:spLocks noChangeAspect="1" noChangeArrowheads="1"/>
        </xdr:cNvSpPr>
      </xdr:nvSpPr>
      <xdr:spPr bwMode="auto">
        <a:xfrm>
          <a:off x="0" y="11805708"/>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91</xdr:row>
      <xdr:rowOff>0</xdr:rowOff>
    </xdr:from>
    <xdr:ext cx="304800" cy="304097"/>
    <xdr:sp macro="" textlink="">
      <xdr:nvSpPr>
        <xdr:cNvPr id="4" name="AutoShape 1">
          <a:extLst>
            <a:ext uri="{FF2B5EF4-FFF2-40B4-BE49-F238E27FC236}">
              <a16:creationId xmlns:a16="http://schemas.microsoft.com/office/drawing/2014/main" id="{4B434168-708D-48F2-8619-E7F4950DBE22}"/>
            </a:ext>
          </a:extLst>
        </xdr:cNvPr>
        <xdr:cNvSpPr>
          <a:spLocks noChangeAspect="1" noChangeArrowheads="1"/>
        </xdr:cNvSpPr>
      </xdr:nvSpPr>
      <xdr:spPr bwMode="auto">
        <a:xfrm>
          <a:off x="994833" y="16488833"/>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54</xdr:row>
      <xdr:rowOff>0</xdr:rowOff>
    </xdr:from>
    <xdr:to>
      <xdr:col>0</xdr:col>
      <xdr:colOff>304800</xdr:colOff>
      <xdr:row>54</xdr:row>
      <xdr:rowOff>176215</xdr:rowOff>
    </xdr:to>
    <xdr:sp macro="" textlink="">
      <xdr:nvSpPr>
        <xdr:cNvPr id="5" name="AutoShape 1">
          <a:extLst>
            <a:ext uri="{FF2B5EF4-FFF2-40B4-BE49-F238E27FC236}">
              <a16:creationId xmlns:a16="http://schemas.microsoft.com/office/drawing/2014/main" id="{28275105-9EDA-42B3-9D93-294138260001}"/>
            </a:ext>
          </a:extLst>
        </xdr:cNvPr>
        <xdr:cNvSpPr>
          <a:spLocks noChangeAspect="1" noChangeArrowheads="1"/>
        </xdr:cNvSpPr>
      </xdr:nvSpPr>
      <xdr:spPr bwMode="auto">
        <a:xfrm>
          <a:off x="0" y="11451167"/>
          <a:ext cx="304800" cy="1762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4097"/>
    <xdr:sp macro="" textlink="">
      <xdr:nvSpPr>
        <xdr:cNvPr id="6" name="AutoShape 1">
          <a:extLst>
            <a:ext uri="{FF2B5EF4-FFF2-40B4-BE49-F238E27FC236}">
              <a16:creationId xmlns:a16="http://schemas.microsoft.com/office/drawing/2014/main" id="{3874CF58-EC41-4AD7-BF25-427F3BFF479A}"/>
            </a:ext>
          </a:extLst>
        </xdr:cNvPr>
        <xdr:cNvSpPr>
          <a:spLocks noChangeAspect="1" noChangeArrowheads="1"/>
        </xdr:cNvSpPr>
      </xdr:nvSpPr>
      <xdr:spPr bwMode="auto">
        <a:xfrm>
          <a:off x="0" y="17737667"/>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GERENCIA/Downloads/CAT&#193;LOGO%20DE%20PRODUCTO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upra-my.sharepoint.com/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Impulsar el desarrollo integral de las poblaciones con enfoque diferencial desde el sector Presidencia</v>
          </cell>
        </row>
        <row r="7">
          <cell r="C7" t="str">
            <v>0207</v>
          </cell>
          <cell r="D7" t="str">
            <v>Prevención y mitigación del riesgo de desastres desde el sector Presidencia</v>
          </cell>
        </row>
        <row r="8">
          <cell r="C8" t="str">
            <v>0208</v>
          </cell>
          <cell r="D8" t="str">
            <v>Gestión de la cooperación internacional del sector Presidencia</v>
          </cell>
        </row>
        <row r="9">
          <cell r="C9" t="str">
            <v>0209</v>
          </cell>
          <cell r="D9" t="str">
            <v>Fortalecimiento de la infraestructura física de las entidades del Estado del nivel nacional desde el Sector Presidencia</v>
          </cell>
        </row>
        <row r="10">
          <cell r="C10" t="str">
            <v>0210</v>
          </cell>
          <cell r="D10" t="str">
            <v>Mecanismos de transición hacia la paz a nivel nacional y territorial desde el sector Presidencia</v>
          </cell>
        </row>
        <row r="11">
          <cell r="C11" t="str">
            <v>0211</v>
          </cell>
          <cell r="D11" t="str">
            <v>Reintegración de personas y grupos alzados en armas desde el Sector Presidencia</v>
          </cell>
        </row>
        <row r="12">
          <cell r="C12" t="str">
            <v>0212</v>
          </cell>
          <cell r="D12" t="str">
            <v>Renovación territorial para el desarrollo integral de las zonas rurales afectadas por el conflicto armado</v>
          </cell>
        </row>
        <row r="13">
          <cell r="C13" t="str">
            <v>0214</v>
          </cell>
          <cell r="D13" t="str">
            <v>Fortalecimiento de las capacidades de articulación estratégica, modernización, eficiencia administrativa, transparencia y acceso a la información desde el sector Presidencia</v>
          </cell>
        </row>
        <row r="14">
          <cell r="C14" t="str">
            <v>0299</v>
          </cell>
          <cell r="D14" t="str">
            <v>Fortalecimiento de la gestión y dirección del sector Presidencia</v>
          </cell>
        </row>
        <row r="15">
          <cell r="C15" t="str">
            <v>0301</v>
          </cell>
          <cell r="D15" t="str">
            <v>Mejoramiento de la planeación territorial, sectorial y de inversión pública</v>
          </cell>
        </row>
        <row r="16">
          <cell r="C16" t="str">
            <v>0303</v>
          </cell>
          <cell r="D16" t="str">
            <v>Promoción de la prestación eficiente de los servicios públicos domiciliarios</v>
          </cell>
        </row>
        <row r="17">
          <cell r="C17" t="str">
            <v>0304</v>
          </cell>
          <cell r="D17" t="str">
            <v>Fortalecimiento del Sistema de Compra Pública</v>
          </cell>
        </row>
        <row r="18">
          <cell r="C18" t="str">
            <v>0399</v>
          </cell>
          <cell r="D18" t="str">
            <v>Fortalecimiento de la gestión y dirección del sector Planeación</v>
          </cell>
        </row>
        <row r="19">
          <cell r="C19" t="str">
            <v>0401</v>
          </cell>
          <cell r="D19" t="str">
            <v>Levantamiento y actualización de información estadística de calidad</v>
          </cell>
        </row>
        <row r="20">
          <cell r="C20" t="str">
            <v>0406</v>
          </cell>
          <cell r="D20" t="str">
            <v>Generación de la información geográfica del territorio nacional</v>
          </cell>
        </row>
        <row r="21">
          <cell r="C21" t="str">
            <v>0499</v>
          </cell>
          <cell r="D21" t="str">
            <v>Fortalecimiento de la gestión y dirección del sector Información Estadística</v>
          </cell>
        </row>
        <row r="22">
          <cell r="C22" t="str">
            <v>0503</v>
          </cell>
          <cell r="D22" t="str">
            <v xml:space="preserve">Mejoramiento de la calidad educativa en gestión pública </v>
          </cell>
        </row>
        <row r="23">
          <cell r="C23" t="str">
            <v>0504</v>
          </cell>
          <cell r="D23" t="str">
            <v>Administración y vigilancia de las carreras administrativas de los servidores públicos</v>
          </cell>
        </row>
        <row r="24">
          <cell r="C24" t="str">
            <v>0505</v>
          </cell>
          <cell r="D24" t="str">
            <v>Fortalecimiento de la gestión pública en las entidades nacionales y territoriales</v>
          </cell>
        </row>
        <row r="25">
          <cell r="C25" t="str">
            <v>0599</v>
          </cell>
          <cell r="D25" t="str">
            <v>Fortalecimiento de la gestión y dirección del sector Empleo Público</v>
          </cell>
        </row>
        <row r="26">
          <cell r="C26" t="str">
            <v>1101</v>
          </cell>
          <cell r="D26" t="str">
            <v>Fortalecimiento y diversificación de relaciones bilaterales</v>
          </cell>
        </row>
        <row r="27">
          <cell r="C27" t="str">
            <v>1102</v>
          </cell>
          <cell r="D27" t="str">
            <v>Posicionamiento en instancias globales, multilaterales, regionales y subregionales</v>
          </cell>
        </row>
        <row r="28">
          <cell r="C28" t="str">
            <v>1103</v>
          </cell>
          <cell r="D28" t="str">
            <v>Política migratoria y servicio al ciudadano</v>
          </cell>
        </row>
        <row r="29">
          <cell r="C29" t="str">
            <v>1104</v>
          </cell>
          <cell r="D29" t="str">
            <v>Soberanía territorial y desarrollo fronterizo</v>
          </cell>
        </row>
        <row r="30">
          <cell r="C30" t="str">
            <v>1105</v>
          </cell>
          <cell r="D30" t="str">
            <v>Cooperación internacional del sector relaciones exteriores</v>
          </cell>
        </row>
        <row r="31">
          <cell r="C31" t="str">
            <v>1199</v>
          </cell>
          <cell r="D31" t="str">
            <v>Fortalecimiento de la gestión y dirección del sector Relaciones Exteriores</v>
          </cell>
        </row>
        <row r="32">
          <cell r="C32" t="str">
            <v>1201</v>
          </cell>
          <cell r="D32" t="str">
            <v xml:space="preserve"> Fortalecimiento del principio de seguridad jurídica, divulgación y depuración del ordenamiento jurídico</v>
          </cell>
        </row>
        <row r="33">
          <cell r="C33" t="str">
            <v>1202</v>
          </cell>
          <cell r="D33" t="str">
            <v xml:space="preserve"> Promoción al acceso a la justicia</v>
          </cell>
        </row>
        <row r="34">
          <cell r="C34" t="str">
            <v>1203</v>
          </cell>
          <cell r="D34" t="str">
            <v xml:space="preserve"> Promoción de los métodos de resolución de conflictos</v>
          </cell>
        </row>
        <row r="35">
          <cell r="C35" t="str">
            <v>1204</v>
          </cell>
          <cell r="D35" t="str">
            <v>Justicia transicional</v>
          </cell>
        </row>
        <row r="36">
          <cell r="C36" t="str">
            <v>1205</v>
          </cell>
          <cell r="D36" t="str">
            <v>Defensa jurídica del Estado</v>
          </cell>
        </row>
        <row r="37">
          <cell r="C37" t="str">
            <v>1206</v>
          </cell>
          <cell r="D37" t="str">
            <v>Sistema penitenciario y carcelario en el marco de los derechos humanos</v>
          </cell>
        </row>
        <row r="38">
          <cell r="C38" t="str">
            <v>1207</v>
          </cell>
          <cell r="D38" t="str">
            <v>Fortalecimiento de la política criminal del Estado colombiano</v>
          </cell>
        </row>
        <row r="39">
          <cell r="C39" t="str">
            <v>1208</v>
          </cell>
          <cell r="D39" t="str">
            <v>Formulación y coordinación de la política integral frente a las drogas y actividades relacionadas</v>
          </cell>
        </row>
        <row r="40">
          <cell r="C40" t="str">
            <v>1209</v>
          </cell>
          <cell r="D40" t="str">
            <v>Modernización de la información inmobiliaria</v>
          </cell>
        </row>
        <row r="41">
          <cell r="C41" t="str">
            <v>1299</v>
          </cell>
          <cell r="D41" t="str">
            <v>Fortalecimiento de la gestión y dirección del sector Justicia y del Derecho</v>
          </cell>
        </row>
        <row r="42">
          <cell r="C42" t="str">
            <v>1301</v>
          </cell>
          <cell r="D42" t="str">
            <v>Política macroeconómica y fiscal</v>
          </cell>
        </row>
        <row r="43">
          <cell r="C43" t="str">
            <v>1302</v>
          </cell>
          <cell r="D43" t="str">
            <v>Gestión de recursos públicos</v>
          </cell>
        </row>
        <row r="44">
          <cell r="C44" t="str">
            <v>1303</v>
          </cell>
          <cell r="D44" t="str">
            <v>Reducción de la vulnerabilidad fiscal ante desastres y riesgos climáticos</v>
          </cell>
        </row>
        <row r="45">
          <cell r="C45" t="str">
            <v>1304</v>
          </cell>
          <cell r="D45" t="str">
            <v>Inspección, control y vigilancia financiera, solidaria y de recursos públicos</v>
          </cell>
        </row>
        <row r="46">
          <cell r="C46" t="str">
            <v>1305</v>
          </cell>
          <cell r="D46" t="str">
            <v>Fortalecimiento de recaudo y tributación</v>
          </cell>
        </row>
        <row r="47">
          <cell r="C47" t="str">
            <v>1399</v>
          </cell>
          <cell r="D47" t="str">
            <v>Fortalecimiento de la gestión y dirección del sector Hacienda</v>
          </cell>
        </row>
        <row r="48">
          <cell r="C48" t="str">
            <v>1501</v>
          </cell>
          <cell r="D48" t="str">
            <v>Capacidades de la Policía Nacional en seguridad pública, prevención, convivencia y seguridad ciudadana</v>
          </cell>
        </row>
        <row r="49">
          <cell r="C49" t="str">
            <v>1502</v>
          </cell>
          <cell r="D49" t="str">
            <v>Capacidades de las Fuerzas Militares en seguridad pública y defensa en el territorio nacional</v>
          </cell>
        </row>
        <row r="50">
          <cell r="C50" t="str">
            <v>1504</v>
          </cell>
          <cell r="D50" t="str">
            <v>Desarrollo marítimo, fluvial y costero desde el sector defensa</v>
          </cell>
        </row>
        <row r="51">
          <cell r="C51" t="str">
            <v>1505</v>
          </cell>
          <cell r="D51" t="str">
            <v>Generación de bienestar para la Fuerza Pública y sus familias</v>
          </cell>
        </row>
        <row r="52">
          <cell r="C52" t="str">
            <v>1506</v>
          </cell>
          <cell r="D52" t="str">
            <v>Gestión del riesgo de desastres desde el sector defensa y seguridad</v>
          </cell>
        </row>
        <row r="53">
          <cell r="C53" t="str">
            <v>1507</v>
          </cell>
          <cell r="D53" t="str">
            <v>Grupo Social y Empresarial de la Defensa (GSED) Competitivo</v>
          </cell>
        </row>
        <row r="54">
          <cell r="C54" t="str">
            <v>1599</v>
          </cell>
          <cell r="D54" t="str">
            <v>Fortalecimiento de la gestión y dirección del Sector Defensa y Policía</v>
          </cell>
        </row>
        <row r="55">
          <cell r="C55" t="str">
            <v>1702</v>
          </cell>
          <cell r="D55" t="str">
            <v>Inclusión productiva de pequeños productores rurales</v>
          </cell>
        </row>
        <row r="56">
          <cell r="C56" t="str">
            <v>1703</v>
          </cell>
          <cell r="D56" t="str">
            <v>Servicios financieros y gestión del riesgo para las actividades agropecuarias y rurales</v>
          </cell>
        </row>
        <row r="57">
          <cell r="C57" t="str">
            <v>1704</v>
          </cell>
          <cell r="D57" t="str">
            <v>Ordenamiento social y uso productivo del territorio rural</v>
          </cell>
        </row>
        <row r="58">
          <cell r="C58" t="str">
            <v>1705</v>
          </cell>
          <cell r="D58" t="str">
            <v>Restitución de tierras a víctimas del conflicto armado</v>
          </cell>
        </row>
        <row r="59">
          <cell r="C59" t="str">
            <v>1706</v>
          </cell>
          <cell r="D59" t="str">
            <v xml:space="preserve"> Aprovechamiento de mercados externos</v>
          </cell>
        </row>
        <row r="60">
          <cell r="C60" t="str">
            <v>1707</v>
          </cell>
          <cell r="D60" t="str">
            <v>Sanidad agropecuaria e inocuidad agroalimentaria</v>
          </cell>
        </row>
        <row r="61">
          <cell r="C61" t="str">
            <v>1708</v>
          </cell>
          <cell r="D61" t="str">
            <v>Ciencia, tecnología e innovación agropecuaria</v>
          </cell>
        </row>
        <row r="62">
          <cell r="C62" t="str">
            <v>1709</v>
          </cell>
          <cell r="D62" t="str">
            <v>Infraestructura productiva y comercialización</v>
          </cell>
        </row>
        <row r="63">
          <cell r="C63" t="str">
            <v>1799</v>
          </cell>
          <cell r="D63" t="str">
            <v>Fortalecimiento de la gestión y dirección del sector Agricultura y Desarrollo Rural</v>
          </cell>
        </row>
        <row r="64">
          <cell r="C64" t="str">
            <v>1901</v>
          </cell>
          <cell r="D64" t="str">
            <v xml:space="preserve">Salud pública y prestación de servicios  </v>
          </cell>
        </row>
        <row r="65">
          <cell r="C65" t="str">
            <v>1902</v>
          </cell>
          <cell r="D65" t="str">
            <v>Aseguramiento y administración del Sistema General de la Seguridad Social en Salud - SGSSS</v>
          </cell>
        </row>
        <row r="66">
          <cell r="C66" t="str">
            <v>1903</v>
          </cell>
          <cell r="D66" t="str">
            <v>Inspección, vigilancia y control</v>
          </cell>
        </row>
        <row r="67">
          <cell r="C67" t="str">
            <v>1905</v>
          </cell>
          <cell r="D67" t="str">
            <v>Salud Pública</v>
          </cell>
        </row>
        <row r="68">
          <cell r="C68" t="str">
            <v>1906</v>
          </cell>
          <cell r="D68" t="str">
            <v>Aseguramiento y prestación integral de servicios de salud</v>
          </cell>
        </row>
        <row r="69">
          <cell r="C69" t="str">
            <v>1999</v>
          </cell>
          <cell r="D69" t="str">
            <v xml:space="preserve"> Fortalecimiento de la gestión y dirección del sector Salud</v>
          </cell>
        </row>
        <row r="70">
          <cell r="C70" t="str">
            <v>2101</v>
          </cell>
          <cell r="D70" t="str">
            <v>Acceso al servicio público domiciliario de gas combustible</v>
          </cell>
        </row>
        <row r="71">
          <cell r="C71" t="str">
            <v>2102</v>
          </cell>
          <cell r="D71" t="str">
            <v>Consolidación productiva del sector de energía eléctrica</v>
          </cell>
        </row>
        <row r="72">
          <cell r="C72" t="str">
            <v>2103</v>
          </cell>
          <cell r="D72" t="str">
            <v>Consolidación productiva del sector hidrocarburos</v>
          </cell>
        </row>
        <row r="73">
          <cell r="C73" t="str">
            <v>2104</v>
          </cell>
          <cell r="D73" t="str">
            <v>Consolidación productiva del sector minero</v>
          </cell>
        </row>
        <row r="74">
          <cell r="C74" t="str">
            <v>2105</v>
          </cell>
          <cell r="D74" t="str">
            <v xml:space="preserve"> Desarrollo ambiental sostenible del sector minero energético</v>
          </cell>
        </row>
        <row r="75">
          <cell r="C75" t="str">
            <v>2106</v>
          </cell>
          <cell r="D75" t="str">
            <v>Gestión de la información en el sector minero energético</v>
          </cell>
        </row>
        <row r="76">
          <cell r="C76" t="str">
            <v>2199</v>
          </cell>
          <cell r="D76" t="str">
            <v xml:space="preserve">Fortalecimiento de la gestión y dirección del sector Minas y Energía </v>
          </cell>
        </row>
        <row r="77">
          <cell r="C77" t="str">
            <v>2201</v>
          </cell>
          <cell r="D77" t="str">
            <v>Calidad, cobertura y fortalecimiento de la educación inicial, prescolar, básica y media</v>
          </cell>
        </row>
        <row r="78">
          <cell r="C78" t="str">
            <v>2202</v>
          </cell>
          <cell r="D78" t="str">
            <v>Calidad y fomento de la educación superior</v>
          </cell>
        </row>
        <row r="79">
          <cell r="C79" t="str">
            <v>2203</v>
          </cell>
          <cell r="D79" t="str">
            <v>Cierre de brechas para el goce efectivo de derechos fundamentales de la población en condición de discapacidad</v>
          </cell>
        </row>
        <row r="80">
          <cell r="C80" t="str">
            <v>2299</v>
          </cell>
          <cell r="D80" t="str">
            <v>Fortalecimiento de la gestión y dirección del sector Educación</v>
          </cell>
        </row>
        <row r="81">
          <cell r="C81" t="str">
            <v>2301</v>
          </cell>
          <cell r="D81" t="str">
            <v>Facilitar el acceso y uso de las Tecnologías de la Información y las Comunicaciones en todo el territorio nacional</v>
          </cell>
        </row>
        <row r="82">
          <cell r="C82" t="str">
            <v>2302</v>
          </cell>
          <cell r="D82" t="str">
            <v>Fomento del desarrollo de aplicaciones, software y contenidos para impulsar la apropiación de las Tecnologías de la Información y las Comunicaciones (TIC)</v>
          </cell>
        </row>
        <row r="83">
          <cell r="C83" t="str">
            <v>2399</v>
          </cell>
          <cell r="D83" t="str">
            <v>Fortalecimiento de la gestión y dirección del sector Tecnologías de la Información y las Comunicaciones</v>
          </cell>
        </row>
        <row r="84">
          <cell r="C84" t="str">
            <v>2401</v>
          </cell>
          <cell r="D84" t="str">
            <v>Infraestructura red vial primaria</v>
          </cell>
        </row>
        <row r="85">
          <cell r="C85" t="str">
            <v>2402</v>
          </cell>
          <cell r="D85" t="str">
            <v>Infraestructura red vial regional</v>
          </cell>
        </row>
        <row r="86">
          <cell r="C86" t="str">
            <v>2403</v>
          </cell>
          <cell r="D86" t="str">
            <v>Infraestructura y servicios de transporte aéreo</v>
          </cell>
        </row>
        <row r="87">
          <cell r="C87" t="str">
            <v>2404</v>
          </cell>
          <cell r="D87" t="str">
            <v>Infraestructura de transporte férreo</v>
          </cell>
        </row>
        <row r="88">
          <cell r="C88" t="str">
            <v>2405</v>
          </cell>
          <cell r="D88" t="str">
            <v>Infraestructura de transporte marítimo</v>
          </cell>
        </row>
        <row r="89">
          <cell r="C89" t="str">
            <v>2406</v>
          </cell>
          <cell r="D89" t="str">
            <v>Infraestructura de transporte fluvial</v>
          </cell>
        </row>
        <row r="90">
          <cell r="C90" t="str">
            <v>2407</v>
          </cell>
          <cell r="D90" t="str">
            <v>Infraestructura y servicios de logística de transporte</v>
          </cell>
        </row>
        <row r="91">
          <cell r="C91" t="str">
            <v>2408</v>
          </cell>
          <cell r="D91" t="str">
            <v>Prestación de servicios de transporte público de pasajeros</v>
          </cell>
        </row>
        <row r="92">
          <cell r="C92" t="str">
            <v>2409</v>
          </cell>
          <cell r="D92" t="str">
            <v>Seguridad de transporte</v>
          </cell>
        </row>
        <row r="93">
          <cell r="C93" t="str">
            <v>2410</v>
          </cell>
          <cell r="D93" t="str">
            <v>Política, regulación y supervisión de la infraestructura y servicios de transporte</v>
          </cell>
        </row>
        <row r="94">
          <cell r="C94" t="str">
            <v>2499</v>
          </cell>
          <cell r="D94" t="str">
            <v>Fortalecimiento de la gestión y dirección del sector Transporte</v>
          </cell>
        </row>
        <row r="95">
          <cell r="C95" t="str">
            <v>2501</v>
          </cell>
          <cell r="D95" t="str">
            <v>Fortalecimiento del control y la vigilancia de la gestión fiscal y resarcimiento al daño del patrimonio público</v>
          </cell>
        </row>
        <row r="96">
          <cell r="C96" t="str">
            <v>2502</v>
          </cell>
          <cell r="D96" t="str">
            <v>Promoción, protección y defensa de los Derechos Humanos y el Derecho Internacional Humanitario</v>
          </cell>
        </row>
        <row r="97">
          <cell r="C97" t="str">
            <v>2503</v>
          </cell>
          <cell r="D97" t="str">
            <v>Lucha contra la corrupción</v>
          </cell>
        </row>
        <row r="98">
          <cell r="C98" t="str">
            <v>2504</v>
          </cell>
          <cell r="D98" t="str">
            <v>Vigilancia de la gestión administrativa de los funcionarios del estado</v>
          </cell>
        </row>
        <row r="99">
          <cell r="C99" t="str">
            <v>2599</v>
          </cell>
          <cell r="D99" t="str">
            <v>Fortalecimiento de la gestión y dirección del sector Organismos de Control</v>
          </cell>
        </row>
        <row r="100">
          <cell r="C100" t="str">
            <v>2701</v>
          </cell>
          <cell r="D100" t="str">
            <v>Mejoramiento a las competencias de la administración de justica</v>
          </cell>
        </row>
        <row r="101">
          <cell r="C101" t="str">
            <v>2799</v>
          </cell>
          <cell r="D101" t="str">
            <v>Fortalecimiento de la gestión y dirección del sector Rama Judicial</v>
          </cell>
        </row>
        <row r="102">
          <cell r="C102" t="str">
            <v>2801</v>
          </cell>
          <cell r="D102" t="str">
            <v>Procesos democráticos y asuntos electorales</v>
          </cell>
        </row>
        <row r="103">
          <cell r="C103" t="str">
            <v>2802</v>
          </cell>
          <cell r="D103" t="str">
            <v>Identificación y registro del estado civil de la población</v>
          </cell>
        </row>
        <row r="104">
          <cell r="C104" t="str">
            <v>2899</v>
          </cell>
          <cell r="D104" t="str">
            <v>Fortalecimiento de la gestión y dirección del sector Registraduría</v>
          </cell>
        </row>
        <row r="105">
          <cell r="C105" t="str">
            <v>2901</v>
          </cell>
          <cell r="D105" t="str">
            <v>Efectividad de la investigación penal y técnico científica</v>
          </cell>
        </row>
        <row r="106">
          <cell r="C106" t="str">
            <v>2999</v>
          </cell>
          <cell r="D106" t="str">
            <v xml:space="preserve">Fortalecimiento de la gestión y dirección del sector Fiscalía </v>
          </cell>
        </row>
        <row r="107">
          <cell r="C107" t="str">
            <v>3201</v>
          </cell>
          <cell r="D107" t="str">
            <v>Fortalecimiento del desempeño ambiental de los sectores productivos</v>
          </cell>
        </row>
        <row r="108">
          <cell r="C108" t="str">
            <v>3202</v>
          </cell>
          <cell r="D108" t="str">
            <v>Conservación de la biodiversidad y sus servicios ecosistémicos</v>
          </cell>
        </row>
        <row r="109">
          <cell r="C109" t="str">
            <v>3203</v>
          </cell>
          <cell r="D109" t="str">
            <v>Gestión integral del recurso hídrico</v>
          </cell>
        </row>
        <row r="110">
          <cell r="C110" t="str">
            <v>3204</v>
          </cell>
          <cell r="D110" t="str">
            <v>Gestión de la información y el conocimiento ambiental</v>
          </cell>
        </row>
        <row r="111">
          <cell r="C111" t="str">
            <v>3205</v>
          </cell>
          <cell r="D111" t="str">
            <v>Ordenamiento ambiental territorial</v>
          </cell>
        </row>
        <row r="112">
          <cell r="C112" t="str">
            <v>3206</v>
          </cell>
          <cell r="D112" t="str">
            <v>Gestión del cambio climático para un desarrollo bajo en carbono y resiliente al clima</v>
          </cell>
        </row>
        <row r="113">
          <cell r="C113" t="str">
            <v>3207</v>
          </cell>
          <cell r="D113" t="str">
            <v>Gestión integral de mares, costas y recursos acuáticos</v>
          </cell>
        </row>
        <row r="114">
          <cell r="C114" t="str">
            <v>3208</v>
          </cell>
          <cell r="D114" t="str">
            <v xml:space="preserve">Educación ambiental </v>
          </cell>
        </row>
        <row r="115">
          <cell r="C115" t="str">
            <v>3299</v>
          </cell>
          <cell r="D115" t="str">
            <v>Fortalecimiento de la gestión y dirección del sector Ambiente y Desarrollo Sostenible</v>
          </cell>
        </row>
        <row r="116">
          <cell r="C116" t="str">
            <v>3301</v>
          </cell>
          <cell r="D116" t="str">
            <v>Promoción y acceso efectivo a procesos culturales y artísticos</v>
          </cell>
        </row>
        <row r="117">
          <cell r="C117" t="str">
            <v>3302</v>
          </cell>
          <cell r="D117" t="str">
            <v>Gestión, protección y salvaguardia del patrimonio cultural colombiano</v>
          </cell>
        </row>
        <row r="118">
          <cell r="C118" t="str">
            <v>3399</v>
          </cell>
          <cell r="D118" t="str">
            <v>Fortalecimiento de la gestión y dirección del sector Cultura</v>
          </cell>
        </row>
        <row r="119">
          <cell r="C119" t="str">
            <v>3501</v>
          </cell>
          <cell r="D119" t="str">
            <v>Internacionalización de la economía</v>
          </cell>
        </row>
        <row r="120">
          <cell r="C120" t="str">
            <v>3502</v>
          </cell>
          <cell r="D120" t="str">
            <v>Productividad y competitividad de las empresas colombianas</v>
          </cell>
        </row>
        <row r="121">
          <cell r="C121" t="str">
            <v>3503</v>
          </cell>
          <cell r="D121" t="str">
            <v>Ambiente regulatorio y económico para la competencia y la actividad empresarial</v>
          </cell>
        </row>
        <row r="122">
          <cell r="C122" t="str">
            <v>3599</v>
          </cell>
          <cell r="D122" t="str">
            <v>Fortalecimiento de la gestión y dirección del sector Comercio, Industria y Turismo</v>
          </cell>
        </row>
        <row r="123">
          <cell r="C123" t="str">
            <v>3601</v>
          </cell>
          <cell r="D123" t="str">
            <v>Protección Social</v>
          </cell>
        </row>
        <row r="124">
          <cell r="C124" t="str">
            <v>3602</v>
          </cell>
          <cell r="D124" t="str">
            <v>Generación y formalización del empleo</v>
          </cell>
        </row>
        <row r="125">
          <cell r="C125" t="str">
            <v>3603</v>
          </cell>
          <cell r="D125" t="str">
            <v>Formación para el trabajo</v>
          </cell>
        </row>
        <row r="126">
          <cell r="C126" t="str">
            <v>3604</v>
          </cell>
          <cell r="D126" t="str">
            <v>Derechos fundamentales del trabajo y fortalecimiento del diálogo social</v>
          </cell>
        </row>
        <row r="127">
          <cell r="C127" t="str">
            <v>3605</v>
          </cell>
          <cell r="D127" t="str">
            <v>Fomento de la investigación, desarrollo tecnológico e innovación del sector trabajo</v>
          </cell>
        </row>
        <row r="128">
          <cell r="C128" t="str">
            <v>3699</v>
          </cell>
          <cell r="D128" t="str">
            <v>Fortalecimiento de la gestión y dirección del sector Trabajo</v>
          </cell>
        </row>
        <row r="129">
          <cell r="C129" t="str">
            <v>3701</v>
          </cell>
          <cell r="D129" t="str">
            <v>Fortalecimiento institucional a los procesos organizativos de concertación; garantía, prevención y respeto de los derechos humanos como fundamentos para la paz</v>
          </cell>
        </row>
        <row r="130">
          <cell r="C130" t="str">
            <v>3702</v>
          </cell>
          <cell r="D130" t="str">
            <v>Fortalecimiento a la gobernabilidad territorial para la seguridad, convivencia ciudadana, paz y postconflicto</v>
          </cell>
        </row>
        <row r="131">
          <cell r="C131" t="str">
            <v>3703</v>
          </cell>
          <cell r="D131" t="str">
            <v>Política pública de víctimas del conflicto armado y postconflicto</v>
          </cell>
        </row>
        <row r="132">
          <cell r="C132" t="str">
            <v>3704</v>
          </cell>
          <cell r="D132" t="str">
            <v>Participación ciudadana, política y diversidad de creencias</v>
          </cell>
        </row>
        <row r="133">
          <cell r="C133" t="str">
            <v>3705</v>
          </cell>
          <cell r="D133" t="str">
            <v>Protección de personas, grupos y comunidades en riesgo extraordinario y extremo Unidad Nacional de Protección (UNP)</v>
          </cell>
        </row>
        <row r="134">
          <cell r="C134" t="str">
            <v>3706</v>
          </cell>
          <cell r="D134" t="str">
            <v>Protección, promoción y difusión del derecho de autor y los derechos conexos</v>
          </cell>
        </row>
        <row r="135">
          <cell r="C135" t="str">
            <v>3707</v>
          </cell>
          <cell r="D135" t="str">
            <v>Gestión del riesgo de desastres naturales y antrópicos en la zona de influencia del volcán Nevado del Huila</v>
          </cell>
        </row>
        <row r="136">
          <cell r="C136" t="str">
            <v>3708</v>
          </cell>
          <cell r="D136" t="str">
            <v>Fortalecimiento institucional y operativo de los Bomberos de Colombia</v>
          </cell>
        </row>
        <row r="137">
          <cell r="C137" t="str">
            <v>3799</v>
          </cell>
          <cell r="D137" t="str">
            <v>Fortalecimiento de la gestión y dirección del sector Interior</v>
          </cell>
        </row>
        <row r="138">
          <cell r="C138" t="str">
            <v>3901</v>
          </cell>
          <cell r="D138" t="str">
            <v xml:space="preserve">Consolidación de una institucionalidad habilitante para la Ciencia Tecnología e Innovación (CTeI) </v>
          </cell>
        </row>
        <row r="139">
          <cell r="C139" t="str">
            <v>3902</v>
          </cell>
          <cell r="D139" t="str">
            <v>Investigación con calidad e impacto</v>
          </cell>
        </row>
        <row r="140">
          <cell r="C140" t="str">
            <v>3903</v>
          </cell>
          <cell r="D140" t="str">
            <v>Desarrollo tecnológico e innovación para crecimiento empresarial</v>
          </cell>
        </row>
        <row r="141">
          <cell r="C141" t="str">
            <v>3904</v>
          </cell>
          <cell r="D141" t="str">
            <v>Generación de una cultura que valora y gestiona el conocimiento y la innovación</v>
          </cell>
        </row>
        <row r="142">
          <cell r="C142" t="str">
            <v>3999</v>
          </cell>
          <cell r="D142" t="str">
            <v xml:space="preserve">Fortalecimiento de la gestión y dirección del sector Ciencia, Tecnología e Innovación </v>
          </cell>
        </row>
        <row r="143">
          <cell r="C143" t="str">
            <v>4001</v>
          </cell>
          <cell r="D143" t="str">
            <v>Acceso a soluciones de vivienda</v>
          </cell>
        </row>
        <row r="144">
          <cell r="C144" t="str">
            <v>4002</v>
          </cell>
          <cell r="D144" t="str">
            <v>Ordenamiento territorial y desarrollo urbano</v>
          </cell>
        </row>
        <row r="145">
          <cell r="C145" t="str">
            <v>4003</v>
          </cell>
          <cell r="D145" t="str">
            <v>Acceso de la población a los servicios de agua potable y saneamiento básico</v>
          </cell>
        </row>
        <row r="146">
          <cell r="C146" t="str">
            <v>4099</v>
          </cell>
          <cell r="D146" t="str">
            <v>Fortalecimiento de la gestión y dirección del sector Vivienda, Ciudad y Territorio</v>
          </cell>
        </row>
        <row r="147">
          <cell r="C147" t="str">
            <v>4101</v>
          </cell>
          <cell r="D147" t="str">
            <v>Atención, asistencia  y reparación integral a las víctimas</v>
          </cell>
        </row>
        <row r="148">
          <cell r="C148" t="str">
            <v>4102</v>
          </cell>
          <cell r="D148" t="str">
            <v>Desarrollo integral de la primera infancia a la juventud, y fortalecimiento de las capacidades de las familias de niñas, niños y adolescentes</v>
          </cell>
        </row>
        <row r="149">
          <cell r="C149" t="str">
            <v>4103</v>
          </cell>
          <cell r="D149" t="str">
            <v>Inclusión social y productiva para la población en situación de vulnerabilidad</v>
          </cell>
        </row>
        <row r="150">
          <cell r="C150" t="str">
            <v>4104</v>
          </cell>
          <cell r="D150" t="str">
            <v>Atención integral de población en situación permanente de desprotección social y/o familiar</v>
          </cell>
        </row>
        <row r="151">
          <cell r="C151" t="str">
            <v>4199</v>
          </cell>
          <cell r="D151" t="str">
            <v xml:space="preserve">Fortalecimiento de la gestión y dirección del sector Inclusión Social y Reconciliación </v>
          </cell>
        </row>
        <row r="152">
          <cell r="C152" t="str">
            <v>4201</v>
          </cell>
          <cell r="D152" t="str">
            <v>Desarrollo de Inteligencia estratégica y contrainteligencia de Estado</v>
          </cell>
        </row>
        <row r="153">
          <cell r="C153" t="str">
            <v>4299</v>
          </cell>
          <cell r="D153" t="str">
            <v>Fortalecimiento de la gestión y dirección del sector Inteligencia</v>
          </cell>
        </row>
        <row r="154">
          <cell r="C154" t="str">
            <v>4301</v>
          </cell>
          <cell r="D154" t="str">
            <v>Fomento a la recreación, la actividad física y el deporte</v>
          </cell>
        </row>
        <row r="155">
          <cell r="C155" t="str">
            <v>4302</v>
          </cell>
          <cell r="D155" t="str">
            <v>Formación y preparación de deportistas</v>
          </cell>
        </row>
        <row r="156">
          <cell r="C156" t="str">
            <v>4399</v>
          </cell>
          <cell r="D156" t="str">
            <v xml:space="preserve">Fortalecimiento de la gestión y dirección del sector Deporte y Recreación </v>
          </cell>
        </row>
        <row r="157">
          <cell r="C157" t="str">
            <v>4401</v>
          </cell>
          <cell r="D157" t="str">
            <v>Jurisdicción especial para la paz</v>
          </cell>
        </row>
        <row r="158">
          <cell r="C158" t="str">
            <v>4402</v>
          </cell>
          <cell r="D158" t="str">
            <v xml:space="preserve">Esclarecimiento de la verdad, la convivencia y la no repetición.
</v>
          </cell>
        </row>
        <row r="159">
          <cell r="C159" t="str">
            <v>4403</v>
          </cell>
          <cell r="D159" t="str">
            <v xml:space="preserve">Búsqueda humanitaria de personas dadas por desaparecidas en el contexto y en razón del conflicto armado en Colombia
</v>
          </cell>
        </row>
        <row r="160">
          <cell r="C160" t="str">
            <v>4499</v>
          </cell>
          <cell r="D160" t="str">
            <v>Fortalecimiento de la gestión y dirección del sector Justicia Especial para la Paz</v>
          </cell>
        </row>
        <row r="161">
          <cell r="C161" t="str">
            <v>4501</v>
          </cell>
          <cell r="D161" t="str">
            <v>Fortalecimiento de la convivencia y la seguridad ciudadana</v>
          </cell>
        </row>
        <row r="162">
          <cell r="C162" t="str">
            <v>4502</v>
          </cell>
          <cell r="D162" t="str">
            <v>Fortalecimiento del buen gobierno para el respeto y garantía de los derechos humanos</v>
          </cell>
        </row>
        <row r="163">
          <cell r="C163" t="str">
            <v>4503</v>
          </cell>
          <cell r="D163" t="str">
            <v>Gestión del riesgo de desastres y emergencias</v>
          </cell>
        </row>
        <row r="164">
          <cell r="C164" t="str">
            <v>4599</v>
          </cell>
          <cell r="D164" t="str">
            <v>Fortalecimiento a la gestión y dirección de la administración pública territorial</v>
          </cell>
        </row>
        <row r="165">
          <cell r="C165">
            <v>0</v>
          </cell>
          <cell r="D165">
            <v>0</v>
          </cell>
        </row>
        <row r="166">
          <cell r="C166">
            <v>0</v>
          </cell>
          <cell r="D166">
            <v>0</v>
          </cell>
        </row>
        <row r="167">
          <cell r="C167">
            <v>0</v>
          </cell>
          <cell r="D167">
            <v>0</v>
          </cell>
        </row>
        <row r="168">
          <cell r="C168">
            <v>0</v>
          </cell>
          <cell r="D168">
            <v>0</v>
          </cell>
        </row>
        <row r="169">
          <cell r="C169">
            <v>0</v>
          </cell>
          <cell r="D169">
            <v>0</v>
          </cell>
        </row>
        <row r="170">
          <cell r="C170">
            <v>0</v>
          </cell>
          <cell r="D170">
            <v>0</v>
          </cell>
        </row>
        <row r="171">
          <cell r="C171">
            <v>0</v>
          </cell>
          <cell r="D171">
            <v>0</v>
          </cell>
        </row>
      </sheetData>
      <sheetData sheetId="3"/>
      <sheetData sheetId="4"/>
      <sheetData sheetId="5"/>
      <sheetData sheetId="6"/>
      <sheetData sheetId="7"/>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row r="5">
          <cell r="H5" t="str">
            <v>01</v>
          </cell>
          <cell r="I5" t="str">
            <v>CONGRESO</v>
          </cell>
        </row>
        <row r="6">
          <cell r="H6" t="str">
            <v>02</v>
          </cell>
          <cell r="I6" t="str">
            <v>PRESIDENCIA DE LA REPÚBLICA</v>
          </cell>
        </row>
        <row r="7">
          <cell r="H7" t="str">
            <v>03</v>
          </cell>
          <cell r="I7" t="str">
            <v>PLANEACIÓN</v>
          </cell>
        </row>
        <row r="8">
          <cell r="H8" t="str">
            <v>04</v>
          </cell>
          <cell r="I8" t="str">
            <v>INFORMACIÓN ESTADÍSTICA</v>
          </cell>
        </row>
        <row r="9">
          <cell r="H9" t="str">
            <v>05</v>
          </cell>
          <cell r="I9" t="str">
            <v>EMPLEO PÚBLICO</v>
          </cell>
        </row>
        <row r="10">
          <cell r="H10" t="str">
            <v>11</v>
          </cell>
          <cell r="I10" t="str">
            <v>RELACIONES EXTERIORES</v>
          </cell>
        </row>
        <row r="11">
          <cell r="H11" t="str">
            <v>12</v>
          </cell>
          <cell r="I11" t="str">
            <v>JUSTICIA Y DEL DERECHO</v>
          </cell>
        </row>
        <row r="12">
          <cell r="H12" t="str">
            <v>13</v>
          </cell>
          <cell r="I12" t="str">
            <v>HACIENDA</v>
          </cell>
        </row>
        <row r="13">
          <cell r="H13" t="str">
            <v>15</v>
          </cell>
          <cell r="I13" t="str">
            <v>SECTOR DEFENSA Y POLICÍA</v>
          </cell>
        </row>
        <row r="14">
          <cell r="H14" t="str">
            <v>17</v>
          </cell>
          <cell r="I14" t="str">
            <v>AGRICULTURA Y DESARROLLO RURAL</v>
          </cell>
        </row>
        <row r="15">
          <cell r="H15" t="str">
            <v>19</v>
          </cell>
          <cell r="I15" t="str">
            <v>SALUD Y PROTECCIÓN SOCIAL</v>
          </cell>
        </row>
        <row r="16">
          <cell r="H16" t="str">
            <v>21</v>
          </cell>
          <cell r="I16" t="str">
            <v>MINAS Y ENERGÍA</v>
          </cell>
        </row>
        <row r="17">
          <cell r="H17" t="str">
            <v>22</v>
          </cell>
          <cell r="I17" t="str">
            <v>EDUCACIÓN</v>
          </cell>
        </row>
        <row r="18">
          <cell r="H18" t="str">
            <v>23</v>
          </cell>
          <cell r="I18" t="str">
            <v>TECNOLOGÍAS DE LA INFORMACIÓN Y LAS COMUNICACIONES</v>
          </cell>
        </row>
        <row r="19">
          <cell r="H19" t="str">
            <v>24</v>
          </cell>
          <cell r="I19" t="str">
            <v>TRANSPORTE</v>
          </cell>
        </row>
        <row r="20">
          <cell r="H20" t="str">
            <v>25</v>
          </cell>
          <cell r="I20" t="str">
            <v>ORGANISMOS DE CONTROL</v>
          </cell>
        </row>
        <row r="21">
          <cell r="H21" t="str">
            <v>27</v>
          </cell>
          <cell r="I21" t="str">
            <v>RAMA JUDICIAL</v>
          </cell>
        </row>
        <row r="22">
          <cell r="H22" t="str">
            <v>28</v>
          </cell>
          <cell r="I22" t="str">
            <v>REGISTRADURÍA</v>
          </cell>
        </row>
        <row r="23">
          <cell r="H23" t="str">
            <v>29</v>
          </cell>
          <cell r="I23" t="str">
            <v>FISCALÍA</v>
          </cell>
        </row>
        <row r="24">
          <cell r="H24" t="str">
            <v>32</v>
          </cell>
          <cell r="I24" t="str">
            <v>AMBIENTE Y DESARROLLO SOSTENIBLE</v>
          </cell>
        </row>
        <row r="25">
          <cell r="H25" t="str">
            <v>33</v>
          </cell>
          <cell r="I25" t="str">
            <v>CULTURA</v>
          </cell>
        </row>
        <row r="26">
          <cell r="H26" t="str">
            <v>35</v>
          </cell>
          <cell r="I26" t="str">
            <v>COMERCIO, INDUSTRIA Y TURISMO</v>
          </cell>
        </row>
        <row r="27">
          <cell r="H27" t="str">
            <v>36</v>
          </cell>
          <cell r="I27" t="str">
            <v>TRABAJO</v>
          </cell>
        </row>
        <row r="28">
          <cell r="H28" t="str">
            <v>37</v>
          </cell>
          <cell r="I28" t="str">
            <v>INTERIOR</v>
          </cell>
        </row>
        <row r="29">
          <cell r="H29" t="str">
            <v>39</v>
          </cell>
          <cell r="I29" t="str">
            <v>CIENCIA, TECNOLOGÍA E INNOVACIÓN</v>
          </cell>
        </row>
        <row r="30">
          <cell r="H30" t="str">
            <v>40</v>
          </cell>
          <cell r="I30" t="str">
            <v>VIVIENDA, CIUDAD Y TERRITORIO</v>
          </cell>
        </row>
        <row r="31">
          <cell r="H31" t="str">
            <v>41</v>
          </cell>
          <cell r="I31" t="str">
            <v>INCLUSIÓN SOCIAL Y RECONCILIACIÓN</v>
          </cell>
        </row>
        <row r="32">
          <cell r="H32" t="str">
            <v>42</v>
          </cell>
          <cell r="I32" t="str">
            <v>INTELIGENCIA</v>
          </cell>
        </row>
        <row r="33">
          <cell r="H33" t="str">
            <v>43</v>
          </cell>
          <cell r="I33" t="str">
            <v>DEPORTE Y RECREACIÓN</v>
          </cell>
        </row>
        <row r="34">
          <cell r="H34" t="str">
            <v>44</v>
          </cell>
          <cell r="I34" t="str">
            <v>SISTEMA INTEGRAL DE VERDAD, JUSTICIA, REPARACIÓN Y NO REPETICIÓN</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 xml:space="preserve">Gestión para impulsar el desarrollo integral de los y las jóvenes desde el Sector Presidencia  </v>
          </cell>
        </row>
        <row r="7">
          <cell r="C7" t="str">
            <v>0206</v>
          </cell>
          <cell r="D7" t="str">
            <v>Acción Integral contra minas antipersonal como mecanismo de transición hacia la paz territorial desde el Sector Presidencia</v>
          </cell>
        </row>
        <row r="8">
          <cell r="C8" t="str">
            <v>0207</v>
          </cell>
          <cell r="D8" t="str">
            <v>Prevención y mitigación del riesgo de desastres desde el sector Presidencia</v>
          </cell>
        </row>
        <row r="9">
          <cell r="C9" t="str">
            <v>0208</v>
          </cell>
          <cell r="D9" t="str">
            <v>Gestión de la cooperación internacional del sector Presidencia</v>
          </cell>
        </row>
        <row r="10">
          <cell r="C10" t="str">
            <v>0209</v>
          </cell>
          <cell r="D10" t="str">
            <v>Fortalecimiento de la infraestructura física de las entidades del Estado del nivel nacional desde el Sector Presidencia</v>
          </cell>
        </row>
        <row r="11">
          <cell r="C11" t="str">
            <v>0210</v>
          </cell>
          <cell r="D11" t="str">
            <v>Mecanismos de transición hacia la paz a nivel nacional y territorial desde el sector Presidencia</v>
          </cell>
        </row>
        <row r="12">
          <cell r="C12" t="str">
            <v>0211</v>
          </cell>
          <cell r="D12" t="str">
            <v>Reintegración de personas y grupos alzados en armas desde el Sector Presidencia</v>
          </cell>
        </row>
        <row r="13">
          <cell r="C13" t="str">
            <v>0212</v>
          </cell>
          <cell r="D13" t="str">
            <v>Renovación territorial para el desarrollo integral de las zonas rurales afectadas por el conflicto armado</v>
          </cell>
        </row>
        <row r="14">
          <cell r="C14" t="str">
            <v>0213</v>
          </cell>
          <cell r="D14" t="str">
            <v>Fortalecimiento a la garantía plena de derechos de las personas con discapacidad desde el Sector Presidencia de la República</v>
          </cell>
        </row>
        <row r="15">
          <cell r="C15" t="str">
            <v>0214</v>
          </cell>
          <cell r="D15" t="str">
            <v>Fortalecimiento de las capacidades de articulación estratégica, modernización, eficiencia administrativa, transparencia y acceso a la información desde el sector Presidencia</v>
          </cell>
        </row>
        <row r="16">
          <cell r="C16" t="str">
            <v>0299</v>
          </cell>
          <cell r="D16" t="str">
            <v>Fortalecimiento de la gestión y dirección del Sector Presidencia</v>
          </cell>
        </row>
        <row r="17">
          <cell r="C17" t="str">
            <v>0301</v>
          </cell>
          <cell r="D17" t="str">
            <v>Mejoramiento de la planeación territorial y sectorial</v>
          </cell>
        </row>
        <row r="18">
          <cell r="C18" t="str">
            <v>0303</v>
          </cell>
          <cell r="D18" t="str">
            <v>Promoción de la prestación eficiente de los servicios públicos domiciliarios</v>
          </cell>
        </row>
        <row r="19">
          <cell r="C19" t="str">
            <v>0304</v>
          </cell>
          <cell r="D19" t="str">
            <v>Fortalecimiento del sistema de compra pública</v>
          </cell>
        </row>
        <row r="20">
          <cell r="C20" t="str">
            <v>0399</v>
          </cell>
          <cell r="D20" t="str">
            <v>Fortalecimiento de la gestión y dirección del Sector Planeación</v>
          </cell>
        </row>
        <row r="21">
          <cell r="C21" t="str">
            <v>0401</v>
          </cell>
          <cell r="D21" t="str">
            <v>Levantamiento y actualización de información estadística de calidad</v>
          </cell>
        </row>
        <row r="22">
          <cell r="C22" t="str">
            <v>0406</v>
          </cell>
          <cell r="D22" t="str">
            <v>Generación de la información geográfica del territorio nacional</v>
          </cell>
        </row>
        <row r="23">
          <cell r="C23" t="str">
            <v>0499</v>
          </cell>
          <cell r="D23" t="str">
            <v>Fortalecimiento de la gestión y dirección del Sector Información Estadística</v>
          </cell>
        </row>
        <row r="24">
          <cell r="C24" t="str">
            <v>0503</v>
          </cell>
          <cell r="D24" t="str">
            <v xml:space="preserve">Mejoramiento de la calidad educativa en gestión pública </v>
          </cell>
        </row>
        <row r="25">
          <cell r="C25" t="str">
            <v>0504</v>
          </cell>
          <cell r="D25" t="str">
            <v>Administración y vigilancia de las carreras administrativas de los servidores públicos</v>
          </cell>
        </row>
        <row r="26">
          <cell r="C26" t="str">
            <v>0505</v>
          </cell>
          <cell r="D26" t="str">
            <v>Fortalecimiento de la Gestión Pública en las Entidades Nacionales y Territoriales</v>
          </cell>
        </row>
        <row r="27">
          <cell r="C27" t="str">
            <v>0599</v>
          </cell>
          <cell r="D27" t="str">
            <v>Fortalecimiento de la gestión y dirección del Sector Empleo Público</v>
          </cell>
        </row>
        <row r="28">
          <cell r="C28" t="str">
            <v>1101</v>
          </cell>
          <cell r="D28" t="str">
            <v>Fortalecimiento y diversificación de relaciones bilaterales</v>
          </cell>
        </row>
        <row r="29">
          <cell r="C29" t="str">
            <v>1102</v>
          </cell>
          <cell r="D29" t="str">
            <v>Posicionamiento en instancias globales, multilaterales, regionales y subregionales</v>
          </cell>
        </row>
        <row r="30">
          <cell r="C30" t="str">
            <v>1103</v>
          </cell>
          <cell r="D30" t="str">
            <v>Política migratoria y servicio al ciudadano</v>
          </cell>
        </row>
        <row r="31">
          <cell r="C31" t="str">
            <v>1104</v>
          </cell>
          <cell r="D31" t="str">
            <v>Soberanía territorial y desarrollo fronterizo</v>
          </cell>
        </row>
        <row r="32">
          <cell r="C32" t="str">
            <v>1105</v>
          </cell>
          <cell r="D32" t="str">
            <v>Cooperación internacional del sector relaciones exteriores</v>
          </cell>
        </row>
        <row r="33">
          <cell r="C33" t="str">
            <v>1199</v>
          </cell>
          <cell r="D33" t="str">
            <v>Fortalecimiento de la gestión y dirección del Sector Relaciones Exteriores</v>
          </cell>
        </row>
        <row r="34">
          <cell r="C34" t="str">
            <v>1201</v>
          </cell>
          <cell r="D34" t="str">
            <v xml:space="preserve"> Fortalecimiento del principio de seguridad jurídica, divulgación y depuración del ordenamiento jurídico</v>
          </cell>
        </row>
        <row r="35">
          <cell r="C35" t="str">
            <v>1202</v>
          </cell>
          <cell r="D35" t="str">
            <v xml:space="preserve"> Promoción al acceso a la justicia</v>
          </cell>
        </row>
        <row r="36">
          <cell r="C36" t="str">
            <v>1203</v>
          </cell>
          <cell r="D36" t="str">
            <v xml:space="preserve"> Promoción de los métodos de resolución de conflictos</v>
          </cell>
        </row>
        <row r="37">
          <cell r="C37" t="str">
            <v>1204</v>
          </cell>
          <cell r="D37" t="str">
            <v>Justicia transicional</v>
          </cell>
        </row>
        <row r="38">
          <cell r="C38" t="str">
            <v>1205</v>
          </cell>
          <cell r="D38" t="str">
            <v>Defensa jurídica del Estado</v>
          </cell>
        </row>
        <row r="39">
          <cell r="C39" t="str">
            <v>1206</v>
          </cell>
          <cell r="D39" t="str">
            <v>Sistema penitenciario y carcelario en el marco de los derechos humanos</v>
          </cell>
        </row>
        <row r="40">
          <cell r="C40" t="str">
            <v>1207</v>
          </cell>
          <cell r="D40" t="str">
            <v>Fortalecimiento de la política criminal del Estado colombiano</v>
          </cell>
        </row>
        <row r="41">
          <cell r="C41" t="str">
            <v>1208</v>
          </cell>
          <cell r="D41" t="str">
            <v>Formulación y coordinación de la política integral frente a las drogas y actividades relacionadas</v>
          </cell>
        </row>
        <row r="42">
          <cell r="C42" t="str">
            <v>1209</v>
          </cell>
          <cell r="D42" t="str">
            <v>Modernización de la información inmobiliaria</v>
          </cell>
        </row>
        <row r="43">
          <cell r="C43" t="str">
            <v>1299</v>
          </cell>
          <cell r="D43" t="str">
            <v>Fortalecimiento de la gestión y dirección del Sector Justicia y del Derecho</v>
          </cell>
        </row>
        <row r="44">
          <cell r="C44" t="str">
            <v>1301</v>
          </cell>
          <cell r="D44" t="str">
            <v>Política macroeconómica y fiscal</v>
          </cell>
        </row>
        <row r="45">
          <cell r="C45" t="str">
            <v>1302</v>
          </cell>
          <cell r="D45" t="str">
            <v>Gestión de recursos públicos</v>
          </cell>
        </row>
        <row r="46">
          <cell r="C46" t="str">
            <v>1303</v>
          </cell>
          <cell r="D46" t="str">
            <v>Reducción de la vulnerabilidad fiscal ante desastres y riesgos climáticos</v>
          </cell>
        </row>
        <row r="47">
          <cell r="C47" t="str">
            <v>1304</v>
          </cell>
          <cell r="D47" t="str">
            <v>Inspección, control y vigilancia financiera, solidaria y de recursos públicos</v>
          </cell>
        </row>
        <row r="48">
          <cell r="C48" t="str">
            <v>1305</v>
          </cell>
          <cell r="D48" t="str">
            <v>Fortalecimiento del recaudo y tributación</v>
          </cell>
        </row>
        <row r="49">
          <cell r="C49" t="str">
            <v>1399</v>
          </cell>
          <cell r="D49" t="str">
            <v>Fortalecimiento de la gestión y dirección del Sector Hacienda</v>
          </cell>
        </row>
        <row r="50">
          <cell r="C50" t="str">
            <v>1501</v>
          </cell>
          <cell r="D50" t="str">
            <v>Capacidades de la Policía Nacional en seguridad pública, prevención, convivencia y seguridad ciudadana</v>
          </cell>
        </row>
        <row r="51">
          <cell r="C51" t="str">
            <v>1502</v>
          </cell>
          <cell r="D51" t="str">
            <v>Capacidades de las Fuerzas Militares en seguridad pública y defensa en el territorio nacional</v>
          </cell>
        </row>
        <row r="52">
          <cell r="C52" t="str">
            <v>1504</v>
          </cell>
          <cell r="D52" t="str">
            <v>Desarrollo marítimo, fluvial y costero desde el sector defensa</v>
          </cell>
        </row>
        <row r="53">
          <cell r="C53" t="str">
            <v>1505</v>
          </cell>
          <cell r="D53" t="str">
            <v>Generación de bienestar para la Fuerza Pública y sus familias</v>
          </cell>
        </row>
        <row r="54">
          <cell r="C54" t="str">
            <v>1506</v>
          </cell>
          <cell r="D54" t="str">
            <v>Gestión del riesgo de desastres desde el sector defensa y seguridad</v>
          </cell>
        </row>
        <row r="55">
          <cell r="C55" t="str">
            <v>1507</v>
          </cell>
          <cell r="D55" t="str">
            <v>Grupo Social y Empresarial de la Defensa (GSED) Competitivo</v>
          </cell>
        </row>
        <row r="56">
          <cell r="C56" t="str">
            <v>1599</v>
          </cell>
          <cell r="D56" t="str">
            <v>Fortalecimiento de la gestión y dirección del Sector Defensa y Seguridad</v>
          </cell>
        </row>
        <row r="57">
          <cell r="C57" t="str">
            <v>1702</v>
          </cell>
          <cell r="D57" t="str">
            <v>Inclusión productiva de pequeños productores rurales</v>
          </cell>
        </row>
        <row r="58">
          <cell r="C58" t="str">
            <v>1703</v>
          </cell>
          <cell r="D58" t="str">
            <v>Servicios financieros y gestión del riesgo para las actividades agropecuarias y rurales</v>
          </cell>
        </row>
        <row r="59">
          <cell r="C59" t="str">
            <v>1704</v>
          </cell>
          <cell r="D59" t="str">
            <v>Ordenamiento social y uso productivo del territorio rural</v>
          </cell>
        </row>
        <row r="60">
          <cell r="C60" t="str">
            <v>1705</v>
          </cell>
          <cell r="D60" t="str">
            <v>Restitución de tierras a víctimas del conflicto armado</v>
          </cell>
        </row>
        <row r="61">
          <cell r="C61" t="str">
            <v>1706</v>
          </cell>
          <cell r="D61" t="str">
            <v xml:space="preserve"> Aprovechamiento de mercados externos</v>
          </cell>
        </row>
        <row r="62">
          <cell r="C62" t="str">
            <v>1707</v>
          </cell>
          <cell r="D62" t="str">
            <v>Sanidad agropecuaria e inocuidad agroalimentaria</v>
          </cell>
        </row>
        <row r="63">
          <cell r="C63" t="str">
            <v>1708</v>
          </cell>
          <cell r="D63" t="str">
            <v>Ciencia, tecnología e innovación agropecuaria</v>
          </cell>
        </row>
        <row r="64">
          <cell r="C64" t="str">
            <v>1709</v>
          </cell>
          <cell r="D64" t="str">
            <v>Infraestructura productiva y comercialización</v>
          </cell>
        </row>
        <row r="65">
          <cell r="C65" t="str">
            <v>1799</v>
          </cell>
          <cell r="D65" t="str">
            <v>Fortalecimiento de la gestión y dirección del Sector Agropecuario</v>
          </cell>
        </row>
        <row r="66">
          <cell r="C66" t="str">
            <v>1901</v>
          </cell>
          <cell r="D66" t="str">
            <v xml:space="preserve">Salud pública y prestación de servicios  </v>
          </cell>
        </row>
        <row r="67">
          <cell r="C67" t="str">
            <v>1902</v>
          </cell>
          <cell r="D67" t="str">
            <v>Aseguramiento y administración del Sistema General de la Seguridad Social en Salud - SGSSS</v>
          </cell>
        </row>
        <row r="68">
          <cell r="C68" t="str">
            <v>1903</v>
          </cell>
          <cell r="D68" t="str">
            <v>Inspección, vigilancia y control</v>
          </cell>
        </row>
        <row r="69">
          <cell r="C69" t="str">
            <v>1905</v>
          </cell>
          <cell r="D69" t="str">
            <v>Salud Pública</v>
          </cell>
        </row>
        <row r="70">
          <cell r="C70" t="str">
            <v>1906</v>
          </cell>
          <cell r="D70" t="str">
            <v>Aseguramiento y Prestación integral de servicios de salud</v>
          </cell>
        </row>
        <row r="71">
          <cell r="C71" t="str">
            <v>1999</v>
          </cell>
          <cell r="D71" t="str">
            <v xml:space="preserve"> Fortalecimiento de la gestión y dirección del Sector Salud y Protección Social</v>
          </cell>
        </row>
        <row r="72">
          <cell r="C72" t="str">
            <v>2101</v>
          </cell>
          <cell r="D72" t="str">
            <v>Acceso al servicio público domiciliario de gas combustible</v>
          </cell>
        </row>
        <row r="73">
          <cell r="C73" t="str">
            <v>2102</v>
          </cell>
          <cell r="D73" t="str">
            <v>Consolidación productiva del sector de energía eléctrica</v>
          </cell>
        </row>
        <row r="74">
          <cell r="C74" t="str">
            <v>2103</v>
          </cell>
          <cell r="D74" t="str">
            <v>Consolidación productiva del sector hidrocarburos</v>
          </cell>
        </row>
        <row r="75">
          <cell r="C75" t="str">
            <v>2104</v>
          </cell>
          <cell r="D75" t="str">
            <v>Consolidación productiva del sector minero</v>
          </cell>
        </row>
        <row r="76">
          <cell r="C76" t="str">
            <v>2105</v>
          </cell>
          <cell r="D76" t="str">
            <v xml:space="preserve"> Desarrollo ambiental sostenible del sector minero energético</v>
          </cell>
        </row>
        <row r="77">
          <cell r="C77" t="str">
            <v>2106</v>
          </cell>
          <cell r="D77" t="str">
            <v>Gestión de la información en el sector minero energético</v>
          </cell>
        </row>
        <row r="78">
          <cell r="C78" t="str">
            <v>2199</v>
          </cell>
          <cell r="D78" t="str">
            <v xml:space="preserve">Fortalecimiento de la gestión y dirección del Sector Minas y Energía </v>
          </cell>
        </row>
        <row r="79">
          <cell r="C79" t="str">
            <v>2201</v>
          </cell>
          <cell r="D79" t="str">
            <v>Calidad, cobertura y fortalecimiento de la educación inicial, prescolar, básica y media</v>
          </cell>
        </row>
        <row r="80">
          <cell r="C80" t="str">
            <v>2202</v>
          </cell>
          <cell r="D80" t="str">
            <v>Calidad y fomento de la educación superior</v>
          </cell>
        </row>
        <row r="81">
          <cell r="C81" t="str">
            <v>2203</v>
          </cell>
          <cell r="D81" t="str">
            <v>Cierre de brechas para el goce efectivo de derechos fundamentales de la población en condición de discapacidad</v>
          </cell>
        </row>
        <row r="82">
          <cell r="C82" t="str">
            <v>2299</v>
          </cell>
          <cell r="D82" t="str">
            <v>Fortalecimiento de la gestión y dirección del Sector Educación</v>
          </cell>
        </row>
        <row r="83">
          <cell r="C83" t="str">
            <v>2301</v>
          </cell>
          <cell r="D83" t="str">
            <v>Facilitar el acceso y uso de las Tecnologías de la Información y las Comunicaciones (TIC) en todo el territorio nacional</v>
          </cell>
        </row>
        <row r="84">
          <cell r="C84" t="str">
            <v>2302</v>
          </cell>
          <cell r="D84" t="str">
            <v>Fomento del desarrollo de aplicaciones, software y contenidos para impulsar la apropiación de las Tecnologías de la Información y las Comunicaciones (TIC)</v>
          </cell>
        </row>
        <row r="85">
          <cell r="C85" t="str">
            <v>2399</v>
          </cell>
          <cell r="D85" t="str">
            <v>Fortalecimiento de la gestión y dirección del Sector Comunicaciones</v>
          </cell>
        </row>
        <row r="86">
          <cell r="C86" t="str">
            <v>2401</v>
          </cell>
          <cell r="D86" t="str">
            <v>Infraestructura red vial primaria</v>
          </cell>
        </row>
        <row r="87">
          <cell r="C87" t="str">
            <v>2402</v>
          </cell>
          <cell r="D87" t="str">
            <v>Infraestructura red vial regional</v>
          </cell>
        </row>
        <row r="88">
          <cell r="C88" t="str">
            <v>2403</v>
          </cell>
          <cell r="D88" t="str">
            <v>Infraestructura y servicios de transporte aéreo</v>
          </cell>
        </row>
        <row r="89">
          <cell r="C89" t="str">
            <v>2404</v>
          </cell>
          <cell r="D89" t="str">
            <v>Infraestructura de transporte férreo</v>
          </cell>
        </row>
        <row r="90">
          <cell r="C90" t="str">
            <v>2405</v>
          </cell>
          <cell r="D90" t="str">
            <v>Infraestructura de transporte marítimo</v>
          </cell>
        </row>
        <row r="91">
          <cell r="C91" t="str">
            <v>2406</v>
          </cell>
          <cell r="D91" t="str">
            <v>Infraestructura de transporte fluvial</v>
          </cell>
        </row>
        <row r="92">
          <cell r="C92" t="str">
            <v>2407</v>
          </cell>
          <cell r="D92" t="str">
            <v>Infraestructura y servicios de logística de transporte</v>
          </cell>
        </row>
        <row r="93">
          <cell r="C93" t="str">
            <v>2408</v>
          </cell>
          <cell r="D93" t="str">
            <v>Prestación de servicios de transporte público de pasajeros</v>
          </cell>
        </row>
        <row r="94">
          <cell r="C94" t="str">
            <v>2409</v>
          </cell>
          <cell r="D94" t="str">
            <v>Seguridad de transporte</v>
          </cell>
        </row>
        <row r="95">
          <cell r="C95" t="str">
            <v>2410</v>
          </cell>
          <cell r="D95" t="str">
            <v>Regulación y supervisión de infraestructura y servicios de transporte</v>
          </cell>
        </row>
        <row r="96">
          <cell r="C96" t="str">
            <v>2499</v>
          </cell>
          <cell r="D96" t="str">
            <v>Fortalecimiento de la gestión y dirección del Sector Transporte</v>
          </cell>
        </row>
        <row r="97">
          <cell r="C97" t="str">
            <v>2501</v>
          </cell>
          <cell r="D97" t="str">
            <v>Fortalecimiento del control y la vigilancia de la gestión fiscal y resarcimiento al daño del patrimonio público</v>
          </cell>
        </row>
        <row r="98">
          <cell r="C98" t="str">
            <v>2502</v>
          </cell>
          <cell r="D98" t="str">
            <v>Promoción, protección y defensa de los Derechos Humanos y el Derecho Internacional Humanitario</v>
          </cell>
        </row>
        <row r="99">
          <cell r="C99" t="str">
            <v>2503</v>
          </cell>
          <cell r="D99" t="str">
            <v>Lucha contra la corrupción</v>
          </cell>
        </row>
        <row r="100">
          <cell r="C100" t="str">
            <v>2504</v>
          </cell>
          <cell r="D100" t="str">
            <v>Vigilancia de la gestión administrativa de los funcionarios del Estado</v>
          </cell>
        </row>
        <row r="101">
          <cell r="C101" t="str">
            <v>2599</v>
          </cell>
          <cell r="D101" t="str">
            <v>Fortalecimiento de la gestión y dirección del Sector Organismos de Control</v>
          </cell>
        </row>
        <row r="102">
          <cell r="C102" t="str">
            <v>2701</v>
          </cell>
          <cell r="D102" t="str">
            <v>Mejoramiento a las competencias de la administración de justica</v>
          </cell>
        </row>
        <row r="103">
          <cell r="C103" t="str">
            <v>2799</v>
          </cell>
          <cell r="D103" t="str">
            <v>Fortalecimiento de la gestión y dirección del Sector Rama Judicial</v>
          </cell>
        </row>
        <row r="104">
          <cell r="C104" t="str">
            <v>2801</v>
          </cell>
          <cell r="D104" t="str">
            <v>Procesos democráticos y asuntos electorales</v>
          </cell>
        </row>
        <row r="105">
          <cell r="C105" t="str">
            <v>2802</v>
          </cell>
          <cell r="D105" t="str">
            <v>Identificación y registro del estado civil de la población</v>
          </cell>
        </row>
        <row r="106">
          <cell r="C106" t="str">
            <v>2899</v>
          </cell>
          <cell r="D106" t="str">
            <v>Fortalecimiento de la gestión y dirección del Sector Registraduría</v>
          </cell>
        </row>
        <row r="107">
          <cell r="C107" t="str">
            <v>2901</v>
          </cell>
          <cell r="D107" t="str">
            <v>Efectividad de la investigación penal y técnico científica</v>
          </cell>
        </row>
        <row r="108">
          <cell r="C108" t="str">
            <v>2999</v>
          </cell>
          <cell r="D108" t="str">
            <v xml:space="preserve">Fortalecimiento de la gestión y dirección del Sector Fiscalía </v>
          </cell>
        </row>
        <row r="109">
          <cell r="C109" t="str">
            <v>3201</v>
          </cell>
          <cell r="D109" t="str">
            <v>Fortalecimiento del desempeño ambiental de los sectores productivos</v>
          </cell>
        </row>
        <row r="110">
          <cell r="C110" t="str">
            <v>3202</v>
          </cell>
          <cell r="D110" t="str">
            <v>Conservación de la biodiversidad y sus servicios ecosistémicos</v>
          </cell>
        </row>
        <row r="111">
          <cell r="C111" t="str">
            <v>3203</v>
          </cell>
          <cell r="D111" t="str">
            <v>Gestión integral del recurso hídrico</v>
          </cell>
        </row>
        <row r="112">
          <cell r="C112" t="str">
            <v>3204</v>
          </cell>
          <cell r="D112" t="str">
            <v>Gestión de la información y el conocimiento ambiental</v>
          </cell>
        </row>
        <row r="113">
          <cell r="C113" t="str">
            <v>3205</v>
          </cell>
          <cell r="D113" t="str">
            <v>Ordenamiento ambiental territorial</v>
          </cell>
        </row>
        <row r="114">
          <cell r="C114" t="str">
            <v>3206</v>
          </cell>
          <cell r="D114" t="str">
            <v>Gestión del cambio climático para un desarrollo bajo en carbono y resiliente al clima</v>
          </cell>
        </row>
        <row r="115">
          <cell r="C115" t="str">
            <v>3207</v>
          </cell>
          <cell r="D115" t="str">
            <v>Gestión integral de mares, costas y recursos acuáticos</v>
          </cell>
        </row>
        <row r="116">
          <cell r="C116" t="str">
            <v>3208</v>
          </cell>
          <cell r="D116" t="str">
            <v xml:space="preserve">Educación Ambiental </v>
          </cell>
        </row>
        <row r="117">
          <cell r="C117" t="str">
            <v>3299</v>
          </cell>
          <cell r="D117" t="str">
            <v>Fortalecimiento de la gestión y dirección del Sector Ambiente y Desarrollo Sostenible</v>
          </cell>
        </row>
        <row r="118">
          <cell r="C118" t="str">
            <v>3301</v>
          </cell>
          <cell r="D118" t="str">
            <v>Promoción y acceso efectivo a procesos culturales y artísticos</v>
          </cell>
        </row>
        <row r="119">
          <cell r="C119" t="str">
            <v>3302</v>
          </cell>
          <cell r="D119" t="str">
            <v>Gestión, protección y salvaguardia del patrimonio cultural colombiano</v>
          </cell>
        </row>
        <row r="120">
          <cell r="C120" t="str">
            <v>3399</v>
          </cell>
          <cell r="D120" t="str">
            <v>Fortalecimiento de la gestión y dirección del Sector Cultura</v>
          </cell>
        </row>
        <row r="121">
          <cell r="C121" t="str">
            <v>3501</v>
          </cell>
          <cell r="D121" t="str">
            <v>Internacionalización de la economía</v>
          </cell>
        </row>
        <row r="122">
          <cell r="C122" t="str">
            <v>3502</v>
          </cell>
          <cell r="D122" t="str">
            <v>Productividad y competitividad de las empresas colombianas</v>
          </cell>
        </row>
        <row r="123">
          <cell r="C123" t="str">
            <v>3503</v>
          </cell>
          <cell r="D123" t="str">
            <v>Ambiente regulatorio y económico para la competencia y la actividad empresarial</v>
          </cell>
        </row>
        <row r="124">
          <cell r="C124" t="str">
            <v>3599</v>
          </cell>
          <cell r="D124" t="str">
            <v>Fortalecimiento de la gestión y dirección del Sector Comercio, Industria y Turismo</v>
          </cell>
        </row>
        <row r="125">
          <cell r="C125" t="str">
            <v>3601</v>
          </cell>
          <cell r="D125" t="str">
            <v>Protección Social</v>
          </cell>
        </row>
        <row r="126">
          <cell r="C126" t="str">
            <v>3602</v>
          </cell>
          <cell r="D126" t="str">
            <v>Generación y formalización del empleo</v>
          </cell>
        </row>
        <row r="127">
          <cell r="C127" t="str">
            <v>3603</v>
          </cell>
          <cell r="D127" t="str">
            <v>Formación para el trabajo</v>
          </cell>
        </row>
        <row r="128">
          <cell r="C128" t="str">
            <v>3604</v>
          </cell>
          <cell r="D128" t="str">
            <v>Derechos fundamentales del trabajo y fortalecimiento del diálogo social</v>
          </cell>
        </row>
        <row r="129">
          <cell r="C129" t="str">
            <v>3605</v>
          </cell>
          <cell r="D129" t="str">
            <v>Fomento de la investigación, desarrollo tecnológico e innovación del sector trabajo</v>
          </cell>
        </row>
        <row r="130">
          <cell r="C130" t="str">
            <v>3699</v>
          </cell>
          <cell r="D130" t="str">
            <v>Fortalecimiento de la gestión y dirección del Sector Trabajo</v>
          </cell>
        </row>
        <row r="131">
          <cell r="C131" t="str">
            <v>3701</v>
          </cell>
          <cell r="D131" t="str">
            <v>Fortalecimiento institucional a los procesos organizativos de concertación; garantía, prevención y respeto de los derechos humanos como fundamentos para la paz</v>
          </cell>
        </row>
        <row r="132">
          <cell r="C132" t="str">
            <v>3702</v>
          </cell>
          <cell r="D132" t="str">
            <v>Fortalecimiento a la gobernabilidad territorial para la seguridad, convivencia ciudadana, paz y post-conflicto</v>
          </cell>
        </row>
        <row r="133">
          <cell r="C133" t="str">
            <v>3703</v>
          </cell>
          <cell r="D133" t="str">
            <v>Política pública de víctimas del conflicto armado y postconflicto</v>
          </cell>
        </row>
        <row r="134">
          <cell r="C134" t="str">
            <v>3704</v>
          </cell>
          <cell r="D134" t="str">
            <v>Participación Ciudadana, Política y diversidad de creencias</v>
          </cell>
        </row>
        <row r="135">
          <cell r="C135" t="str">
            <v>3705</v>
          </cell>
          <cell r="D135" t="str">
            <v>Protección de personas, grupos y comunidades en riesgo extraordinario y extremo UNP</v>
          </cell>
        </row>
        <row r="136">
          <cell r="C136" t="str">
            <v>3706</v>
          </cell>
          <cell r="D136" t="str">
            <v>Protección, promoción y difusión del derecho de autor y los derechos conexos</v>
          </cell>
        </row>
        <row r="137">
          <cell r="C137" t="str">
            <v>3707</v>
          </cell>
          <cell r="D137" t="str">
            <v>Gestión del riesgo de desastres naturales y antrópicos en la zona de influencia del Volcán Nevado del Huila</v>
          </cell>
        </row>
        <row r="138">
          <cell r="C138" t="str">
            <v>3708</v>
          </cell>
          <cell r="D138" t="str">
            <v>Fortalecimiento institucional y operativo de los Bomberos de Colombia</v>
          </cell>
        </row>
        <row r="139">
          <cell r="C139" t="str">
            <v>3799</v>
          </cell>
          <cell r="D139" t="str">
            <v>Fortalecimiento de la gestión y dirección del Sector Interior</v>
          </cell>
        </row>
        <row r="140">
          <cell r="C140" t="str">
            <v>3901</v>
          </cell>
          <cell r="D140" t="str">
            <v xml:space="preserve">Consolidación de una institucionalidad habilitante para la Ciencia Tecnología e Innovación (CTI) </v>
          </cell>
        </row>
        <row r="141">
          <cell r="C141" t="str">
            <v>3902</v>
          </cell>
          <cell r="D141" t="str">
            <v>Investigación con calidad e impacto</v>
          </cell>
        </row>
        <row r="142">
          <cell r="C142" t="str">
            <v>3903</v>
          </cell>
          <cell r="D142" t="str">
            <v>Desarrollo tecnológico e innovación para crecimiento empresarial</v>
          </cell>
        </row>
        <row r="143">
          <cell r="C143" t="str">
            <v>3904</v>
          </cell>
          <cell r="D143" t="str">
            <v>Generación de una cultura que valora y gestiona el conocimiento y la innovación</v>
          </cell>
        </row>
        <row r="144">
          <cell r="C144" t="str">
            <v>3999</v>
          </cell>
          <cell r="D144" t="str">
            <v>Fortalecimiento de la gestión y dirección del Sector Ciencia y Tecnología</v>
          </cell>
        </row>
        <row r="145">
          <cell r="C145" t="str">
            <v>4001</v>
          </cell>
          <cell r="D145" t="str">
            <v>Acceso a soluciones de vivienda</v>
          </cell>
        </row>
        <row r="146">
          <cell r="C146" t="str">
            <v>4002</v>
          </cell>
          <cell r="D146" t="str">
            <v>Ordenamiento territorial y desarrollo urbano</v>
          </cell>
        </row>
        <row r="147">
          <cell r="C147" t="str">
            <v>4003</v>
          </cell>
          <cell r="D147" t="str">
            <v>Acceso de la población a los servicios de agua potable y saneamiento básico</v>
          </cell>
        </row>
        <row r="148">
          <cell r="C148" t="str">
            <v>4099</v>
          </cell>
          <cell r="D148" t="str">
            <v>Fortalecimiento de la gestión y dirección del Sector Vivienda, Ciudad y Territorio</v>
          </cell>
        </row>
        <row r="149">
          <cell r="C149" t="str">
            <v>4101</v>
          </cell>
          <cell r="D149" t="str">
            <v>Atención, asistencia  y reparación integral a las víctimas</v>
          </cell>
        </row>
        <row r="150">
          <cell r="C150" t="str">
            <v>4102</v>
          </cell>
          <cell r="D150" t="str">
            <v>Desarrollo integral de la primera infancia a la juventud, y fortalecimiento de las capacidades de las familias de niñas, niños y adolescentes</v>
          </cell>
        </row>
        <row r="151">
          <cell r="C151" t="str">
            <v>4103</v>
          </cell>
          <cell r="D151" t="str">
            <v>Inclusión social y productiva para la población en situación de vulnerabilidad</v>
          </cell>
        </row>
        <row r="152">
          <cell r="C152" t="str">
            <v>4104</v>
          </cell>
          <cell r="D152" t="str">
            <v>Atención integral de población en situación permanente de desprotección social y/o familiar</v>
          </cell>
        </row>
        <row r="153">
          <cell r="C153" t="str">
            <v>4199</v>
          </cell>
          <cell r="D153" t="str">
            <v xml:space="preserve">Fortalecimiento de la gestión y dirección del Sector Inclusión Social y Reconciliación </v>
          </cell>
        </row>
        <row r="154">
          <cell r="C154" t="str">
            <v>4201</v>
          </cell>
          <cell r="D154" t="str">
            <v>Desarrollo de Inteligencia Estratégica y Contrainteligencia de Estado</v>
          </cell>
        </row>
        <row r="155">
          <cell r="C155" t="str">
            <v>4299</v>
          </cell>
          <cell r="D155" t="str">
            <v>Fortalecimiento de la gestión y dirección del Sector Inteligencia</v>
          </cell>
        </row>
        <row r="156">
          <cell r="C156" t="str">
            <v>4301</v>
          </cell>
          <cell r="D156" t="str">
            <v>Fomento a la recreación, la actividad física y el deporte para desarrollar entornos de convivencia y paz</v>
          </cell>
        </row>
        <row r="157">
          <cell r="C157" t="str">
            <v>4302</v>
          </cell>
          <cell r="D157" t="str">
            <v>Formación y preparación de deportistas</v>
          </cell>
        </row>
        <row r="158">
          <cell r="C158" t="str">
            <v>4399</v>
          </cell>
          <cell r="D158" t="str">
            <v xml:space="preserve">Fortalecimiento de la gestión y dirección del Sector Deporte y Recreación </v>
          </cell>
        </row>
        <row r="159">
          <cell r="C159" t="str">
            <v>4401</v>
          </cell>
          <cell r="D159" t="str">
            <v>Jurisdicción especial para la paz</v>
          </cell>
        </row>
        <row r="160">
          <cell r="C160" t="str">
            <v>4402</v>
          </cell>
          <cell r="D160" t="str">
            <v xml:space="preserve">Esclarecimiento de la verdad, la convivencia y la no repetición.
</v>
          </cell>
        </row>
        <row r="161">
          <cell r="C161" t="str">
            <v>4403</v>
          </cell>
          <cell r="D161" t="str">
            <v xml:space="preserve">Búsqueda humanitaria de personas dadas por desaparecidas en el contexto y en razón del conflicto armado en Colombia
</v>
          </cell>
        </row>
        <row r="162">
          <cell r="C162" t="str">
            <v>4499</v>
          </cell>
          <cell r="D162" t="str">
            <v>Fortalecimiento de la gestión y dirección del Sector Sistema Integral de Verdad , Justicia, Reparación y No Repetición</v>
          </cell>
        </row>
        <row r="163">
          <cell r="C163" t="str">
            <v>4501</v>
          </cell>
          <cell r="D163" t="str">
            <v>Fortalecimiento de la convivencia y la seguridad ciudadana</v>
          </cell>
        </row>
        <row r="164">
          <cell r="C164" t="str">
            <v>4502</v>
          </cell>
          <cell r="D164" t="str">
            <v>Fortalecimiento del buen gobierno para el respeto y garantía de los derechos humanos.</v>
          </cell>
        </row>
        <row r="165">
          <cell r="C165" t="str">
            <v>4503</v>
          </cell>
          <cell r="D165" t="str">
            <v>Gestión del riesgo de desastres y emergencias</v>
          </cell>
        </row>
        <row r="166">
          <cell r="C166" t="str">
            <v>4599</v>
          </cell>
          <cell r="D166" t="str">
            <v>Fortalecimiento a la gestión y dirección de la administración pública territorial</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dnp.gov.co/DNP/contratac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1:L48"/>
  <sheetViews>
    <sheetView showGridLines="0" zoomScale="90" zoomScaleNormal="90" workbookViewId="0">
      <selection activeCell="B1" sqref="B1:C1"/>
    </sheetView>
  </sheetViews>
  <sheetFormatPr baseColWidth="10" defaultColWidth="10.85546875" defaultRowHeight="14.25" x14ac:dyDescent="0.2"/>
  <cols>
    <col min="1" max="1" width="5.85546875" style="232" customWidth="1"/>
    <col min="2" max="2" width="25.85546875" style="232" customWidth="1"/>
    <col min="3" max="3" width="103.42578125" style="232" customWidth="1"/>
    <col min="4" max="16384" width="10.85546875" style="232"/>
  </cols>
  <sheetData>
    <row r="1" spans="2:12" ht="44.25" customHeight="1" x14ac:dyDescent="0.2">
      <c r="B1" s="611"/>
      <c r="C1" s="611"/>
      <c r="E1" s="233"/>
      <c r="F1" s="233"/>
      <c r="G1" s="233"/>
      <c r="H1" s="233"/>
      <c r="I1" s="233"/>
      <c r="J1" s="233"/>
      <c r="K1" s="233"/>
      <c r="L1" s="233"/>
    </row>
    <row r="2" spans="2:12" ht="18" customHeight="1" thickBot="1" x14ac:dyDescent="0.3">
      <c r="B2" s="612" t="s">
        <v>426</v>
      </c>
      <c r="C2" s="612"/>
      <c r="D2" s="234"/>
      <c r="E2" s="233"/>
      <c r="F2" s="233"/>
      <c r="G2" s="233"/>
      <c r="H2" s="233"/>
      <c r="I2" s="233"/>
      <c r="J2" s="233"/>
      <c r="K2" s="233"/>
      <c r="L2" s="233"/>
    </row>
    <row r="3" spans="2:12" ht="13.35" customHeight="1" x14ac:dyDescent="0.2">
      <c r="B3" s="613" t="s">
        <v>490</v>
      </c>
      <c r="C3" s="614"/>
      <c r="D3" s="233"/>
      <c r="E3" s="233"/>
      <c r="F3" s="233"/>
      <c r="G3" s="233"/>
      <c r="H3" s="233"/>
      <c r="I3" s="233"/>
      <c r="J3" s="233"/>
      <c r="K3" s="233"/>
      <c r="L3" s="233"/>
    </row>
    <row r="4" spans="2:12" s="236" customFormat="1" ht="115.5" customHeight="1" thickBot="1" x14ac:dyDescent="0.25">
      <c r="B4" s="615"/>
      <c r="C4" s="616"/>
      <c r="D4" s="235"/>
      <c r="E4" s="233"/>
      <c r="F4" s="233"/>
      <c r="G4" s="233"/>
      <c r="H4" s="233"/>
      <c r="I4" s="233"/>
      <c r="J4" s="233"/>
      <c r="K4" s="233"/>
      <c r="L4" s="233"/>
    </row>
    <row r="5" spans="2:12" s="236" customFormat="1" ht="24.75" customHeight="1" thickBot="1" x14ac:dyDescent="0.25">
      <c r="B5" s="237"/>
      <c r="C5" s="237"/>
      <c r="D5" s="235"/>
      <c r="E5" s="235"/>
      <c r="F5" s="235"/>
      <c r="G5" s="235"/>
      <c r="H5" s="235"/>
      <c r="I5" s="235"/>
      <c r="J5" s="235"/>
    </row>
    <row r="6" spans="2:12" s="239" customFormat="1" ht="20.100000000000001" customHeight="1" thickBot="1" x14ac:dyDescent="0.3">
      <c r="B6" s="617" t="s">
        <v>427</v>
      </c>
      <c r="C6" s="618"/>
      <c r="D6" s="238"/>
      <c r="E6" s="238"/>
      <c r="F6" s="238"/>
      <c r="G6" s="238"/>
      <c r="H6" s="238"/>
      <c r="I6" s="238"/>
      <c r="J6" s="238"/>
    </row>
    <row r="7" spans="2:12" s="236" customFormat="1" ht="11.45" customHeight="1" x14ac:dyDescent="0.2">
      <c r="B7" s="619" t="s">
        <v>491</v>
      </c>
      <c r="C7" s="619"/>
      <c r="D7" s="235"/>
      <c r="E7" s="235"/>
      <c r="F7" s="235"/>
      <c r="G7" s="235"/>
      <c r="H7" s="235"/>
      <c r="I7" s="235"/>
      <c r="J7" s="235"/>
    </row>
    <row r="8" spans="2:12" s="235" customFormat="1" ht="21.95" customHeight="1" x14ac:dyDescent="0.2">
      <c r="B8" s="604"/>
      <c r="C8" s="604"/>
    </row>
    <row r="9" spans="2:12" s="236" customFormat="1" ht="24.75" customHeight="1" x14ac:dyDescent="0.2">
      <c r="B9" s="237"/>
      <c r="C9" s="237"/>
      <c r="D9" s="235"/>
      <c r="E9" s="235"/>
      <c r="F9" s="235"/>
      <c r="G9" s="235"/>
      <c r="H9" s="235"/>
      <c r="I9" s="235"/>
      <c r="J9" s="235"/>
    </row>
    <row r="10" spans="2:12" s="239" customFormat="1" ht="15" x14ac:dyDescent="0.25">
      <c r="B10" s="605" t="s">
        <v>1150</v>
      </c>
      <c r="C10" s="605"/>
      <c r="D10" s="238"/>
      <c r="E10" s="238"/>
      <c r="F10" s="238"/>
      <c r="G10" s="238"/>
      <c r="H10" s="238"/>
      <c r="I10" s="238"/>
      <c r="J10" s="238"/>
    </row>
    <row r="11" spans="2:12" s="236" customFormat="1" ht="11.45" customHeight="1" x14ac:dyDescent="0.2">
      <c r="B11" s="604" t="s">
        <v>1151</v>
      </c>
      <c r="C11" s="604"/>
      <c r="D11" s="235"/>
      <c r="E11" s="235"/>
      <c r="F11" s="235"/>
      <c r="G11" s="235"/>
      <c r="H11" s="235"/>
      <c r="I11" s="235"/>
      <c r="J11" s="235"/>
    </row>
    <row r="12" spans="2:12" s="235" customFormat="1" ht="35.1" customHeight="1" x14ac:dyDescent="0.2">
      <c r="B12" s="604"/>
      <c r="C12" s="604"/>
    </row>
    <row r="13" spans="2:12" s="236" customFormat="1" ht="24.75" customHeight="1" x14ac:dyDescent="0.2">
      <c r="B13" s="237"/>
      <c r="C13" s="237"/>
      <c r="D13" s="235"/>
      <c r="E13" s="235"/>
      <c r="F13" s="235"/>
      <c r="G13" s="235"/>
      <c r="H13" s="235"/>
      <c r="I13" s="235"/>
      <c r="J13" s="235"/>
    </row>
    <row r="14" spans="2:12" s="239" customFormat="1" ht="15" x14ac:dyDescent="0.25">
      <c r="B14" s="605" t="s">
        <v>561</v>
      </c>
      <c r="C14" s="605"/>
      <c r="D14" s="238"/>
      <c r="E14" s="238"/>
      <c r="F14" s="238"/>
      <c r="G14" s="238"/>
      <c r="H14" s="238"/>
      <c r="I14" s="238"/>
      <c r="J14" s="238"/>
    </row>
    <row r="15" spans="2:12" s="236" customFormat="1" ht="24.75" customHeight="1" x14ac:dyDescent="0.2">
      <c r="B15" s="606" t="s">
        <v>428</v>
      </c>
      <c r="C15" s="607"/>
      <c r="D15" s="235"/>
      <c r="E15" s="235"/>
      <c r="F15" s="235"/>
      <c r="G15" s="235"/>
      <c r="H15" s="235"/>
      <c r="I15" s="235"/>
      <c r="J15" s="235"/>
    </row>
    <row r="16" spans="2:12" s="236" customFormat="1" ht="12.75" customHeight="1" x14ac:dyDescent="0.2">
      <c r="D16" s="235"/>
      <c r="E16" s="235"/>
      <c r="F16" s="235"/>
      <c r="G16" s="235"/>
      <c r="H16" s="235"/>
      <c r="I16" s="235"/>
      <c r="J16" s="235"/>
    </row>
    <row r="17" spans="2:10" s="239" customFormat="1" ht="15" x14ac:dyDescent="0.25">
      <c r="B17" s="605" t="s">
        <v>429</v>
      </c>
      <c r="C17" s="605"/>
      <c r="D17" s="238"/>
      <c r="E17" s="238"/>
      <c r="F17" s="238"/>
      <c r="G17" s="238"/>
      <c r="H17" s="238"/>
      <c r="I17" s="238"/>
      <c r="J17" s="238"/>
    </row>
    <row r="18" spans="2:10" s="236" customFormat="1" ht="60.95" customHeight="1" x14ac:dyDescent="0.2">
      <c r="B18" s="604" t="s">
        <v>430</v>
      </c>
      <c r="C18" s="604"/>
      <c r="D18" s="235"/>
      <c r="E18" s="235"/>
      <c r="F18" s="235"/>
      <c r="G18" s="235"/>
      <c r="H18" s="235"/>
      <c r="I18" s="235"/>
      <c r="J18" s="235"/>
    </row>
    <row r="19" spans="2:10" s="236" customFormat="1" ht="12.75" customHeight="1" x14ac:dyDescent="0.2">
      <c r="D19" s="235"/>
      <c r="E19" s="235"/>
      <c r="F19" s="235"/>
      <c r="G19" s="235"/>
      <c r="H19" s="235"/>
      <c r="I19" s="235"/>
      <c r="J19" s="235"/>
    </row>
    <row r="20" spans="2:10" s="236" customFormat="1" ht="21.75" customHeight="1" x14ac:dyDescent="0.2">
      <c r="B20" s="237"/>
      <c r="C20" s="237"/>
      <c r="D20" s="235"/>
      <c r="E20" s="235"/>
      <c r="F20" s="235"/>
      <c r="G20" s="235"/>
      <c r="H20" s="235"/>
      <c r="I20" s="235"/>
      <c r="J20" s="235"/>
    </row>
    <row r="21" spans="2:10" s="236" customFormat="1" ht="15" x14ac:dyDescent="0.2">
      <c r="B21" s="605" t="s">
        <v>431</v>
      </c>
      <c r="C21" s="605"/>
      <c r="D21" s="235"/>
      <c r="E21" s="235"/>
      <c r="F21" s="235"/>
      <c r="G21" s="235"/>
      <c r="H21" s="235"/>
      <c r="I21" s="235"/>
      <c r="J21" s="235"/>
    </row>
    <row r="22" spans="2:10" s="236" customFormat="1" ht="68.099999999999994" customHeight="1" x14ac:dyDescent="0.2">
      <c r="B22" s="604" t="s">
        <v>514</v>
      </c>
      <c r="C22" s="604"/>
      <c r="D22" s="235"/>
      <c r="E22" s="235"/>
      <c r="F22" s="235"/>
      <c r="G22" s="235"/>
      <c r="H22" s="235"/>
      <c r="I22" s="235"/>
      <c r="J22" s="235"/>
    </row>
    <row r="23" spans="2:10" s="236" customFormat="1" ht="30.95" customHeight="1" x14ac:dyDescent="0.2">
      <c r="B23" s="240"/>
      <c r="C23" s="240"/>
      <c r="D23" s="235"/>
      <c r="E23" s="235"/>
      <c r="F23" s="235"/>
      <c r="G23" s="235"/>
      <c r="H23" s="235"/>
      <c r="I23" s="235"/>
      <c r="J23" s="235"/>
    </row>
    <row r="24" spans="2:10" s="236" customFormat="1" ht="18.75" customHeight="1" x14ac:dyDescent="0.2">
      <c r="B24" s="241" t="s">
        <v>432</v>
      </c>
      <c r="C24" s="241" t="s">
        <v>433</v>
      </c>
      <c r="D24" s="235"/>
      <c r="E24" s="235"/>
      <c r="F24" s="235"/>
      <c r="G24" s="235"/>
      <c r="H24" s="235"/>
      <c r="I24" s="235"/>
      <c r="J24" s="235"/>
    </row>
    <row r="25" spans="2:10" s="236" customFormat="1" ht="45" x14ac:dyDescent="0.2">
      <c r="B25" s="242" t="s">
        <v>434</v>
      </c>
      <c r="C25" s="243" t="s">
        <v>556</v>
      </c>
      <c r="D25" s="235"/>
      <c r="E25" s="235"/>
      <c r="F25" s="235"/>
      <c r="G25" s="235"/>
      <c r="H25" s="235"/>
      <c r="I25" s="235"/>
      <c r="J25" s="235"/>
    </row>
    <row r="26" spans="2:10" s="236" customFormat="1" ht="95.45" customHeight="1" x14ac:dyDescent="0.2">
      <c r="B26" s="244" t="s">
        <v>435</v>
      </c>
      <c r="C26" s="245" t="s">
        <v>516</v>
      </c>
      <c r="D26" s="235"/>
      <c r="E26" s="235"/>
      <c r="F26" s="235"/>
      <c r="G26" s="235"/>
      <c r="H26" s="235"/>
      <c r="I26" s="235"/>
      <c r="J26" s="235"/>
    </row>
    <row r="27" spans="2:10" s="236" customFormat="1" ht="42" customHeight="1" x14ac:dyDescent="0.2">
      <c r="B27" s="241" t="s">
        <v>436</v>
      </c>
      <c r="C27" s="245" t="s">
        <v>437</v>
      </c>
      <c r="D27" s="235"/>
      <c r="E27" s="235"/>
      <c r="F27" s="235"/>
      <c r="G27" s="235"/>
      <c r="H27" s="235"/>
      <c r="I27" s="235"/>
      <c r="J27" s="235"/>
    </row>
    <row r="28" spans="2:10" s="236" customFormat="1" ht="48" customHeight="1" x14ac:dyDescent="0.2">
      <c r="B28" s="241" t="s">
        <v>438</v>
      </c>
      <c r="C28" s="245" t="s">
        <v>439</v>
      </c>
      <c r="D28" s="235"/>
      <c r="E28" s="235"/>
      <c r="F28" s="235"/>
      <c r="G28" s="235"/>
      <c r="H28" s="235"/>
      <c r="I28" s="235"/>
      <c r="J28" s="235"/>
    </row>
    <row r="29" spans="2:10" s="236" customFormat="1" ht="27.75" customHeight="1" x14ac:dyDescent="0.2">
      <c r="B29" s="237"/>
      <c r="C29" s="237"/>
      <c r="D29" s="235"/>
      <c r="E29" s="235"/>
      <c r="F29" s="235"/>
      <c r="G29" s="235"/>
      <c r="H29" s="235"/>
      <c r="I29" s="235"/>
      <c r="J29" s="235"/>
    </row>
    <row r="30" spans="2:10" s="246" customFormat="1" ht="29.1" customHeight="1" x14ac:dyDescent="0.25">
      <c r="B30" s="608" t="s">
        <v>440</v>
      </c>
      <c r="C30" s="609"/>
    </row>
    <row r="31" spans="2:10" s="236" customFormat="1" ht="48.6" customHeight="1" x14ac:dyDescent="0.2">
      <c r="B31" s="604" t="s">
        <v>441</v>
      </c>
      <c r="C31" s="604"/>
      <c r="D31" s="235"/>
      <c r="E31" s="235"/>
      <c r="F31" s="235"/>
      <c r="G31" s="235"/>
      <c r="H31" s="235"/>
      <c r="I31" s="235"/>
      <c r="J31" s="235"/>
    </row>
    <row r="32" spans="2:10" ht="15" x14ac:dyDescent="0.25">
      <c r="B32" s="247" t="s">
        <v>432</v>
      </c>
      <c r="C32" s="247" t="s">
        <v>433</v>
      </c>
    </row>
    <row r="33" spans="2:10" ht="45" x14ac:dyDescent="0.2">
      <c r="B33" s="248" t="s">
        <v>442</v>
      </c>
      <c r="C33" s="249" t="s">
        <v>517</v>
      </c>
      <c r="D33" s="233"/>
      <c r="E33" s="233"/>
      <c r="F33" s="233"/>
      <c r="G33" s="233"/>
      <c r="H33" s="233"/>
      <c r="I33" s="233"/>
      <c r="J33" s="233"/>
    </row>
    <row r="34" spans="2:10" ht="30" x14ac:dyDescent="0.2">
      <c r="B34" s="244" t="s">
        <v>443</v>
      </c>
      <c r="C34" s="249" t="s">
        <v>444</v>
      </c>
      <c r="D34" s="233"/>
      <c r="E34" s="233"/>
      <c r="F34" s="233"/>
      <c r="G34" s="233"/>
      <c r="H34" s="233"/>
      <c r="I34" s="233"/>
      <c r="J34" s="233"/>
    </row>
    <row r="35" spans="2:10" ht="75.95" customHeight="1" x14ac:dyDescent="0.2">
      <c r="B35" s="244" t="s">
        <v>525</v>
      </c>
      <c r="C35" s="245" t="s">
        <v>518</v>
      </c>
    </row>
    <row r="36" spans="2:10" ht="72" customHeight="1" x14ac:dyDescent="0.2">
      <c r="B36" s="244" t="s">
        <v>445</v>
      </c>
      <c r="C36" s="245" t="s">
        <v>519</v>
      </c>
    </row>
    <row r="37" spans="2:10" ht="73.5" customHeight="1" x14ac:dyDescent="0.2">
      <c r="B37" s="244" t="s">
        <v>446</v>
      </c>
      <c r="C37" s="245" t="s">
        <v>520</v>
      </c>
    </row>
    <row r="38" spans="2:10" ht="42" customHeight="1" x14ac:dyDescent="0.2">
      <c r="B38" s="241" t="s">
        <v>447</v>
      </c>
      <c r="C38" s="249" t="s">
        <v>448</v>
      </c>
    </row>
    <row r="39" spans="2:10" ht="25.5" customHeight="1" x14ac:dyDescent="0.2">
      <c r="B39" s="610"/>
      <c r="C39" s="610"/>
    </row>
    <row r="40" spans="2:10" ht="30" customHeight="1" x14ac:dyDescent="0.2">
      <c r="B40" s="605" t="s">
        <v>521</v>
      </c>
      <c r="C40" s="605"/>
    </row>
    <row r="41" spans="2:10" ht="35.25" customHeight="1" x14ac:dyDescent="0.2">
      <c r="B41" s="602" t="s">
        <v>522</v>
      </c>
      <c r="C41" s="603"/>
    </row>
    <row r="42" spans="2:10" ht="13.5" customHeight="1" x14ac:dyDescent="0.2">
      <c r="B42" s="241" t="s">
        <v>432</v>
      </c>
      <c r="C42" s="241" t="s">
        <v>433</v>
      </c>
    </row>
    <row r="43" spans="2:10" ht="45" customHeight="1" x14ac:dyDescent="0.2">
      <c r="B43" s="250" t="s">
        <v>449</v>
      </c>
      <c r="C43" s="251" t="s">
        <v>450</v>
      </c>
    </row>
    <row r="44" spans="2:10" ht="32.25" customHeight="1" x14ac:dyDescent="0.2">
      <c r="B44" s="250" t="s">
        <v>2</v>
      </c>
      <c r="C44" s="251" t="s">
        <v>451</v>
      </c>
    </row>
    <row r="45" spans="2:10" ht="20.25" customHeight="1" x14ac:dyDescent="0.2">
      <c r="B45" s="252" t="s">
        <v>452</v>
      </c>
      <c r="C45" s="253" t="s">
        <v>453</v>
      </c>
    </row>
    <row r="46" spans="2:10" ht="58.5" customHeight="1" x14ac:dyDescent="0.2">
      <c r="B46" s="254" t="s">
        <v>454</v>
      </c>
      <c r="C46" s="253" t="s">
        <v>455</v>
      </c>
    </row>
    <row r="47" spans="2:10" ht="36.75" customHeight="1" x14ac:dyDescent="0.2">
      <c r="B47" s="254" t="s">
        <v>1</v>
      </c>
      <c r="C47" s="253" t="s">
        <v>456</v>
      </c>
    </row>
    <row r="48" spans="2:10" ht="96" customHeight="1" x14ac:dyDescent="0.2">
      <c r="B48" s="252" t="s">
        <v>457</v>
      </c>
      <c r="C48" s="255" t="s">
        <v>523</v>
      </c>
    </row>
  </sheetData>
  <sheetProtection algorithmName="SHA-512" hashValue="Rc4/ZGkfDKZu1jjGQOl7cJVXvBx3i0P0u+truHv442v8j6UT966Ubf/tVgI8D1BgYREYnSrzPf5YGEFm84rY3Q==" saltValue="Wg3ZEWQ2MmDe+D7BMgxGKQ==" spinCount="100000" sheet="1" objects="1" scenarios="1"/>
  <mergeCells count="18">
    <mergeCell ref="B10:C10"/>
    <mergeCell ref="B1:C1"/>
    <mergeCell ref="B2:C2"/>
    <mergeCell ref="B3:C4"/>
    <mergeCell ref="B6:C6"/>
    <mergeCell ref="B7:C8"/>
    <mergeCell ref="B41:C41"/>
    <mergeCell ref="B11:C12"/>
    <mergeCell ref="B14:C14"/>
    <mergeCell ref="B15:C15"/>
    <mergeCell ref="B17:C17"/>
    <mergeCell ref="B18:C18"/>
    <mergeCell ref="B21:C21"/>
    <mergeCell ref="B22:C22"/>
    <mergeCell ref="B30:C30"/>
    <mergeCell ref="B31:C31"/>
    <mergeCell ref="B39:C39"/>
    <mergeCell ref="B40:C4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12"/>
  <sheetViews>
    <sheetView showGridLines="0" zoomScale="60" zoomScaleNormal="60" workbookViewId="0">
      <selection activeCell="B2" sqref="B2"/>
    </sheetView>
  </sheetViews>
  <sheetFormatPr baseColWidth="10" defaultColWidth="10.7109375" defaultRowHeight="14.25" x14ac:dyDescent="0.2"/>
  <cols>
    <col min="1" max="1" width="5.28515625" style="2" customWidth="1"/>
    <col min="2" max="2" width="71" style="2" customWidth="1"/>
    <col min="3" max="3" width="26.42578125" style="118" customWidth="1"/>
    <col min="4" max="4" width="27.140625" style="118" customWidth="1"/>
    <col min="5" max="5" width="22.42578125" style="118" customWidth="1"/>
    <col min="6" max="7" width="19.7109375" style="118" bestFit="1" customWidth="1"/>
    <col min="8" max="8" width="23" style="118" bestFit="1" customWidth="1"/>
    <col min="9" max="11" width="19.7109375" style="2" bestFit="1" customWidth="1"/>
    <col min="12" max="12" width="19.140625" style="2" bestFit="1" customWidth="1"/>
    <col min="13" max="22" width="19.7109375" style="2" bestFit="1" customWidth="1"/>
    <col min="23" max="23" width="20.42578125" style="2" bestFit="1" customWidth="1"/>
    <col min="24" max="24" width="25.42578125" style="2" customWidth="1"/>
    <col min="25" max="25" width="22.28515625" style="2" bestFit="1" customWidth="1"/>
    <col min="26" max="26" width="19.140625" style="2" bestFit="1" customWidth="1"/>
    <col min="27" max="27" width="17" style="2" bestFit="1" customWidth="1"/>
    <col min="28" max="28" width="17.85546875" style="2" customWidth="1"/>
    <col min="29" max="16384" width="10.7109375" style="2"/>
  </cols>
  <sheetData>
    <row r="2" spans="1:26" ht="15" x14ac:dyDescent="0.25">
      <c r="B2" s="1" t="s">
        <v>0</v>
      </c>
    </row>
    <row r="3" spans="1:26" s="4" customFormat="1" ht="15" x14ac:dyDescent="0.25">
      <c r="A3" s="3"/>
      <c r="C3" s="119"/>
      <c r="D3" s="119"/>
      <c r="E3" s="119"/>
      <c r="F3" s="119"/>
      <c r="G3" s="119"/>
      <c r="H3" s="119"/>
    </row>
    <row r="4" spans="1:26" ht="21.6" customHeight="1" x14ac:dyDescent="0.25">
      <c r="A4" s="5"/>
      <c r="B4" s="120" t="str">
        <f>Portafolio_PA_Papa!C53</f>
        <v>3. Mejora del desempeño ambiental de la cadena de la papa</v>
      </c>
      <c r="C4" s="121"/>
      <c r="D4" s="122"/>
    </row>
    <row r="5" spans="1:26" ht="15" customHeight="1" x14ac:dyDescent="0.2"/>
    <row r="6" spans="1:26" ht="15" x14ac:dyDescent="0.25">
      <c r="E6" s="123">
        <v>1</v>
      </c>
      <c r="F6" s="123">
        <v>2</v>
      </c>
      <c r="G6" s="123">
        <v>3</v>
      </c>
      <c r="H6" s="123">
        <v>4</v>
      </c>
      <c r="I6" s="9">
        <v>5</v>
      </c>
      <c r="J6" s="9">
        <v>6</v>
      </c>
      <c r="K6" s="9">
        <v>7</v>
      </c>
      <c r="L6" s="9">
        <v>8</v>
      </c>
      <c r="M6" s="9">
        <v>9</v>
      </c>
      <c r="N6" s="9">
        <v>10</v>
      </c>
      <c r="O6" s="9">
        <v>11</v>
      </c>
      <c r="P6" s="9">
        <v>12</v>
      </c>
      <c r="Q6" s="9">
        <v>13</v>
      </c>
      <c r="R6" s="9">
        <v>14</v>
      </c>
      <c r="S6" s="9">
        <v>15</v>
      </c>
      <c r="T6" s="9">
        <v>16</v>
      </c>
      <c r="U6" s="9">
        <v>17</v>
      </c>
      <c r="V6" s="9">
        <v>18</v>
      </c>
      <c r="W6" s="9">
        <v>19</v>
      </c>
      <c r="X6" s="9">
        <v>20</v>
      </c>
      <c r="Y6" s="9" t="s">
        <v>1</v>
      </c>
    </row>
    <row r="7" spans="1:26" s="13" customFormat="1" ht="15" x14ac:dyDescent="0.25">
      <c r="A7" s="2"/>
      <c r="B7" s="10" t="s">
        <v>2</v>
      </c>
      <c r="C7" s="11" t="s">
        <v>3</v>
      </c>
      <c r="D7" s="11" t="s">
        <v>4</v>
      </c>
      <c r="E7" s="124">
        <f>SUM(E8:E10)</f>
        <v>331189370</v>
      </c>
      <c r="F7" s="124">
        <f t="shared" ref="F7:X7" si="0">SUM(F8:F10)</f>
        <v>4605633383.333333</v>
      </c>
      <c r="G7" s="124">
        <f t="shared" si="0"/>
        <v>9464753473.8899994</v>
      </c>
      <c r="H7" s="124">
        <f t="shared" si="0"/>
        <v>9464753473.8899994</v>
      </c>
      <c r="I7" s="124">
        <f t="shared" si="0"/>
        <v>9464753473.8899994</v>
      </c>
      <c r="J7" s="124">
        <f t="shared" si="0"/>
        <v>9464753473.8899994</v>
      </c>
      <c r="K7" s="124">
        <f t="shared" si="0"/>
        <v>9464753473.8899994</v>
      </c>
      <c r="L7" s="124">
        <f t="shared" si="0"/>
        <v>9464753473.8899994</v>
      </c>
      <c r="M7" s="124">
        <f t="shared" si="0"/>
        <v>9464753473.8899994</v>
      </c>
      <c r="N7" s="124">
        <f t="shared" si="0"/>
        <v>9464753473.8899994</v>
      </c>
      <c r="O7" s="124">
        <f t="shared" si="0"/>
        <v>8910810590.25</v>
      </c>
      <c r="P7" s="124">
        <f t="shared" si="0"/>
        <v>5261808564</v>
      </c>
      <c r="Q7" s="124">
        <f t="shared" si="0"/>
        <v>3937051084</v>
      </c>
      <c r="R7" s="124">
        <f t="shared" si="0"/>
        <v>3937051084</v>
      </c>
      <c r="S7" s="124">
        <f t="shared" si="0"/>
        <v>3937051084</v>
      </c>
      <c r="T7" s="124">
        <f t="shared" si="0"/>
        <v>3937051084</v>
      </c>
      <c r="U7" s="124">
        <f t="shared" si="0"/>
        <v>3937051084</v>
      </c>
      <c r="V7" s="124">
        <f t="shared" si="0"/>
        <v>3937051084</v>
      </c>
      <c r="W7" s="124">
        <f t="shared" si="0"/>
        <v>3937051084</v>
      </c>
      <c r="X7" s="124">
        <f t="shared" si="0"/>
        <v>3937051084</v>
      </c>
      <c r="Y7" s="124">
        <f t="shared" ref="Y7" si="1">SUM(Y8:Y10)</f>
        <v>126323878370.70332</v>
      </c>
    </row>
    <row r="8" spans="1:26" s="18" customFormat="1" ht="45" customHeight="1" x14ac:dyDescent="0.2">
      <c r="A8" s="14"/>
      <c r="B8" s="65" t="str">
        <f>Portafolio_PA_Papa!D53</f>
        <v>3.1. Contribución a la gestión del ordenamiento ambiental, fuera de la frontera agrícola</v>
      </c>
      <c r="C8" s="16" t="s">
        <v>494</v>
      </c>
      <c r="D8" s="16" t="s">
        <v>500</v>
      </c>
      <c r="E8" s="17">
        <f>I34*3</f>
        <v>331189370</v>
      </c>
      <c r="F8" s="17">
        <f>H34</f>
        <v>1324757480</v>
      </c>
      <c r="G8" s="17">
        <f t="shared" ref="G8:P8" si="2">F8</f>
        <v>1324757480</v>
      </c>
      <c r="H8" s="17">
        <f t="shared" si="2"/>
        <v>1324757480</v>
      </c>
      <c r="I8" s="17">
        <f t="shared" si="2"/>
        <v>1324757480</v>
      </c>
      <c r="J8" s="17">
        <f t="shared" si="2"/>
        <v>1324757480</v>
      </c>
      <c r="K8" s="17">
        <f t="shared" si="2"/>
        <v>1324757480</v>
      </c>
      <c r="L8" s="17">
        <f t="shared" si="2"/>
        <v>1324757480</v>
      </c>
      <c r="M8" s="17">
        <f t="shared" si="2"/>
        <v>1324757480</v>
      </c>
      <c r="N8" s="17">
        <f t="shared" si="2"/>
        <v>1324757480</v>
      </c>
      <c r="O8" s="17">
        <f t="shared" si="2"/>
        <v>1324757480</v>
      </c>
      <c r="P8" s="17">
        <f t="shared" si="2"/>
        <v>1324757480</v>
      </c>
      <c r="Q8" s="17"/>
      <c r="R8" s="17"/>
      <c r="S8" s="17"/>
      <c r="T8" s="17"/>
      <c r="U8" s="17"/>
      <c r="V8" s="17"/>
      <c r="W8" s="17"/>
      <c r="X8" s="17"/>
      <c r="Y8" s="17">
        <f>SUM(E8:X8)</f>
        <v>14903521650</v>
      </c>
    </row>
    <row r="9" spans="1:26" s="18" customFormat="1" ht="42.95" customHeight="1" x14ac:dyDescent="0.2">
      <c r="A9" s="14"/>
      <c r="B9" s="65" t="str">
        <f>Portafolio_PA_Papa!D56</f>
        <v>3.2. Promoción del manejo eficiente y sostenible del suelo y agua, en el cultivo de papa</v>
      </c>
      <c r="C9" s="16" t="s">
        <v>495</v>
      </c>
      <c r="D9" s="16" t="s">
        <v>493</v>
      </c>
      <c r="E9" s="17"/>
      <c r="F9" s="17">
        <f>I73*10</f>
        <v>1641950326.6666665</v>
      </c>
      <c r="G9" s="17">
        <f>H74</f>
        <v>5619342418.25</v>
      </c>
      <c r="H9" s="17">
        <f t="shared" ref="H9:O9" si="3">G9</f>
        <v>5619342418.25</v>
      </c>
      <c r="I9" s="17">
        <f t="shared" si="3"/>
        <v>5619342418.25</v>
      </c>
      <c r="J9" s="17">
        <f t="shared" si="3"/>
        <v>5619342418.25</v>
      </c>
      <c r="K9" s="17">
        <f t="shared" si="3"/>
        <v>5619342418.25</v>
      </c>
      <c r="L9" s="17">
        <f t="shared" si="3"/>
        <v>5619342418.25</v>
      </c>
      <c r="M9" s="17">
        <f t="shared" si="3"/>
        <v>5619342418.25</v>
      </c>
      <c r="N9" s="17">
        <f t="shared" si="3"/>
        <v>5619342418.25</v>
      </c>
      <c r="O9" s="17">
        <f t="shared" si="3"/>
        <v>5619342418.25</v>
      </c>
      <c r="P9" s="17">
        <f>H73</f>
        <v>1970340392</v>
      </c>
      <c r="Q9" s="17">
        <f t="shared" ref="Q9:X9" si="4">P9</f>
        <v>1970340392</v>
      </c>
      <c r="R9" s="17">
        <f t="shared" si="4"/>
        <v>1970340392</v>
      </c>
      <c r="S9" s="17">
        <f t="shared" si="4"/>
        <v>1970340392</v>
      </c>
      <c r="T9" s="17">
        <f t="shared" si="4"/>
        <v>1970340392</v>
      </c>
      <c r="U9" s="17">
        <f t="shared" si="4"/>
        <v>1970340392</v>
      </c>
      <c r="V9" s="17">
        <f t="shared" si="4"/>
        <v>1970340392</v>
      </c>
      <c r="W9" s="17">
        <f t="shared" si="4"/>
        <v>1970340392</v>
      </c>
      <c r="X9" s="17">
        <f t="shared" si="4"/>
        <v>1970340392</v>
      </c>
      <c r="Y9" s="17">
        <f t="shared" ref="Y9:Y10" si="5">SUM(E9:X9)</f>
        <v>69949095618.916656</v>
      </c>
    </row>
    <row r="10" spans="1:26" s="18" customFormat="1" ht="42.95" customHeight="1" x14ac:dyDescent="0.2">
      <c r="A10" s="14"/>
      <c r="B10" s="65" t="str">
        <f>Portafolio_PA_Papa!D62</f>
        <v>3.3. Aumento en la incorporación de prácticas sostenibles en la comercialización, adecuación y procesamiento de papa y sus derivados</v>
      </c>
      <c r="C10" s="16" t="s">
        <v>495</v>
      </c>
      <c r="D10" s="16" t="s">
        <v>493</v>
      </c>
      <c r="E10" s="17"/>
      <c r="F10" s="17">
        <f>I110*10</f>
        <v>1638925576.6666665</v>
      </c>
      <c r="G10" s="17">
        <f>H111</f>
        <v>2520653575.6400003</v>
      </c>
      <c r="H10" s="17">
        <f t="shared" ref="H10:M10" si="6">G10</f>
        <v>2520653575.6400003</v>
      </c>
      <c r="I10" s="17">
        <f t="shared" si="6"/>
        <v>2520653575.6400003</v>
      </c>
      <c r="J10" s="17">
        <f t="shared" si="6"/>
        <v>2520653575.6400003</v>
      </c>
      <c r="K10" s="17">
        <f t="shared" si="6"/>
        <v>2520653575.6400003</v>
      </c>
      <c r="L10" s="17">
        <f t="shared" si="6"/>
        <v>2520653575.6400003</v>
      </c>
      <c r="M10" s="17">
        <f t="shared" si="6"/>
        <v>2520653575.6400003</v>
      </c>
      <c r="N10" s="17">
        <f>M10</f>
        <v>2520653575.6400003</v>
      </c>
      <c r="O10" s="17">
        <f>H110</f>
        <v>1966710692</v>
      </c>
      <c r="P10" s="17">
        <f>H110</f>
        <v>1966710692</v>
      </c>
      <c r="Q10" s="17">
        <f>H110</f>
        <v>1966710692</v>
      </c>
      <c r="R10" s="17">
        <f>Q10</f>
        <v>1966710692</v>
      </c>
      <c r="S10" s="17">
        <f>Q10</f>
        <v>1966710692</v>
      </c>
      <c r="T10" s="17">
        <f>S10</f>
        <v>1966710692</v>
      </c>
      <c r="U10" s="17">
        <f>T10</f>
        <v>1966710692</v>
      </c>
      <c r="V10" s="17">
        <f>U10</f>
        <v>1966710692</v>
      </c>
      <c r="W10" s="17">
        <f>V10</f>
        <v>1966710692</v>
      </c>
      <c r="X10" s="17">
        <f>W10</f>
        <v>1966710692</v>
      </c>
      <c r="Y10" s="17">
        <f t="shared" si="5"/>
        <v>41471261101.786667</v>
      </c>
    </row>
    <row r="11" spans="1:26" s="127" customFormat="1" ht="24" customHeight="1" x14ac:dyDescent="0.25">
      <c r="A11" s="118"/>
      <c r="B11" s="125" t="s">
        <v>1</v>
      </c>
      <c r="C11" s="125"/>
      <c r="D11" s="125"/>
      <c r="E11" s="126">
        <f>SUM(E8:E10)</f>
        <v>331189370</v>
      </c>
      <c r="F11" s="126">
        <f t="shared" ref="F11:Y11" si="7">SUM(F8:F10)</f>
        <v>4605633383.333333</v>
      </c>
      <c r="G11" s="126">
        <f t="shared" si="7"/>
        <v>9464753473.8899994</v>
      </c>
      <c r="H11" s="126">
        <f t="shared" si="7"/>
        <v>9464753473.8899994</v>
      </c>
      <c r="I11" s="126">
        <f t="shared" si="7"/>
        <v>9464753473.8899994</v>
      </c>
      <c r="J11" s="126">
        <f t="shared" si="7"/>
        <v>9464753473.8899994</v>
      </c>
      <c r="K11" s="126">
        <f t="shared" si="7"/>
        <v>9464753473.8899994</v>
      </c>
      <c r="L11" s="126">
        <f t="shared" si="7"/>
        <v>9464753473.8899994</v>
      </c>
      <c r="M11" s="126">
        <f t="shared" si="7"/>
        <v>9464753473.8899994</v>
      </c>
      <c r="N11" s="126">
        <f t="shared" si="7"/>
        <v>9464753473.8899994</v>
      </c>
      <c r="O11" s="126">
        <f t="shared" si="7"/>
        <v>8910810590.25</v>
      </c>
      <c r="P11" s="126">
        <f t="shared" si="7"/>
        <v>5261808564</v>
      </c>
      <c r="Q11" s="126">
        <f t="shared" si="7"/>
        <v>3937051084</v>
      </c>
      <c r="R11" s="126">
        <f t="shared" si="7"/>
        <v>3937051084</v>
      </c>
      <c r="S11" s="126">
        <f t="shared" si="7"/>
        <v>3937051084</v>
      </c>
      <c r="T11" s="126">
        <f t="shared" si="7"/>
        <v>3937051084</v>
      </c>
      <c r="U11" s="126">
        <f t="shared" si="7"/>
        <v>3937051084</v>
      </c>
      <c r="V11" s="126">
        <f t="shared" si="7"/>
        <v>3937051084</v>
      </c>
      <c r="W11" s="126">
        <f t="shared" si="7"/>
        <v>3937051084</v>
      </c>
      <c r="X11" s="126">
        <f t="shared" si="7"/>
        <v>3937051084</v>
      </c>
      <c r="Y11" s="126">
        <f t="shared" si="7"/>
        <v>126323878370.70332</v>
      </c>
    </row>
    <row r="12" spans="1:26" s="23" customFormat="1" ht="14.25" customHeight="1" x14ac:dyDescent="0.25">
      <c r="A12" s="4"/>
      <c r="B12" s="20"/>
      <c r="C12" s="128"/>
      <c r="D12" s="128"/>
      <c r="E12" s="128"/>
      <c r="F12" s="129"/>
      <c r="G12" s="130"/>
      <c r="H12" s="129"/>
      <c r="I12" s="21"/>
      <c r="J12" s="21"/>
      <c r="K12" s="21"/>
      <c r="L12" s="21"/>
      <c r="M12" s="21"/>
      <c r="N12" s="21"/>
      <c r="O12" s="21"/>
      <c r="P12" s="21"/>
      <c r="Q12" s="21"/>
      <c r="R12" s="21"/>
      <c r="S12" s="21"/>
      <c r="T12" s="21"/>
      <c r="U12" s="21"/>
      <c r="V12" s="21"/>
      <c r="W12" s="21"/>
      <c r="X12" s="21"/>
      <c r="Y12" s="21"/>
      <c r="Z12" s="21"/>
    </row>
    <row r="13" spans="1:26" s="23" customFormat="1" ht="14.25" customHeight="1" x14ac:dyDescent="0.25">
      <c r="A13" s="4"/>
      <c r="B13" s="20"/>
      <c r="C13" s="128"/>
      <c r="D13" s="128"/>
      <c r="E13" s="128"/>
      <c r="F13" s="129"/>
      <c r="G13" s="130"/>
      <c r="H13" s="129"/>
      <c r="I13" s="21"/>
      <c r="J13" s="21"/>
      <c r="K13" s="21"/>
      <c r="L13" s="21"/>
      <c r="M13" s="21"/>
      <c r="N13" s="21"/>
      <c r="O13" s="21"/>
      <c r="P13" s="21"/>
      <c r="Q13" s="21"/>
      <c r="R13" s="21"/>
      <c r="S13" s="21"/>
      <c r="T13" s="21"/>
      <c r="U13" s="21"/>
      <c r="V13" s="21"/>
      <c r="W13" s="21"/>
      <c r="X13" s="21"/>
      <c r="Y13" s="21"/>
      <c r="Z13" s="21"/>
    </row>
    <row r="15" spans="1:26" s="4" customFormat="1" ht="36.950000000000003" customHeight="1" x14ac:dyDescent="0.25">
      <c r="B15" s="695" t="str">
        <f>B8</f>
        <v>3.1. Contribución a la gestión del ordenamiento ambiental, fuera de la frontera agrícola</v>
      </c>
      <c r="C15" s="695"/>
      <c r="D15" s="695"/>
      <c r="E15" s="695"/>
      <c r="F15" s="695"/>
      <c r="G15" s="695"/>
      <c r="H15" s="695"/>
      <c r="I15" s="178"/>
      <c r="X15" s="25"/>
    </row>
    <row r="16" spans="1:26" ht="36" customHeight="1" x14ac:dyDescent="0.25">
      <c r="B16" s="683" t="str">
        <f>Portafolio_PA_Papa!E53</f>
        <v>3.1.1. Realizar campañas de sensibilización y divulgación de la normatividad relacionada con los páramos y otras áreas protegidas y de exclusión, a los productores de papa con cultivos ubicados fuera de la frontera agrícola (Resolución 261 de 2018 de Minagricultura), cuya producción se encuentre vinculada a estas áreas.</v>
      </c>
      <c r="C16" s="692"/>
      <c r="D16" s="692"/>
      <c r="E16" s="692"/>
      <c r="F16" s="692"/>
      <c r="G16" s="692"/>
      <c r="H16" s="692"/>
    </row>
    <row r="17" spans="2:24" ht="36.950000000000003" customHeight="1" x14ac:dyDescent="0.25">
      <c r="B17" s="683" t="str">
        <f>Portafolio_PA_Papa!E54</f>
        <v>3.1.2.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v>
      </c>
      <c r="C17" s="692"/>
      <c r="D17" s="692"/>
      <c r="E17" s="692"/>
      <c r="F17" s="692"/>
      <c r="G17" s="692"/>
      <c r="H17" s="692"/>
    </row>
    <row r="18" spans="2:24" ht="32.1" customHeight="1" x14ac:dyDescent="0.25">
      <c r="B18" s="683" t="str">
        <f>Portafolio_PA_Papa!E55</f>
        <v>3.1.3. Promover la formalización de acuerdos entre las autoridades ambientales y los productores de papa, para el desarrollo de procesos graduales de sustitución del cultivo, en áreas de importancia ambiental en las cuales no está permitido ningún uso agropecuario, considerando las  recomendaciones que se establezcan en los Planes Maestros de Reconversión Productiva de la cadena de la papa, en áreas de producción ubicadas fuera de la frontera agrícola.</v>
      </c>
      <c r="C18" s="692"/>
      <c r="D18" s="692"/>
      <c r="E18" s="692"/>
      <c r="F18" s="692"/>
      <c r="G18" s="692"/>
      <c r="H18" s="692"/>
    </row>
    <row r="19" spans="2:24" ht="15" x14ac:dyDescent="0.25">
      <c r="B19" s="683"/>
      <c r="C19" s="692"/>
      <c r="D19" s="692"/>
      <c r="E19" s="692"/>
      <c r="F19" s="692"/>
      <c r="G19" s="692"/>
      <c r="H19" s="692"/>
    </row>
    <row r="20" spans="2:24" ht="15" x14ac:dyDescent="0.25">
      <c r="B20" s="683"/>
      <c r="C20" s="692"/>
      <c r="D20" s="692"/>
      <c r="E20" s="692"/>
      <c r="F20" s="692"/>
      <c r="G20" s="692"/>
      <c r="H20" s="692"/>
    </row>
    <row r="21" spans="2:24" ht="15" x14ac:dyDescent="0.25">
      <c r="B21" s="693" t="s">
        <v>1128</v>
      </c>
      <c r="C21" s="694"/>
      <c r="D21" s="694"/>
      <c r="E21" s="694"/>
      <c r="F21" s="694"/>
      <c r="G21" s="694"/>
      <c r="H21" s="694"/>
    </row>
    <row r="22" spans="2:24" ht="15" x14ac:dyDescent="0.25">
      <c r="B22" s="26" t="s">
        <v>5</v>
      </c>
      <c r="C22" s="131" t="s">
        <v>6</v>
      </c>
      <c r="D22" s="131" t="s">
        <v>7</v>
      </c>
      <c r="E22" s="131" t="s">
        <v>8</v>
      </c>
      <c r="F22" s="132" t="s">
        <v>9</v>
      </c>
      <c r="G22" s="131" t="s">
        <v>10</v>
      </c>
      <c r="H22" s="131" t="s">
        <v>11</v>
      </c>
      <c r="X22" s="28"/>
    </row>
    <row r="23" spans="2:24" x14ac:dyDescent="0.2">
      <c r="B23" s="193" t="s">
        <v>192</v>
      </c>
      <c r="C23" s="144">
        <v>10</v>
      </c>
      <c r="D23" s="144" t="s">
        <v>13</v>
      </c>
      <c r="E23" s="136">
        <v>500000</v>
      </c>
      <c r="F23" s="144"/>
      <c r="G23" s="144"/>
      <c r="H23" s="136">
        <f>+C23*E23</f>
        <v>5000000</v>
      </c>
    </row>
    <row r="24" spans="2:24" x14ac:dyDescent="0.2">
      <c r="B24" s="193" t="s">
        <v>14</v>
      </c>
      <c r="C24" s="144">
        <v>20</v>
      </c>
      <c r="D24" s="144" t="s">
        <v>13</v>
      </c>
      <c r="E24" s="136">
        <v>100000</v>
      </c>
      <c r="F24" s="144"/>
      <c r="G24" s="144"/>
      <c r="H24" s="136">
        <f t="shared" ref="H24:H29" si="8">+C24*E24</f>
        <v>2000000</v>
      </c>
    </row>
    <row r="25" spans="2:24" x14ac:dyDescent="0.2">
      <c r="B25" s="33" t="s">
        <v>17</v>
      </c>
      <c r="C25" s="144">
        <v>10</v>
      </c>
      <c r="D25" s="144" t="s">
        <v>13</v>
      </c>
      <c r="E25" s="136">
        <v>1625000</v>
      </c>
      <c r="F25" s="144"/>
      <c r="G25" s="144"/>
      <c r="H25" s="136">
        <f t="shared" si="8"/>
        <v>16250000</v>
      </c>
      <c r="I25" s="32"/>
      <c r="J25" s="4"/>
    </row>
    <row r="26" spans="2:24" x14ac:dyDescent="0.2">
      <c r="B26" s="33" t="s">
        <v>18</v>
      </c>
      <c r="C26" s="144">
        <v>20</v>
      </c>
      <c r="D26" s="144" t="s">
        <v>13</v>
      </c>
      <c r="E26" s="136">
        <v>325000</v>
      </c>
      <c r="F26" s="144"/>
      <c r="G26" s="144"/>
      <c r="H26" s="136">
        <f t="shared" si="8"/>
        <v>6500000</v>
      </c>
    </row>
    <row r="27" spans="2:24" x14ac:dyDescent="0.2">
      <c r="B27" s="194" t="s">
        <v>530</v>
      </c>
      <c r="C27" s="144">
        <f>5*10</f>
        <v>50</v>
      </c>
      <c r="D27" s="144" t="s">
        <v>13</v>
      </c>
      <c r="E27" s="136">
        <v>4120000</v>
      </c>
      <c r="F27" s="144"/>
      <c r="G27" s="144"/>
      <c r="H27" s="136">
        <f t="shared" ref="H27" si="9">+C27*E27</f>
        <v>206000000</v>
      </c>
    </row>
    <row r="28" spans="2:24" x14ac:dyDescent="0.2">
      <c r="B28" s="194" t="s">
        <v>213</v>
      </c>
      <c r="C28" s="144">
        <v>10</v>
      </c>
      <c r="D28" s="144" t="s">
        <v>13</v>
      </c>
      <c r="E28" s="136">
        <v>12284000</v>
      </c>
      <c r="F28" s="144"/>
      <c r="G28" s="144"/>
      <c r="H28" s="136">
        <f t="shared" si="8"/>
        <v>122840000</v>
      </c>
    </row>
    <row r="29" spans="2:24" x14ac:dyDescent="0.2">
      <c r="B29" s="194" t="s">
        <v>214</v>
      </c>
      <c r="C29" s="144">
        <v>10</v>
      </c>
      <c r="D29" s="144" t="s">
        <v>13</v>
      </c>
      <c r="E29" s="147">
        <v>2000000</v>
      </c>
      <c r="F29" s="144"/>
      <c r="G29" s="144"/>
      <c r="H29" s="136">
        <f t="shared" si="8"/>
        <v>20000000</v>
      </c>
    </row>
    <row r="30" spans="2:24" x14ac:dyDescent="0.2">
      <c r="B30" s="194" t="s">
        <v>100</v>
      </c>
      <c r="C30" s="144">
        <v>10</v>
      </c>
      <c r="D30" s="33" t="s">
        <v>36</v>
      </c>
      <c r="E30" s="136">
        <v>6604729</v>
      </c>
      <c r="F30" s="195">
        <v>1</v>
      </c>
      <c r="G30" s="144">
        <v>12</v>
      </c>
      <c r="H30" s="136">
        <f>+C30*E30*F30*G30</f>
        <v>792567480</v>
      </c>
      <c r="I30" s="35"/>
      <c r="J30" s="4"/>
    </row>
    <row r="31" spans="2:24" x14ac:dyDescent="0.2">
      <c r="B31" s="194" t="s">
        <v>43</v>
      </c>
      <c r="C31" s="144">
        <v>10</v>
      </c>
      <c r="D31" s="144" t="s">
        <v>195</v>
      </c>
      <c r="E31" s="136">
        <v>1160000</v>
      </c>
      <c r="F31" s="195"/>
      <c r="G31" s="144">
        <v>12</v>
      </c>
      <c r="H31" s="136">
        <f>+C31*E31*G31</f>
        <v>139200000</v>
      </c>
      <c r="I31" s="35"/>
      <c r="J31" s="4"/>
    </row>
    <row r="32" spans="2:24" x14ac:dyDescent="0.2">
      <c r="B32" s="194" t="s">
        <v>44</v>
      </c>
      <c r="C32" s="144">
        <v>10</v>
      </c>
      <c r="D32" s="144" t="s">
        <v>195</v>
      </c>
      <c r="E32" s="147">
        <v>120000</v>
      </c>
      <c r="F32" s="144"/>
      <c r="G32" s="144">
        <v>12</v>
      </c>
      <c r="H32" s="136">
        <f>+C32*E32*G32</f>
        <v>14400000</v>
      </c>
    </row>
    <row r="33" spans="1:10" ht="13.5" customHeight="1" x14ac:dyDescent="0.2">
      <c r="B33" s="194" t="s">
        <v>215</v>
      </c>
      <c r="C33" s="144"/>
      <c r="D33" s="144"/>
      <c r="E33" s="147"/>
      <c r="F33" s="144"/>
      <c r="G33" s="144"/>
      <c r="H33" s="136" t="s">
        <v>46</v>
      </c>
      <c r="I33" s="141" t="s">
        <v>501</v>
      </c>
    </row>
    <row r="34" spans="1:10" s="118" customFormat="1" ht="15" x14ac:dyDescent="0.25">
      <c r="B34" s="138" t="s">
        <v>1</v>
      </c>
      <c r="C34" s="139"/>
      <c r="D34" s="139"/>
      <c r="E34" s="139"/>
      <c r="F34" s="140"/>
      <c r="G34" s="140"/>
      <c r="H34" s="141">
        <f>SUM(H23:H33)</f>
        <v>1324757480</v>
      </c>
      <c r="I34" s="141">
        <f>H34/12</f>
        <v>110396456.66666667</v>
      </c>
    </row>
    <row r="35" spans="1:10" s="4" customFormat="1" ht="174" customHeight="1" x14ac:dyDescent="0.2">
      <c r="B35" s="142" t="s">
        <v>488</v>
      </c>
      <c r="C35" s="143"/>
      <c r="D35" s="143"/>
      <c r="E35" s="143"/>
      <c r="F35" s="143"/>
      <c r="G35" s="143"/>
      <c r="H35" s="143"/>
      <c r="I35" s="2"/>
      <c r="J35" s="2"/>
    </row>
    <row r="36" spans="1:10" ht="28.5" customHeight="1" x14ac:dyDescent="0.25">
      <c r="B36" s="45"/>
      <c r="C36" s="143"/>
      <c r="D36" s="143"/>
      <c r="E36" s="143"/>
      <c r="F36" s="143"/>
      <c r="G36" s="143"/>
      <c r="H36" s="143"/>
      <c r="I36" s="46"/>
    </row>
    <row r="37" spans="1:10" s="4" customFormat="1" ht="20.25" customHeight="1" x14ac:dyDescent="0.2">
      <c r="A37" s="47"/>
      <c r="B37" s="696" t="str">
        <f>B9</f>
        <v>3.2. Promoción del manejo eficiente y sostenible del suelo y agua, en el cultivo de papa</v>
      </c>
      <c r="C37" s="697"/>
      <c r="D37" s="697"/>
      <c r="E37" s="697"/>
      <c r="F37" s="697"/>
      <c r="G37" s="697"/>
      <c r="H37" s="697"/>
    </row>
    <row r="38" spans="1:10" ht="45.95" customHeight="1" x14ac:dyDescent="0.25">
      <c r="B38" s="683" t="str">
        <f>Portafolio_PA_Papa!E56</f>
        <v>3.2.1. Brindar asistencia técnica y apoyo financiero a los productores de papa, para la adopción de buenas prácticas de recuperación, uso y manejo sostenible del suelo y en la conservación y optimización del uso del agua, tales como: labranza de conservación, rotación de cultivos, recuperación de áreas degradadas, uso de bioinsumos, manejo de residuos, aprovechamiento de biomasa, y en general las buenas prácticas agrícolas y de adopción de tecnologías de producción limpias, de acuerdo con la normatividad ambiental vigente y la disponibilidad y capacidad de regulación hídrica de las respectivas regiones productoras de papa.</v>
      </c>
      <c r="C38" s="692"/>
      <c r="D38" s="692"/>
      <c r="E38" s="692"/>
      <c r="F38" s="692"/>
      <c r="G38" s="692"/>
      <c r="H38" s="692"/>
    </row>
    <row r="39" spans="1:10" ht="59.45" customHeight="1" x14ac:dyDescent="0.25">
      <c r="B39" s="683" t="str">
        <f>Portafolio_PA_Papa!E57</f>
        <v xml:space="preserve">3.2.2. Realizar acompañamiento técnico a los productores de papa, en la implementación de los Planes Maestros de Reconversión Productiva - PMRP que se formulen para la cadena, en áreas con condicionantes ambientales para la producción de papa, al interior de la frontera agrícola (Resolución 261 de 2018 de Minagricultura), incluidos los habitantes tradicionales de páramo que desarrollen la actividad agrícola de bajo impacto y ambientalmente sostenible en páramos, de acuerdo con lo establecido en la Resolución 1294 de 2021 de Minagricultura y Minambiente y demás normatividad vigente (Ley 1930 de 2018 sobre gestión integral de los páramos y Resolución 886 de 2018 de Minambiente sobre zonificación y régimen de usos en las áreas de páramos delimitados).  </v>
      </c>
      <c r="C39" s="692"/>
      <c r="D39" s="692"/>
      <c r="E39" s="692"/>
      <c r="F39" s="692"/>
      <c r="G39" s="692"/>
      <c r="H39" s="692"/>
    </row>
    <row r="40" spans="1:10" ht="42.95" customHeight="1" x14ac:dyDescent="0.25">
      <c r="B40" s="683" t="str">
        <f>Portafolio_PA_Papa!E58</f>
        <v>3.2.3. Fomentar la financiación y cofinanciación requerida en el aumento de la capacidad de captación, almacenamiento y aprovechamiento del agua en soluciones individuales o colectivas (distritos de adecuación de tierras, sistemas de irrigación y drenaje, riego intrapredial, reservorios, reutilización, pozos profundos, entre otros) de acuerdo con las características de las regiones productoras de papa, teniendo en cuenta la Política Nacional para la Gestión Integral del Recurso Hídrico, el Plan Nacional de Riego 2020-2039 (Resolución 311 de 2020 de Minagricultura), entre otros instrumentos.</v>
      </c>
      <c r="C40" s="692"/>
      <c r="D40" s="692"/>
      <c r="E40" s="692"/>
      <c r="F40" s="692"/>
      <c r="G40" s="692"/>
      <c r="H40" s="692"/>
    </row>
    <row r="41" spans="1:10" ht="43.5" customHeight="1" x14ac:dyDescent="0.25">
      <c r="B41" s="683" t="str">
        <f>Portafolio_PA_Papa!E59</f>
        <v>3.2.4. Socializar, difundir, y capacitar a los productores y demás agentes de la cadena, sobre el uso adecuado de la información agroclimática disponible y actualizada, de acuerdo con las proyecciones climáticas, características de las regiones productoras de papa, y los riesgos climáticos, para orientar y favorecer la planificación de la actividad productiva primaria, en concordancia con el Plan integral de Gestión de Cambio Climático del sector agropecuario (Resolución 355 de 2021), la Ley 2169 de 2021 de impulso al desarrollo bajo en carbono del país, entre otros instrumentos.</v>
      </c>
      <c r="C41" s="692"/>
      <c r="D41" s="692"/>
      <c r="E41" s="692"/>
      <c r="F41" s="692"/>
      <c r="G41" s="692"/>
      <c r="H41" s="692"/>
    </row>
    <row r="42" spans="1:10" ht="32.1" customHeight="1" x14ac:dyDescent="0.25">
      <c r="B42" s="683" t="str">
        <f>Portafolio_PA_Papa!E60</f>
        <v xml:space="preserve">3.2.5. Promover la implementación del instrumento de Pago por Servicios Ambientales - PSA (CONPES 3886 de 2017 y Decreto Ley 870 de 2017), en el marco de alianzas o acuerdos público - privados o entre privados, a través de procesos de divulgación y capacitación. </v>
      </c>
      <c r="C42" s="692"/>
      <c r="D42" s="692"/>
      <c r="E42" s="692"/>
      <c r="F42" s="692"/>
      <c r="G42" s="692"/>
      <c r="H42" s="692"/>
    </row>
    <row r="43" spans="1:10" ht="32.1" customHeight="1" x14ac:dyDescent="0.25">
      <c r="B43" s="683" t="str">
        <f>Portafolio_PA_Papa!E61</f>
        <v xml:space="preserve">3.2.6. Realizar procesos de capacitación y divulgación sobre instrumentos financieros y no financieros dirigidos a la sostenibilidad ambiental en la producción de la papa, como líneas de crédito especiales, reconocimiento económico por captura de GEI, bonos de carbono, entre otros. </v>
      </c>
      <c r="C43" s="692"/>
      <c r="D43" s="692"/>
      <c r="E43" s="692"/>
      <c r="F43" s="692"/>
      <c r="G43" s="692"/>
      <c r="H43" s="692"/>
    </row>
    <row r="44" spans="1:10" ht="32.1" customHeight="1" x14ac:dyDescent="0.25">
      <c r="B44" s="683"/>
      <c r="C44" s="692"/>
      <c r="D44" s="692"/>
      <c r="E44" s="692"/>
      <c r="F44" s="692"/>
      <c r="G44" s="692"/>
      <c r="H44" s="692"/>
    </row>
    <row r="45" spans="1:10" ht="15" x14ac:dyDescent="0.25">
      <c r="B45" s="693" t="s">
        <v>1128</v>
      </c>
      <c r="C45" s="694"/>
      <c r="D45" s="694"/>
      <c r="E45" s="694"/>
      <c r="F45" s="694"/>
      <c r="G45" s="694"/>
      <c r="H45" s="694"/>
    </row>
    <row r="46" spans="1:10" ht="15" x14ac:dyDescent="0.25">
      <c r="B46" s="26" t="s">
        <v>5</v>
      </c>
      <c r="C46" s="197" t="s">
        <v>6</v>
      </c>
      <c r="D46" s="131" t="s">
        <v>7</v>
      </c>
      <c r="E46" s="131" t="s">
        <v>8</v>
      </c>
      <c r="F46" s="131" t="s">
        <v>48</v>
      </c>
      <c r="G46" s="131" t="s">
        <v>10</v>
      </c>
      <c r="H46" s="131" t="s">
        <v>11</v>
      </c>
    </row>
    <row r="47" spans="1:10" s="4" customFormat="1" x14ac:dyDescent="0.2">
      <c r="A47" s="48"/>
      <c r="B47" s="133" t="s">
        <v>192</v>
      </c>
      <c r="C47" s="199">
        <v>4</v>
      </c>
      <c r="D47" s="134" t="s">
        <v>13</v>
      </c>
      <c r="E47" s="136">
        <v>500000</v>
      </c>
      <c r="F47" s="134"/>
      <c r="G47" s="134"/>
      <c r="H47" s="136">
        <f>+C47*E47</f>
        <v>2000000</v>
      </c>
      <c r="I47" s="37"/>
    </row>
    <row r="48" spans="1:10" s="4" customFormat="1" x14ac:dyDescent="0.2">
      <c r="B48" s="133" t="s">
        <v>14</v>
      </c>
      <c r="C48" s="199">
        <v>24</v>
      </c>
      <c r="D48" s="134" t="s">
        <v>13</v>
      </c>
      <c r="E48" s="136">
        <v>100000</v>
      </c>
      <c r="F48" s="134"/>
      <c r="G48" s="134"/>
      <c r="H48" s="136">
        <f t="shared" ref="H48:H60" si="10">+C48*E48</f>
        <v>2400000</v>
      </c>
      <c r="I48" s="37"/>
    </row>
    <row r="49" spans="1:10" s="4" customFormat="1" x14ac:dyDescent="0.2">
      <c r="B49" s="133" t="s">
        <v>17</v>
      </c>
      <c r="C49" s="199">
        <v>16</v>
      </c>
      <c r="D49" s="134" t="s">
        <v>13</v>
      </c>
      <c r="E49" s="136">
        <v>1625000</v>
      </c>
      <c r="F49" s="134"/>
      <c r="G49" s="134"/>
      <c r="H49" s="136">
        <f t="shared" si="10"/>
        <v>26000000</v>
      </c>
      <c r="I49" s="37"/>
    </row>
    <row r="50" spans="1:10" x14ac:dyDescent="0.2">
      <c r="B50" s="133" t="s">
        <v>18</v>
      </c>
      <c r="C50" s="199">
        <v>24</v>
      </c>
      <c r="D50" s="134" t="s">
        <v>13</v>
      </c>
      <c r="E50" s="136">
        <v>325000</v>
      </c>
      <c r="F50" s="134"/>
      <c r="G50" s="134"/>
      <c r="H50" s="136">
        <f t="shared" si="10"/>
        <v>7800000</v>
      </c>
      <c r="I50" s="32"/>
      <c r="J50" s="4"/>
    </row>
    <row r="51" spans="1:10" x14ac:dyDescent="0.2">
      <c r="B51" s="133" t="s">
        <v>216</v>
      </c>
      <c r="C51" s="199">
        <v>12</v>
      </c>
      <c r="D51" s="134" t="s">
        <v>13</v>
      </c>
      <c r="E51" s="136">
        <v>6000000</v>
      </c>
      <c r="F51" s="134"/>
      <c r="G51" s="134"/>
      <c r="H51" s="136">
        <f t="shared" si="10"/>
        <v>72000000</v>
      </c>
      <c r="I51" s="32"/>
      <c r="J51" s="4"/>
    </row>
    <row r="52" spans="1:10" s="4" customFormat="1" x14ac:dyDescent="0.2">
      <c r="A52" s="48"/>
      <c r="B52" s="133" t="s">
        <v>217</v>
      </c>
      <c r="C52" s="200">
        <v>60</v>
      </c>
      <c r="D52" s="134" t="s">
        <v>13</v>
      </c>
      <c r="E52" s="136">
        <v>4120000</v>
      </c>
      <c r="F52" s="134"/>
      <c r="G52" s="134"/>
      <c r="H52" s="136">
        <f t="shared" si="10"/>
        <v>247200000</v>
      </c>
      <c r="I52" s="49"/>
    </row>
    <row r="53" spans="1:10" s="4" customFormat="1" x14ac:dyDescent="0.2">
      <c r="A53" s="48"/>
      <c r="B53" s="133" t="s">
        <v>213</v>
      </c>
      <c r="C53" s="199">
        <v>12</v>
      </c>
      <c r="D53" s="134" t="s">
        <v>13</v>
      </c>
      <c r="E53" s="136">
        <v>12284000</v>
      </c>
      <c r="F53" s="134"/>
      <c r="G53" s="134"/>
      <c r="H53" s="136">
        <f t="shared" si="10"/>
        <v>147408000</v>
      </c>
      <c r="I53" s="49"/>
    </row>
    <row r="54" spans="1:10" s="4" customFormat="1" x14ac:dyDescent="0.2">
      <c r="A54" s="48"/>
      <c r="B54" s="133" t="s">
        <v>204</v>
      </c>
      <c r="C54" s="200">
        <v>12</v>
      </c>
      <c r="D54" s="134" t="s">
        <v>13</v>
      </c>
      <c r="E54" s="136">
        <v>2000000</v>
      </c>
      <c r="F54" s="134"/>
      <c r="G54" s="134"/>
      <c r="H54" s="136">
        <f t="shared" si="10"/>
        <v>24000000</v>
      </c>
      <c r="I54" s="49"/>
    </row>
    <row r="55" spans="1:10" s="4" customFormat="1" x14ac:dyDescent="0.2">
      <c r="B55" s="133" t="s">
        <v>32</v>
      </c>
      <c r="C55" s="200">
        <v>12</v>
      </c>
      <c r="D55" s="29" t="s">
        <v>218</v>
      </c>
      <c r="E55" s="136">
        <v>5000000</v>
      </c>
      <c r="F55" s="134"/>
      <c r="G55" s="134"/>
      <c r="H55" s="136">
        <f t="shared" si="10"/>
        <v>60000000</v>
      </c>
      <c r="I55" s="35"/>
    </row>
    <row r="56" spans="1:10" x14ac:dyDescent="0.2">
      <c r="B56" s="133" t="s">
        <v>34</v>
      </c>
      <c r="C56" s="200">
        <v>24</v>
      </c>
      <c r="D56" s="29" t="s">
        <v>218</v>
      </c>
      <c r="E56" s="147">
        <v>1500000</v>
      </c>
      <c r="F56" s="134"/>
      <c r="G56" s="134"/>
      <c r="H56" s="136">
        <f t="shared" si="10"/>
        <v>36000000</v>
      </c>
      <c r="I56" s="37"/>
    </row>
    <row r="57" spans="1:10" x14ac:dyDescent="0.2">
      <c r="B57" s="133" t="s">
        <v>137</v>
      </c>
      <c r="C57" s="200">
        <v>12</v>
      </c>
      <c r="D57" s="134" t="s">
        <v>219</v>
      </c>
      <c r="E57" s="147">
        <v>1000000</v>
      </c>
      <c r="F57" s="134"/>
      <c r="G57" s="134"/>
      <c r="H57" s="136">
        <f t="shared" si="10"/>
        <v>12000000</v>
      </c>
      <c r="I57" s="37"/>
    </row>
    <row r="58" spans="1:10" x14ac:dyDescent="0.2">
      <c r="B58" s="133" t="s">
        <v>30</v>
      </c>
      <c r="C58" s="199">
        <v>24</v>
      </c>
      <c r="D58" s="134" t="s">
        <v>13</v>
      </c>
      <c r="E58" s="147">
        <v>300000</v>
      </c>
      <c r="F58" s="145"/>
      <c r="G58" s="134"/>
      <c r="H58" s="136">
        <f t="shared" si="10"/>
        <v>7200000</v>
      </c>
      <c r="I58" s="37"/>
    </row>
    <row r="59" spans="1:10" x14ac:dyDescent="0.2">
      <c r="B59" s="133" t="s">
        <v>138</v>
      </c>
      <c r="C59" s="199">
        <v>12</v>
      </c>
      <c r="D59" s="134" t="s">
        <v>219</v>
      </c>
      <c r="E59" s="147">
        <v>3000000</v>
      </c>
      <c r="F59" s="145"/>
      <c r="G59" s="134"/>
      <c r="H59" s="136">
        <f t="shared" si="10"/>
        <v>36000000</v>
      </c>
      <c r="I59" s="37"/>
    </row>
    <row r="60" spans="1:10" x14ac:dyDescent="0.2">
      <c r="B60" s="133" t="s">
        <v>139</v>
      </c>
      <c r="C60" s="199">
        <v>24</v>
      </c>
      <c r="D60" s="134" t="s">
        <v>13</v>
      </c>
      <c r="E60" s="147">
        <v>900000</v>
      </c>
      <c r="F60" s="145"/>
      <c r="G60" s="134"/>
      <c r="H60" s="136">
        <f t="shared" si="10"/>
        <v>21600000</v>
      </c>
      <c r="I60" s="37"/>
    </row>
    <row r="61" spans="1:10" x14ac:dyDescent="0.2">
      <c r="B61" s="133" t="s">
        <v>193</v>
      </c>
      <c r="C61" s="199">
        <v>3</v>
      </c>
      <c r="D61" s="29" t="s">
        <v>36</v>
      </c>
      <c r="E61" s="147">
        <v>7233751</v>
      </c>
      <c r="F61" s="146">
        <v>1</v>
      </c>
      <c r="G61" s="134">
        <v>12</v>
      </c>
      <c r="H61" s="136">
        <f>+C61*E61*F61*G61</f>
        <v>260415036</v>
      </c>
      <c r="I61" s="37"/>
    </row>
    <row r="62" spans="1:10" x14ac:dyDescent="0.2">
      <c r="B62" s="29" t="s">
        <v>78</v>
      </c>
      <c r="C62" s="201">
        <v>8</v>
      </c>
      <c r="D62" s="29" t="s">
        <v>38</v>
      </c>
      <c r="E62" s="196">
        <v>1213122</v>
      </c>
      <c r="F62" s="29"/>
      <c r="G62" s="29"/>
      <c r="H62" s="31">
        <f>C62*E62</f>
        <v>9704976</v>
      </c>
      <c r="I62" s="37"/>
    </row>
    <row r="63" spans="1:10" x14ac:dyDescent="0.2">
      <c r="B63" s="29" t="s">
        <v>79</v>
      </c>
      <c r="C63" s="201">
        <v>4</v>
      </c>
      <c r="D63" s="29" t="s">
        <v>40</v>
      </c>
      <c r="E63" s="196">
        <v>1438122</v>
      </c>
      <c r="F63" s="29"/>
      <c r="G63" s="29"/>
      <c r="H63" s="31">
        <f>C63*E63</f>
        <v>5752488</v>
      </c>
      <c r="I63" s="37"/>
    </row>
    <row r="64" spans="1:10" x14ac:dyDescent="0.2">
      <c r="B64" s="29" t="s">
        <v>220</v>
      </c>
      <c r="C64" s="202">
        <v>1</v>
      </c>
      <c r="D64" s="29" t="s">
        <v>13</v>
      </c>
      <c r="E64" s="204">
        <v>6604729</v>
      </c>
      <c r="F64" s="29"/>
      <c r="G64" s="29">
        <v>4</v>
      </c>
      <c r="H64" s="31">
        <f>C64*E64*G64</f>
        <v>26418916</v>
      </c>
      <c r="I64" s="37"/>
    </row>
    <row r="65" spans="1:9" x14ac:dyDescent="0.2">
      <c r="B65" s="117" t="s">
        <v>100</v>
      </c>
      <c r="C65" s="199">
        <v>12</v>
      </c>
      <c r="D65" s="29" t="s">
        <v>36</v>
      </c>
      <c r="E65" s="147">
        <v>6604729</v>
      </c>
      <c r="F65" s="146">
        <v>1</v>
      </c>
      <c r="G65" s="134">
        <v>12</v>
      </c>
      <c r="H65" s="136">
        <f>+C65*E65*F65*G65</f>
        <v>951080976</v>
      </c>
      <c r="I65" s="37"/>
    </row>
    <row r="66" spans="1:9" x14ac:dyDescent="0.2">
      <c r="B66" s="117" t="s">
        <v>43</v>
      </c>
      <c r="C66" s="199">
        <f>+C65</f>
        <v>12</v>
      </c>
      <c r="D66" s="134" t="s">
        <v>195</v>
      </c>
      <c r="E66" s="147">
        <v>1160000</v>
      </c>
      <c r="F66" s="137"/>
      <c r="G66" s="134"/>
      <c r="H66" s="136">
        <f>+C66*E66</f>
        <v>13920000</v>
      </c>
      <c r="I66" s="37"/>
    </row>
    <row r="67" spans="1:9" x14ac:dyDescent="0.2">
      <c r="B67" s="117" t="s">
        <v>44</v>
      </c>
      <c r="C67" s="199">
        <f>+C65</f>
        <v>12</v>
      </c>
      <c r="D67" s="134" t="s">
        <v>195</v>
      </c>
      <c r="E67" s="147">
        <v>120000</v>
      </c>
      <c r="F67" s="137"/>
      <c r="G67" s="134"/>
      <c r="H67" s="147">
        <f>+C67*E67</f>
        <v>1440000</v>
      </c>
      <c r="I67" s="37"/>
    </row>
    <row r="68" spans="1:9" x14ac:dyDescent="0.2">
      <c r="B68" s="117" t="s">
        <v>221</v>
      </c>
      <c r="C68" s="203">
        <v>1968.2281</v>
      </c>
      <c r="D68" s="134" t="s">
        <v>222</v>
      </c>
      <c r="E68" s="136">
        <v>6000000</v>
      </c>
      <c r="F68" s="137">
        <v>0.2</v>
      </c>
      <c r="G68" s="134"/>
      <c r="H68" s="148">
        <f>+C68*E68*F68</f>
        <v>2361873720</v>
      </c>
      <c r="I68" s="37"/>
    </row>
    <row r="69" spans="1:9" x14ac:dyDescent="0.2">
      <c r="B69" s="117" t="s">
        <v>223</v>
      </c>
      <c r="C69" s="203">
        <v>9841.1404999999995</v>
      </c>
      <c r="D69" s="134" t="s">
        <v>222</v>
      </c>
      <c r="E69" s="136">
        <v>1500000</v>
      </c>
      <c r="F69" s="149">
        <v>7.4999999999999997E-2</v>
      </c>
      <c r="G69" s="134"/>
      <c r="H69" s="148">
        <f>+C69*E69*F69</f>
        <v>1107128306.25</v>
      </c>
      <c r="I69" s="37"/>
    </row>
    <row r="70" spans="1:9" x14ac:dyDescent="0.2">
      <c r="B70" s="117" t="s">
        <v>1108</v>
      </c>
      <c r="C70" s="203">
        <v>25</v>
      </c>
      <c r="D70" s="134" t="s">
        <v>560</v>
      </c>
      <c r="E70" s="136">
        <v>24000000</v>
      </c>
      <c r="F70" s="149">
        <v>0.3</v>
      </c>
      <c r="G70" s="134"/>
      <c r="H70" s="148">
        <f>+C70*E70*F70</f>
        <v>180000000</v>
      </c>
      <c r="I70" s="37"/>
    </row>
    <row r="71" spans="1:9" x14ac:dyDescent="0.2">
      <c r="B71" s="133" t="s">
        <v>224</v>
      </c>
      <c r="C71" s="199"/>
      <c r="D71" s="134"/>
      <c r="E71" s="136"/>
      <c r="F71" s="134"/>
      <c r="G71" s="134"/>
      <c r="H71" s="148" t="s">
        <v>46</v>
      </c>
      <c r="I71" s="37"/>
    </row>
    <row r="72" spans="1:9" ht="15" x14ac:dyDescent="0.2">
      <c r="B72" s="29" t="s">
        <v>225</v>
      </c>
      <c r="C72" s="198"/>
      <c r="D72" s="134"/>
      <c r="E72" s="136"/>
      <c r="F72" s="137"/>
      <c r="G72" s="134"/>
      <c r="H72" s="148" t="s">
        <v>46</v>
      </c>
      <c r="I72" s="150" t="s">
        <v>501</v>
      </c>
    </row>
    <row r="73" spans="1:9" ht="15" x14ac:dyDescent="0.25">
      <c r="B73" s="39" t="s">
        <v>1</v>
      </c>
      <c r="C73" s="139"/>
      <c r="D73" s="139"/>
      <c r="E73" s="140"/>
      <c r="F73" s="140"/>
      <c r="G73" s="139"/>
      <c r="H73" s="150">
        <f>SUM(H47:H72)-H69-H70-H68</f>
        <v>1970340392</v>
      </c>
      <c r="I73" s="150">
        <f>H73/12</f>
        <v>164195032.66666666</v>
      </c>
    </row>
    <row r="74" spans="1:9" ht="15" x14ac:dyDescent="0.25">
      <c r="B74" s="39" t="s">
        <v>503</v>
      </c>
      <c r="C74" s="139"/>
      <c r="D74" s="139"/>
      <c r="E74" s="140"/>
      <c r="F74" s="140"/>
      <c r="G74" s="139"/>
      <c r="H74" s="150">
        <f>SUM(H47:H72)</f>
        <v>5619342418.25</v>
      </c>
    </row>
    <row r="75" spans="1:9" ht="324.60000000000002" customHeight="1" x14ac:dyDescent="0.2">
      <c r="B75" s="142" t="s">
        <v>1126</v>
      </c>
      <c r="C75" s="119"/>
      <c r="D75" s="119"/>
      <c r="E75" s="119"/>
      <c r="F75" s="151"/>
      <c r="G75" s="151"/>
    </row>
    <row r="76" spans="1:9" x14ac:dyDescent="0.2">
      <c r="B76" s="4"/>
      <c r="C76" s="119"/>
      <c r="D76" s="119"/>
      <c r="E76" s="119"/>
      <c r="F76" s="119"/>
      <c r="G76" s="119"/>
    </row>
    <row r="78" spans="1:9" s="4" customFormat="1" ht="21" customHeight="1" x14ac:dyDescent="0.2">
      <c r="A78" s="47"/>
      <c r="B78" s="696" t="str">
        <f>B10</f>
        <v>3.3. Aumento en la incorporación de prácticas sostenibles en la comercialización, adecuación y procesamiento de papa y sus derivados</v>
      </c>
      <c r="C78" s="697"/>
      <c r="D78" s="697"/>
      <c r="E78" s="697"/>
      <c r="F78" s="697"/>
      <c r="G78" s="697"/>
      <c r="H78" s="697"/>
    </row>
    <row r="79" spans="1:9" ht="27" customHeight="1" x14ac:dyDescent="0.25">
      <c r="B79" s="683" t="str">
        <f>Portafolio_PA_Papa!E62</f>
        <v>3.3.1. Realizar capacitaciones a los agentes dedicados a la comercialización, adecuación y procesamiento de papa y sus derivados, sobre la implementación de la normatividad ambiental aplicable a los procesos que desarrollan en la comercialización y en la transformación, así como capacitarlos en el registro de iniciativas de reducción de emisiones de GEI (Resolución 1447 de 2018 de Minambiente).</v>
      </c>
      <c r="C79" s="692"/>
      <c r="D79" s="692"/>
      <c r="E79" s="692"/>
      <c r="F79" s="692"/>
      <c r="G79" s="692"/>
      <c r="H79" s="692"/>
    </row>
    <row r="80" spans="1:9" ht="41.1" customHeight="1" x14ac:dyDescent="0.25">
      <c r="B80" s="683" t="str">
        <f>Portafolio_PA_Papa!E63</f>
        <v>3.3.2. Identificar y divulgar los desarrollos en tecnologías de producción bajas en carbono, modelos de economía circular y energías alternativas, y promover su implementación por parte de comercializadores y procesadores de papa, teniendo en cuenta la Política Nacional para la Gestión Integral de Residuos Sólidos (CONPES 3874 de 2016), la Gestión ambiental de los residuos de envases y empaques (Resolución 1407 de 2018), las metas y medidas para el impulso al desarrollo bajo en carbono del país (Ley 2169 de 2021), entre otros instrumentos.</v>
      </c>
      <c r="C80" s="692"/>
      <c r="D80" s="692"/>
      <c r="E80" s="692"/>
      <c r="F80" s="692"/>
      <c r="G80" s="692"/>
      <c r="H80" s="692"/>
    </row>
    <row r="81" spans="1:10" ht="32.1" customHeight="1" x14ac:dyDescent="0.25">
      <c r="B81" s="683" t="str">
        <f>Portafolio_PA_Papa!E64</f>
        <v>3.3.3. Realizar el acompañamiento técnico y financiero a MiPymes procesadoras de papa, para mejorar la infraestructura y equipamiento, requeridos en la incorporación de tecnologías de producción bajas en carbono, modelos de economía circular, manejo adecuado de residuos y energías alternativas.</v>
      </c>
      <c r="C81" s="692"/>
      <c r="D81" s="692"/>
      <c r="E81" s="692"/>
      <c r="F81" s="692"/>
      <c r="G81" s="692"/>
      <c r="H81" s="692"/>
    </row>
    <row r="82" spans="1:10" ht="15" x14ac:dyDescent="0.25">
      <c r="B82" s="534"/>
      <c r="C82" s="547"/>
      <c r="D82" s="547"/>
      <c r="E82" s="547"/>
      <c r="F82" s="547"/>
      <c r="G82" s="547"/>
      <c r="H82" s="547"/>
    </row>
    <row r="83" spans="1:10" ht="32.1" customHeight="1" x14ac:dyDescent="0.25">
      <c r="B83" s="693" t="s">
        <v>1128</v>
      </c>
      <c r="C83" s="694"/>
      <c r="D83" s="694"/>
      <c r="E83" s="694"/>
      <c r="F83" s="694"/>
      <c r="G83" s="694"/>
      <c r="H83" s="694"/>
    </row>
    <row r="84" spans="1:10" ht="15" x14ac:dyDescent="0.25">
      <c r="B84" s="205" t="s">
        <v>5</v>
      </c>
      <c r="C84" s="206" t="s">
        <v>6</v>
      </c>
      <c r="D84" s="206" t="s">
        <v>7</v>
      </c>
      <c r="E84" s="206" t="s">
        <v>8</v>
      </c>
      <c r="F84" s="206" t="s">
        <v>48</v>
      </c>
      <c r="G84" s="206" t="s">
        <v>10</v>
      </c>
      <c r="H84" s="206" t="s">
        <v>11</v>
      </c>
    </row>
    <row r="85" spans="1:10" s="4" customFormat="1" x14ac:dyDescent="0.2">
      <c r="A85" s="48"/>
      <c r="B85" s="193" t="s">
        <v>192</v>
      </c>
      <c r="C85" s="144">
        <v>4</v>
      </c>
      <c r="D85" s="144" t="s">
        <v>13</v>
      </c>
      <c r="E85" s="136">
        <v>500000</v>
      </c>
      <c r="F85" s="144"/>
      <c r="G85" s="144"/>
      <c r="H85" s="136">
        <f>+C85*E85</f>
        <v>2000000</v>
      </c>
      <c r="I85" s="37"/>
    </row>
    <row r="86" spans="1:10" s="4" customFormat="1" x14ac:dyDescent="0.2">
      <c r="B86" s="194" t="s">
        <v>14</v>
      </c>
      <c r="C86" s="144">
        <v>24</v>
      </c>
      <c r="D86" s="144" t="s">
        <v>13</v>
      </c>
      <c r="E86" s="136">
        <v>325000</v>
      </c>
      <c r="F86" s="144"/>
      <c r="G86" s="144"/>
      <c r="H86" s="136">
        <f t="shared" ref="H86:H96" si="11">+C86*E86</f>
        <v>7800000</v>
      </c>
      <c r="I86" s="37"/>
    </row>
    <row r="87" spans="1:10" s="4" customFormat="1" x14ac:dyDescent="0.2">
      <c r="B87" s="193" t="s">
        <v>17</v>
      </c>
      <c r="C87" s="144">
        <v>16</v>
      </c>
      <c r="D87" s="144" t="s">
        <v>13</v>
      </c>
      <c r="E87" s="136">
        <v>1625000</v>
      </c>
      <c r="F87" s="144"/>
      <c r="G87" s="144"/>
      <c r="H87" s="136">
        <f t="shared" si="11"/>
        <v>26000000</v>
      </c>
      <c r="I87" s="37"/>
    </row>
    <row r="88" spans="1:10" x14ac:dyDescent="0.2">
      <c r="B88" s="193" t="s">
        <v>18</v>
      </c>
      <c r="C88" s="144">
        <v>24</v>
      </c>
      <c r="D88" s="144" t="s">
        <v>13</v>
      </c>
      <c r="E88" s="136">
        <v>325000</v>
      </c>
      <c r="F88" s="144"/>
      <c r="G88" s="144"/>
      <c r="H88" s="136">
        <f t="shared" si="11"/>
        <v>7800000</v>
      </c>
      <c r="I88" s="32"/>
      <c r="J88" s="4"/>
    </row>
    <row r="89" spans="1:10" x14ac:dyDescent="0.2">
      <c r="B89" s="193" t="s">
        <v>226</v>
      </c>
      <c r="C89" s="144">
        <v>60</v>
      </c>
      <c r="D89" s="144" t="s">
        <v>13</v>
      </c>
      <c r="E89" s="136">
        <v>4120000</v>
      </c>
      <c r="F89" s="144"/>
      <c r="G89" s="144"/>
      <c r="H89" s="136">
        <f>+C89*E89</f>
        <v>247200000</v>
      </c>
      <c r="I89" s="32"/>
      <c r="J89" s="4"/>
    </row>
    <row r="90" spans="1:10" s="160" customFormat="1" x14ac:dyDescent="0.2">
      <c r="B90" s="193" t="s">
        <v>489</v>
      </c>
      <c r="C90" s="144">
        <v>4</v>
      </c>
      <c r="D90" s="144" t="s">
        <v>36</v>
      </c>
      <c r="E90" s="136">
        <v>11479652</v>
      </c>
      <c r="F90" s="144"/>
      <c r="G90" s="144">
        <v>2</v>
      </c>
      <c r="H90" s="136">
        <f>C90*E90*G90</f>
        <v>91837216</v>
      </c>
      <c r="I90" s="163"/>
      <c r="J90" s="159"/>
    </row>
    <row r="91" spans="1:10" x14ac:dyDescent="0.2">
      <c r="B91" s="194" t="s">
        <v>32</v>
      </c>
      <c r="C91" s="144">
        <v>12</v>
      </c>
      <c r="D91" s="33" t="s">
        <v>218</v>
      </c>
      <c r="E91" s="136">
        <v>5000000</v>
      </c>
      <c r="F91" s="144"/>
      <c r="G91" s="144"/>
      <c r="H91" s="136">
        <f t="shared" si="11"/>
        <v>60000000</v>
      </c>
      <c r="I91" s="32"/>
      <c r="J91" s="4"/>
    </row>
    <row r="92" spans="1:10" x14ac:dyDescent="0.2">
      <c r="B92" s="194" t="s">
        <v>34</v>
      </c>
      <c r="C92" s="144">
        <v>24</v>
      </c>
      <c r="D92" s="33" t="s">
        <v>218</v>
      </c>
      <c r="E92" s="136">
        <v>1500000</v>
      </c>
      <c r="F92" s="144"/>
      <c r="G92" s="144"/>
      <c r="H92" s="136">
        <f t="shared" si="11"/>
        <v>36000000</v>
      </c>
      <c r="I92" s="32"/>
      <c r="J92" s="4"/>
    </row>
    <row r="93" spans="1:10" s="4" customFormat="1" x14ac:dyDescent="0.2">
      <c r="A93" s="48"/>
      <c r="B93" s="194" t="s">
        <v>137</v>
      </c>
      <c r="C93" s="144">
        <v>12</v>
      </c>
      <c r="D93" s="144" t="s">
        <v>219</v>
      </c>
      <c r="E93" s="136">
        <v>1000000</v>
      </c>
      <c r="F93" s="144"/>
      <c r="G93" s="144"/>
      <c r="H93" s="136">
        <f t="shared" si="11"/>
        <v>12000000</v>
      </c>
      <c r="I93" s="35"/>
    </row>
    <row r="94" spans="1:10" s="4" customFormat="1" x14ac:dyDescent="0.2">
      <c r="A94" s="48"/>
      <c r="B94" s="194" t="s">
        <v>227</v>
      </c>
      <c r="C94" s="144">
        <v>24</v>
      </c>
      <c r="D94" s="144" t="s">
        <v>13</v>
      </c>
      <c r="E94" s="136">
        <v>300000</v>
      </c>
      <c r="F94" s="144"/>
      <c r="G94" s="144"/>
      <c r="H94" s="136">
        <f t="shared" si="11"/>
        <v>7200000</v>
      </c>
      <c r="I94" s="49"/>
    </row>
    <row r="95" spans="1:10" x14ac:dyDescent="0.2">
      <c r="B95" s="194" t="s">
        <v>228</v>
      </c>
      <c r="C95" s="144">
        <v>12</v>
      </c>
      <c r="D95" s="144" t="s">
        <v>219</v>
      </c>
      <c r="E95" s="147">
        <v>3000000</v>
      </c>
      <c r="F95" s="144"/>
      <c r="G95" s="144"/>
      <c r="H95" s="136">
        <f t="shared" si="11"/>
        <v>36000000</v>
      </c>
      <c r="I95" s="37"/>
    </row>
    <row r="96" spans="1:10" x14ac:dyDescent="0.2">
      <c r="B96" s="194" t="s">
        <v>207</v>
      </c>
      <c r="C96" s="144">
        <v>24</v>
      </c>
      <c r="D96" s="144" t="s">
        <v>13</v>
      </c>
      <c r="E96" s="147">
        <v>900000</v>
      </c>
      <c r="F96" s="207"/>
      <c r="G96" s="144"/>
      <c r="H96" s="136">
        <f t="shared" si="11"/>
        <v>21600000</v>
      </c>
      <c r="I96" s="37"/>
    </row>
    <row r="97" spans="2:9" ht="28.5" x14ac:dyDescent="0.2">
      <c r="B97" s="208" t="s">
        <v>229</v>
      </c>
      <c r="C97" s="144">
        <v>5</v>
      </c>
      <c r="D97" s="144" t="s">
        <v>13</v>
      </c>
      <c r="E97" s="147">
        <v>10745859.024</v>
      </c>
      <c r="F97" s="209"/>
      <c r="G97" s="144"/>
      <c r="H97" s="136">
        <f>+C97*E97</f>
        <v>53729295.120000005</v>
      </c>
      <c r="I97" s="37"/>
    </row>
    <row r="98" spans="2:9" ht="28.5" x14ac:dyDescent="0.2">
      <c r="B98" s="208" t="s">
        <v>230</v>
      </c>
      <c r="C98" s="144">
        <v>2</v>
      </c>
      <c r="D98" s="144" t="s">
        <v>13</v>
      </c>
      <c r="E98" s="147">
        <v>38953149.899999999</v>
      </c>
      <c r="F98" s="209"/>
      <c r="G98" s="144"/>
      <c r="H98" s="136">
        <f t="shared" ref="H98:H102" si="12">+C98*E98</f>
        <v>77906299.799999997</v>
      </c>
      <c r="I98" s="37"/>
    </row>
    <row r="99" spans="2:9" ht="28.5" x14ac:dyDescent="0.2">
      <c r="B99" s="208" t="s">
        <v>231</v>
      </c>
      <c r="C99" s="144">
        <v>2</v>
      </c>
      <c r="D99" s="144" t="s">
        <v>13</v>
      </c>
      <c r="E99" s="147">
        <v>49497312.195</v>
      </c>
      <c r="F99" s="209"/>
      <c r="G99" s="144"/>
      <c r="H99" s="136">
        <f t="shared" si="12"/>
        <v>98994624.390000001</v>
      </c>
      <c r="I99" s="37"/>
    </row>
    <row r="100" spans="2:9" ht="28.5" x14ac:dyDescent="0.2">
      <c r="B100" s="208" t="s">
        <v>232</v>
      </c>
      <c r="C100" s="144">
        <v>10</v>
      </c>
      <c r="D100" s="144" t="s">
        <v>13</v>
      </c>
      <c r="E100" s="147">
        <v>10745859.024</v>
      </c>
      <c r="F100" s="195"/>
      <c r="G100" s="144"/>
      <c r="H100" s="136">
        <f t="shared" si="12"/>
        <v>107458590.24000001</v>
      </c>
      <c r="I100" s="37"/>
    </row>
    <row r="101" spans="2:9" ht="28.5" x14ac:dyDescent="0.2">
      <c r="B101" s="208" t="s">
        <v>233</v>
      </c>
      <c r="C101" s="144">
        <v>3</v>
      </c>
      <c r="D101" s="144" t="s">
        <v>13</v>
      </c>
      <c r="E101" s="147">
        <v>38953149.899999999</v>
      </c>
      <c r="F101" s="195"/>
      <c r="G101" s="144"/>
      <c r="H101" s="136">
        <f t="shared" si="12"/>
        <v>116859449.69999999</v>
      </c>
      <c r="I101" s="37"/>
    </row>
    <row r="102" spans="2:9" ht="28.5" x14ac:dyDescent="0.2">
      <c r="B102" s="208" t="s">
        <v>234</v>
      </c>
      <c r="C102" s="144">
        <v>2</v>
      </c>
      <c r="D102" s="144" t="s">
        <v>13</v>
      </c>
      <c r="E102" s="147">
        <v>49497312.195</v>
      </c>
      <c r="F102" s="195"/>
      <c r="G102" s="144"/>
      <c r="H102" s="136">
        <f t="shared" si="12"/>
        <v>98994624.390000001</v>
      </c>
      <c r="I102" s="37"/>
    </row>
    <row r="103" spans="2:9" s="184" customFormat="1" x14ac:dyDescent="0.2">
      <c r="B103" s="194" t="s">
        <v>193</v>
      </c>
      <c r="C103" s="144">
        <v>3</v>
      </c>
      <c r="D103" s="33" t="s">
        <v>36</v>
      </c>
      <c r="E103" s="147">
        <v>7233751</v>
      </c>
      <c r="F103" s="207">
        <v>1</v>
      </c>
      <c r="G103" s="144">
        <v>12</v>
      </c>
      <c r="H103" s="136">
        <f>+C103*E103*F103*G103</f>
        <v>260415036</v>
      </c>
      <c r="I103" s="210"/>
    </row>
    <row r="104" spans="2:9" s="184" customFormat="1" x14ac:dyDescent="0.2">
      <c r="B104" s="33" t="s">
        <v>78</v>
      </c>
      <c r="C104" s="201">
        <v>8</v>
      </c>
      <c r="D104" s="33" t="s">
        <v>38</v>
      </c>
      <c r="E104" s="196">
        <v>1213122</v>
      </c>
      <c r="F104" s="33"/>
      <c r="G104" s="33"/>
      <c r="H104" s="31">
        <f>C104*E104</f>
        <v>9704976</v>
      </c>
      <c r="I104" s="210"/>
    </row>
    <row r="105" spans="2:9" s="184" customFormat="1" x14ac:dyDescent="0.2">
      <c r="B105" s="33" t="s">
        <v>79</v>
      </c>
      <c r="C105" s="201">
        <v>4</v>
      </c>
      <c r="D105" s="33" t="s">
        <v>40</v>
      </c>
      <c r="E105" s="196">
        <v>1438122</v>
      </c>
      <c r="F105" s="33"/>
      <c r="G105" s="33"/>
      <c r="H105" s="31">
        <f>C105*E105</f>
        <v>5752488</v>
      </c>
      <c r="I105" s="210"/>
    </row>
    <row r="106" spans="2:9" s="184" customFormat="1" x14ac:dyDescent="0.2">
      <c r="B106" s="194" t="s">
        <v>100</v>
      </c>
      <c r="C106" s="144">
        <v>12</v>
      </c>
      <c r="D106" s="33" t="s">
        <v>36</v>
      </c>
      <c r="E106" s="147">
        <v>6604729</v>
      </c>
      <c r="F106" s="209">
        <v>1</v>
      </c>
      <c r="G106" s="144">
        <v>12</v>
      </c>
      <c r="H106" s="136">
        <f>+C106*E106*F106*G106</f>
        <v>951080976</v>
      </c>
      <c r="I106" s="210"/>
    </row>
    <row r="107" spans="2:9" s="184" customFormat="1" x14ac:dyDescent="0.2">
      <c r="B107" s="194" t="s">
        <v>43</v>
      </c>
      <c r="C107" s="144">
        <f>+C106</f>
        <v>12</v>
      </c>
      <c r="D107" s="144" t="s">
        <v>195</v>
      </c>
      <c r="E107" s="147">
        <v>1160000</v>
      </c>
      <c r="F107" s="209"/>
      <c r="G107" s="144">
        <v>12</v>
      </c>
      <c r="H107" s="136">
        <f>+C107*E107*G107</f>
        <v>167040000</v>
      </c>
      <c r="I107" s="210"/>
    </row>
    <row r="108" spans="2:9" s="184" customFormat="1" x14ac:dyDescent="0.2">
      <c r="B108" s="194" t="s">
        <v>44</v>
      </c>
      <c r="C108" s="144">
        <f>+C106</f>
        <v>12</v>
      </c>
      <c r="D108" s="144" t="s">
        <v>195</v>
      </c>
      <c r="E108" s="147">
        <v>120000</v>
      </c>
      <c r="F108" s="209"/>
      <c r="G108" s="144">
        <v>12</v>
      </c>
      <c r="H108" s="136">
        <f>+C108*E108*G108</f>
        <v>17280000</v>
      </c>
      <c r="I108" s="210"/>
    </row>
    <row r="109" spans="2:9" s="184" customFormat="1" ht="15" x14ac:dyDescent="0.2">
      <c r="B109" s="194" t="s">
        <v>235</v>
      </c>
      <c r="C109" s="144"/>
      <c r="D109" s="144"/>
      <c r="E109" s="136"/>
      <c r="F109" s="144"/>
      <c r="G109" s="144"/>
      <c r="H109" s="148" t="s">
        <v>46</v>
      </c>
      <c r="I109" s="150" t="s">
        <v>501</v>
      </c>
    </row>
    <row r="110" spans="2:9" ht="15" x14ac:dyDescent="0.25">
      <c r="B110" s="39" t="s">
        <v>11</v>
      </c>
      <c r="C110" s="139"/>
      <c r="D110" s="139"/>
      <c r="E110" s="140"/>
      <c r="F110" s="140"/>
      <c r="G110" s="139"/>
      <c r="H110" s="150">
        <f>SUM(H85:H109)-H97-H98-H99-H100-H101-H102</f>
        <v>1966710692</v>
      </c>
      <c r="I110" s="150">
        <f>H110/12</f>
        <v>163892557.66666666</v>
      </c>
    </row>
    <row r="111" spans="2:9" ht="15" x14ac:dyDescent="0.25">
      <c r="B111" s="39" t="s">
        <v>504</v>
      </c>
      <c r="C111" s="139"/>
      <c r="D111" s="139"/>
      <c r="E111" s="140"/>
      <c r="F111" s="140"/>
      <c r="G111" s="139"/>
      <c r="H111" s="150">
        <f>SUM(H85:H109)</f>
        <v>2520653575.6400003</v>
      </c>
    </row>
    <row r="112" spans="2:9" ht="314.10000000000002" customHeight="1" x14ac:dyDescent="0.2">
      <c r="B112" s="142" t="s">
        <v>1109</v>
      </c>
      <c r="C112" s="119"/>
      <c r="D112" s="119"/>
      <c r="E112" s="119"/>
      <c r="F112" s="151"/>
      <c r="G112" s="151"/>
    </row>
  </sheetData>
  <sheetProtection algorithmName="SHA-512" hashValue="pZ/FYpsGwhNlHCXecayoN6JAR0uCxr3u8Zcq+90VMJ2JZnwU6QIye7qiFwSkbPHlknWbA0CmK1DZdZUP9Ryp3w==" saltValue="Qsgj9Lw8aV23RTNOCJJtOg==" spinCount="100000" sheet="1" objects="1" scenarios="1"/>
  <mergeCells count="21">
    <mergeCell ref="B83:H83"/>
    <mergeCell ref="B44:H44"/>
    <mergeCell ref="B79:H79"/>
    <mergeCell ref="B80:H80"/>
    <mergeCell ref="B81:H81"/>
    <mergeCell ref="B15:H15"/>
    <mergeCell ref="B37:H37"/>
    <mergeCell ref="B78:H78"/>
    <mergeCell ref="B16:H16"/>
    <mergeCell ref="B17:H17"/>
    <mergeCell ref="B18:H18"/>
    <mergeCell ref="B19:H19"/>
    <mergeCell ref="B21:H21"/>
    <mergeCell ref="B20:H20"/>
    <mergeCell ref="B38:H38"/>
    <mergeCell ref="B39:H39"/>
    <mergeCell ref="B40:H40"/>
    <mergeCell ref="B41:H41"/>
    <mergeCell ref="B42:H42"/>
    <mergeCell ref="B45:H45"/>
    <mergeCell ref="B43:H4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76"/>
  <sheetViews>
    <sheetView showGridLines="0" zoomScale="60" zoomScaleNormal="60" workbookViewId="0">
      <selection activeCell="B2" sqref="B2"/>
    </sheetView>
  </sheetViews>
  <sheetFormatPr baseColWidth="10" defaultColWidth="10.7109375" defaultRowHeight="14.25" x14ac:dyDescent="0.2"/>
  <cols>
    <col min="1" max="1" width="5.28515625" style="2" customWidth="1"/>
    <col min="2" max="2" width="70.140625" style="2" customWidth="1"/>
    <col min="3" max="3" width="26.42578125" style="2" customWidth="1"/>
    <col min="4" max="4" width="27.140625" style="2" customWidth="1"/>
    <col min="5" max="5" width="22.42578125" style="2" customWidth="1"/>
    <col min="6" max="7" width="19.7109375" style="2" bestFit="1" customWidth="1"/>
    <col min="8" max="8" width="22.85546875" style="2" bestFit="1" customWidth="1"/>
    <col min="9" max="11" width="19.7109375" style="2" bestFit="1" customWidth="1"/>
    <col min="12" max="12" width="19.140625" style="2" bestFit="1" customWidth="1"/>
    <col min="13" max="22" width="19.7109375" style="2" bestFit="1" customWidth="1"/>
    <col min="23" max="23" width="20.42578125" style="2" bestFit="1" customWidth="1"/>
    <col min="24" max="24" width="25.42578125" style="2" customWidth="1"/>
    <col min="25" max="25" width="22.28515625" style="2" bestFit="1" customWidth="1"/>
    <col min="26" max="26" width="19.140625" style="2" bestFit="1" customWidth="1"/>
    <col min="27" max="27" width="17" style="2" bestFit="1" customWidth="1"/>
    <col min="28" max="28" width="17.85546875" style="2" customWidth="1"/>
    <col min="29" max="16384" width="10.7109375" style="2"/>
  </cols>
  <sheetData>
    <row r="2" spans="1:26" ht="15" x14ac:dyDescent="0.25">
      <c r="B2" s="1" t="s">
        <v>0</v>
      </c>
    </row>
    <row r="3" spans="1:26" s="4" customFormat="1" ht="15" x14ac:dyDescent="0.25">
      <c r="A3" s="3"/>
    </row>
    <row r="4" spans="1:26" ht="21.6" customHeight="1" x14ac:dyDescent="0.25">
      <c r="A4" s="5"/>
      <c r="B4" s="120" t="str">
        <f>Portafolio_PA_Papa!C65</f>
        <v xml:space="preserve">4. Contribución al ordenamiento productivo y social de la propiedad rural de la cadena </v>
      </c>
      <c r="C4" s="7"/>
      <c r="D4" s="8"/>
    </row>
    <row r="6" spans="1:26" ht="15" x14ac:dyDescent="0.25">
      <c r="E6" s="9">
        <v>1</v>
      </c>
      <c r="F6" s="9">
        <v>2</v>
      </c>
      <c r="G6" s="9">
        <v>3</v>
      </c>
      <c r="H6" s="9">
        <v>4</v>
      </c>
      <c r="I6" s="9">
        <v>5</v>
      </c>
      <c r="J6" s="9">
        <v>6</v>
      </c>
      <c r="K6" s="9">
        <v>7</v>
      </c>
      <c r="L6" s="9">
        <v>8</v>
      </c>
      <c r="M6" s="9">
        <v>9</v>
      </c>
      <c r="N6" s="9">
        <v>10</v>
      </c>
      <c r="O6" s="9">
        <v>11</v>
      </c>
      <c r="P6" s="9">
        <v>12</v>
      </c>
      <c r="Q6" s="9">
        <v>13</v>
      </c>
      <c r="R6" s="9">
        <v>14</v>
      </c>
      <c r="S6" s="9">
        <v>15</v>
      </c>
      <c r="T6" s="9">
        <v>16</v>
      </c>
      <c r="U6" s="9">
        <v>17</v>
      </c>
      <c r="V6" s="9">
        <v>18</v>
      </c>
      <c r="W6" s="9">
        <v>19</v>
      </c>
      <c r="X6" s="9">
        <v>20</v>
      </c>
      <c r="Y6" s="9" t="s">
        <v>1</v>
      </c>
    </row>
    <row r="7" spans="1:26" s="13" customFormat="1" ht="15" x14ac:dyDescent="0.25">
      <c r="A7" s="2"/>
      <c r="B7" s="10" t="s">
        <v>2</v>
      </c>
      <c r="C7" s="11" t="s">
        <v>3</v>
      </c>
      <c r="D7" s="11" t="s">
        <v>4</v>
      </c>
      <c r="E7" s="12">
        <f t="shared" ref="E7:X7" si="0">SUM(E8:E9)</f>
        <v>1274942401.3333335</v>
      </c>
      <c r="F7" s="12">
        <f t="shared" si="0"/>
        <v>3824827204</v>
      </c>
      <c r="G7" s="12">
        <f t="shared" si="0"/>
        <v>3824827204</v>
      </c>
      <c r="H7" s="12">
        <f t="shared" si="0"/>
        <v>3824827204</v>
      </c>
      <c r="I7" s="12">
        <f t="shared" si="0"/>
        <v>3824827204</v>
      </c>
      <c r="J7" s="12">
        <f t="shared" si="0"/>
        <v>3824827204</v>
      </c>
      <c r="K7" s="12">
        <f t="shared" si="0"/>
        <v>3824827204</v>
      </c>
      <c r="L7" s="12">
        <f t="shared" si="0"/>
        <v>3824827204</v>
      </c>
      <c r="M7" s="12">
        <f t="shared" si="0"/>
        <v>3824827204</v>
      </c>
      <c r="N7" s="12">
        <f t="shared" si="0"/>
        <v>3824827204</v>
      </c>
      <c r="O7" s="12">
        <f t="shared" si="0"/>
        <v>3824827204</v>
      </c>
      <c r="P7" s="12">
        <f t="shared" si="0"/>
        <v>3824827204</v>
      </c>
      <c r="Q7" s="12">
        <f t="shared" si="0"/>
        <v>3824827204</v>
      </c>
      <c r="R7" s="12">
        <f t="shared" si="0"/>
        <v>3824827204</v>
      </c>
      <c r="S7" s="12">
        <f t="shared" si="0"/>
        <v>3824827204</v>
      </c>
      <c r="T7" s="12">
        <f t="shared" si="0"/>
        <v>3824827204</v>
      </c>
      <c r="U7" s="12">
        <f t="shared" si="0"/>
        <v>3824827204</v>
      </c>
      <c r="V7" s="12">
        <f t="shared" si="0"/>
        <v>3824827204</v>
      </c>
      <c r="W7" s="12">
        <f t="shared" si="0"/>
        <v>3824827204</v>
      </c>
      <c r="X7" s="12">
        <f t="shared" si="0"/>
        <v>3824827204</v>
      </c>
      <c r="Y7" s="12">
        <f>SUM(E7:X7)</f>
        <v>73946659277.333344</v>
      </c>
    </row>
    <row r="8" spans="1:26" s="18" customFormat="1" ht="45" customHeight="1" x14ac:dyDescent="0.2">
      <c r="A8" s="14"/>
      <c r="B8" s="65" t="str">
        <f>Portafolio_PA_Papa!D65</f>
        <v>4.1. Fortalecimiento de la articulación con las políticas de ordenamiento productivo y social de la propiedad rural</v>
      </c>
      <c r="C8" s="16" t="s">
        <v>494</v>
      </c>
      <c r="D8" s="16" t="s">
        <v>493</v>
      </c>
      <c r="E8" s="17">
        <f>I37*4</f>
        <v>582274504</v>
      </c>
      <c r="F8" s="17">
        <f>H37</f>
        <v>1746823512</v>
      </c>
      <c r="G8" s="17">
        <f t="shared" ref="G8:X8" si="1">F8</f>
        <v>1746823512</v>
      </c>
      <c r="H8" s="17">
        <f t="shared" si="1"/>
        <v>1746823512</v>
      </c>
      <c r="I8" s="17">
        <f t="shared" si="1"/>
        <v>1746823512</v>
      </c>
      <c r="J8" s="17">
        <f t="shared" si="1"/>
        <v>1746823512</v>
      </c>
      <c r="K8" s="17">
        <f t="shared" si="1"/>
        <v>1746823512</v>
      </c>
      <c r="L8" s="17">
        <f t="shared" si="1"/>
        <v>1746823512</v>
      </c>
      <c r="M8" s="17">
        <f t="shared" si="1"/>
        <v>1746823512</v>
      </c>
      <c r="N8" s="17">
        <f t="shared" si="1"/>
        <v>1746823512</v>
      </c>
      <c r="O8" s="17">
        <f t="shared" si="1"/>
        <v>1746823512</v>
      </c>
      <c r="P8" s="17">
        <f t="shared" si="1"/>
        <v>1746823512</v>
      </c>
      <c r="Q8" s="17">
        <f t="shared" si="1"/>
        <v>1746823512</v>
      </c>
      <c r="R8" s="17">
        <f t="shared" si="1"/>
        <v>1746823512</v>
      </c>
      <c r="S8" s="17">
        <f t="shared" si="1"/>
        <v>1746823512</v>
      </c>
      <c r="T8" s="17">
        <f t="shared" si="1"/>
        <v>1746823512</v>
      </c>
      <c r="U8" s="17">
        <f t="shared" si="1"/>
        <v>1746823512</v>
      </c>
      <c r="V8" s="17">
        <f t="shared" si="1"/>
        <v>1746823512</v>
      </c>
      <c r="W8" s="17">
        <f t="shared" si="1"/>
        <v>1746823512</v>
      </c>
      <c r="X8" s="17">
        <f t="shared" si="1"/>
        <v>1746823512</v>
      </c>
      <c r="Y8" s="17">
        <f>SUM(E8:X8)</f>
        <v>33771921232</v>
      </c>
    </row>
    <row r="9" spans="1:26" s="18" customFormat="1" ht="42.95" customHeight="1" x14ac:dyDescent="0.2">
      <c r="A9" s="14"/>
      <c r="B9" s="65" t="str">
        <f>Portafolio_PA_Papa!D69</f>
        <v>4.2. Promoción del acceso y la seguridad jurídica en la tenencia de la tierra</v>
      </c>
      <c r="C9" s="16" t="s">
        <v>494</v>
      </c>
      <c r="D9" s="16" t="s">
        <v>493</v>
      </c>
      <c r="E9" s="17">
        <f>I67*4</f>
        <v>692667897.33333337</v>
      </c>
      <c r="F9" s="17">
        <f>H67</f>
        <v>2078003692</v>
      </c>
      <c r="G9" s="17">
        <f t="shared" ref="G9:X9" si="2">F9</f>
        <v>2078003692</v>
      </c>
      <c r="H9" s="17">
        <f t="shared" si="2"/>
        <v>2078003692</v>
      </c>
      <c r="I9" s="17">
        <f t="shared" si="2"/>
        <v>2078003692</v>
      </c>
      <c r="J9" s="17">
        <f t="shared" si="2"/>
        <v>2078003692</v>
      </c>
      <c r="K9" s="17">
        <f t="shared" si="2"/>
        <v>2078003692</v>
      </c>
      <c r="L9" s="17">
        <f t="shared" si="2"/>
        <v>2078003692</v>
      </c>
      <c r="M9" s="17">
        <f t="shared" si="2"/>
        <v>2078003692</v>
      </c>
      <c r="N9" s="17">
        <f t="shared" si="2"/>
        <v>2078003692</v>
      </c>
      <c r="O9" s="17">
        <f t="shared" si="2"/>
        <v>2078003692</v>
      </c>
      <c r="P9" s="17">
        <f t="shared" si="2"/>
        <v>2078003692</v>
      </c>
      <c r="Q9" s="17">
        <f t="shared" si="2"/>
        <v>2078003692</v>
      </c>
      <c r="R9" s="17">
        <f t="shared" si="2"/>
        <v>2078003692</v>
      </c>
      <c r="S9" s="17">
        <f t="shared" si="2"/>
        <v>2078003692</v>
      </c>
      <c r="T9" s="17">
        <f t="shared" si="2"/>
        <v>2078003692</v>
      </c>
      <c r="U9" s="17">
        <f t="shared" si="2"/>
        <v>2078003692</v>
      </c>
      <c r="V9" s="17">
        <f t="shared" si="2"/>
        <v>2078003692</v>
      </c>
      <c r="W9" s="17">
        <f t="shared" si="2"/>
        <v>2078003692</v>
      </c>
      <c r="X9" s="17">
        <f t="shared" si="2"/>
        <v>2078003692</v>
      </c>
      <c r="Y9" s="17">
        <f>SUM(E9:X9)</f>
        <v>40174738045.333336</v>
      </c>
    </row>
    <row r="10" spans="1:26" s="127" customFormat="1" ht="24.6" customHeight="1" x14ac:dyDescent="0.25">
      <c r="A10" s="118"/>
      <c r="B10" s="125" t="s">
        <v>1</v>
      </c>
      <c r="C10" s="125"/>
      <c r="D10" s="125"/>
      <c r="E10" s="126">
        <f>E8+E9</f>
        <v>1274942401.3333335</v>
      </c>
      <c r="F10" s="126">
        <f t="shared" ref="F10:Y10" si="3">F8+F9</f>
        <v>3824827204</v>
      </c>
      <c r="G10" s="126">
        <f t="shared" si="3"/>
        <v>3824827204</v>
      </c>
      <c r="H10" s="126">
        <f t="shared" si="3"/>
        <v>3824827204</v>
      </c>
      <c r="I10" s="126">
        <f t="shared" si="3"/>
        <v>3824827204</v>
      </c>
      <c r="J10" s="126">
        <f t="shared" si="3"/>
        <v>3824827204</v>
      </c>
      <c r="K10" s="126">
        <f t="shared" si="3"/>
        <v>3824827204</v>
      </c>
      <c r="L10" s="126">
        <f t="shared" si="3"/>
        <v>3824827204</v>
      </c>
      <c r="M10" s="126">
        <f t="shared" si="3"/>
        <v>3824827204</v>
      </c>
      <c r="N10" s="126">
        <f t="shared" si="3"/>
        <v>3824827204</v>
      </c>
      <c r="O10" s="126">
        <f t="shared" si="3"/>
        <v>3824827204</v>
      </c>
      <c r="P10" s="126">
        <f t="shared" si="3"/>
        <v>3824827204</v>
      </c>
      <c r="Q10" s="126">
        <f t="shared" si="3"/>
        <v>3824827204</v>
      </c>
      <c r="R10" s="126">
        <f t="shared" si="3"/>
        <v>3824827204</v>
      </c>
      <c r="S10" s="126">
        <f t="shared" si="3"/>
        <v>3824827204</v>
      </c>
      <c r="T10" s="126">
        <f t="shared" si="3"/>
        <v>3824827204</v>
      </c>
      <c r="U10" s="126">
        <f t="shared" si="3"/>
        <v>3824827204</v>
      </c>
      <c r="V10" s="126">
        <f t="shared" si="3"/>
        <v>3824827204</v>
      </c>
      <c r="W10" s="126">
        <f t="shared" si="3"/>
        <v>3824827204</v>
      </c>
      <c r="X10" s="126">
        <f t="shared" si="3"/>
        <v>3824827204</v>
      </c>
      <c r="Y10" s="126">
        <f t="shared" si="3"/>
        <v>73946659277.333344</v>
      </c>
    </row>
    <row r="11" spans="1:26" s="23" customFormat="1" ht="15" x14ac:dyDescent="0.25">
      <c r="A11" s="4"/>
      <c r="B11" s="20"/>
      <c r="C11" s="20"/>
      <c r="D11" s="20"/>
      <c r="E11" s="20"/>
      <c r="F11" s="21"/>
      <c r="G11" s="22"/>
      <c r="H11" s="21"/>
      <c r="I11" s="21"/>
      <c r="J11" s="21"/>
      <c r="K11" s="21"/>
      <c r="L11" s="21"/>
      <c r="M11" s="21"/>
      <c r="N11" s="21"/>
      <c r="O11" s="21"/>
      <c r="P11" s="21"/>
      <c r="Q11" s="21"/>
      <c r="R11" s="21"/>
      <c r="S11" s="21"/>
      <c r="T11" s="21"/>
      <c r="U11" s="21"/>
      <c r="V11" s="21"/>
      <c r="W11" s="21"/>
      <c r="X11" s="21"/>
      <c r="Y11" s="21"/>
      <c r="Z11" s="21"/>
    </row>
    <row r="13" spans="1:26" s="4" customFormat="1" ht="21" customHeight="1" x14ac:dyDescent="0.25">
      <c r="B13" s="695" t="str">
        <f>B8</f>
        <v>4.1. Fortalecimiento de la articulación con las políticas de ordenamiento productivo y social de la propiedad rural</v>
      </c>
      <c r="C13" s="695"/>
      <c r="D13" s="695"/>
      <c r="E13" s="695"/>
      <c r="F13" s="695"/>
      <c r="G13" s="695"/>
      <c r="H13" s="695"/>
      <c r="I13" s="178"/>
      <c r="X13" s="25"/>
    </row>
    <row r="14" spans="1:26" ht="15" x14ac:dyDescent="0.25">
      <c r="B14" s="683" t="str">
        <f>Portafolio_PA_Papa!E65</f>
        <v>4.1.1. Socializar y divulgar la normatividad relacionada con la frontera agrícola (Resolución 261 de 2018 de Minagricultura), a los productores y demás actores de la cadena de la papa.</v>
      </c>
      <c r="C14" s="692"/>
      <c r="D14" s="692"/>
      <c r="E14" s="692"/>
      <c r="F14" s="692"/>
      <c r="G14" s="692"/>
      <c r="H14" s="692"/>
    </row>
    <row r="15" spans="1:26" ht="15" x14ac:dyDescent="0.25">
      <c r="B15" s="683" t="str">
        <f>Portafolio_PA_Papa!E66</f>
        <v>4.1.2. Promover mecanismos para que los actores de la cadena de la papa participen en las instancias que definen las políticas de ordenamiento y planificación municipal y departamental.</v>
      </c>
      <c r="C15" s="692"/>
      <c r="D15" s="692"/>
      <c r="E15" s="692"/>
      <c r="F15" s="692"/>
      <c r="G15" s="692"/>
      <c r="H15" s="692"/>
    </row>
    <row r="16" spans="1:26" ht="48" customHeight="1" x14ac:dyDescent="0.25">
      <c r="B16" s="683" t="str">
        <f>Portafolio_PA_Papa!E67</f>
        <v xml:space="preserve">4.1.3. Orientar las inversiones del sector privado en el cultivo de papa, al interior de la frontera agrícola, aprovechando el potencial de las unidades productivas en zonas aptas para este cultivo, y considerando los escenarios de variabilidad y cambio climático en el desarrollo especializado de las regiones productoras; a través de los instrumentos de política nacional y regional, en el marco de lo establecido en las zonificaciones de aptitud del cultivo comercial de papa y del cultivo tecnificado de papa Diacol Capiro para uso industrial.  </v>
      </c>
      <c r="C16" s="692"/>
      <c r="D16" s="692"/>
      <c r="E16" s="692"/>
      <c r="F16" s="692"/>
      <c r="G16" s="692"/>
      <c r="H16" s="692"/>
    </row>
    <row r="17" spans="2:24" ht="33" customHeight="1" x14ac:dyDescent="0.25">
      <c r="B17" s="683" t="str">
        <f>Portafolio_PA_Papa!E68</f>
        <v>4.1.4. Realizar acompañamiento técnico en los procesos de uso y aprovechamiento eficiente del suelo para los productores de papa, en el marco de la frontera agrícola, y en coordinación con actores públicos y privados, a través de la formulación e implementación de los Planes Maestros de Reconversión Productiva - PMRP,  elaborados por la UPRA con la actores regionales de la cadena.</v>
      </c>
      <c r="C17" s="692"/>
      <c r="D17" s="692"/>
      <c r="E17" s="692"/>
      <c r="F17" s="692"/>
      <c r="G17" s="692"/>
      <c r="H17" s="692"/>
    </row>
    <row r="18" spans="2:24" ht="27" customHeight="1" x14ac:dyDescent="0.25">
      <c r="B18" s="534"/>
      <c r="C18" s="547"/>
      <c r="D18" s="547"/>
      <c r="E18" s="547"/>
      <c r="F18" s="547"/>
      <c r="G18" s="547"/>
      <c r="H18" s="547"/>
    </row>
    <row r="19" spans="2:24" ht="32.1" customHeight="1" x14ac:dyDescent="0.25">
      <c r="B19" s="693" t="s">
        <v>1128</v>
      </c>
      <c r="C19" s="694"/>
      <c r="D19" s="694"/>
      <c r="E19" s="694"/>
      <c r="F19" s="694"/>
      <c r="G19" s="694"/>
      <c r="H19" s="694"/>
    </row>
    <row r="20" spans="2:24" ht="15" x14ac:dyDescent="0.25">
      <c r="B20" s="26" t="s">
        <v>5</v>
      </c>
      <c r="C20" s="26" t="s">
        <v>6</v>
      </c>
      <c r="D20" s="26" t="s">
        <v>7</v>
      </c>
      <c r="E20" s="26" t="s">
        <v>8</v>
      </c>
      <c r="F20" s="27" t="s">
        <v>9</v>
      </c>
      <c r="G20" s="26" t="s">
        <v>10</v>
      </c>
      <c r="H20" s="26" t="s">
        <v>11</v>
      </c>
      <c r="X20" s="28"/>
    </row>
    <row r="21" spans="2:24" x14ac:dyDescent="0.2">
      <c r="B21" s="29" t="s">
        <v>192</v>
      </c>
      <c r="C21" s="29">
        <v>12</v>
      </c>
      <c r="D21" s="29" t="s">
        <v>13</v>
      </c>
      <c r="E21" s="30">
        <v>500000</v>
      </c>
      <c r="F21" s="29"/>
      <c r="G21" s="29"/>
      <c r="H21" s="31">
        <f>+C21*E21</f>
        <v>6000000</v>
      </c>
    </row>
    <row r="22" spans="2:24" x14ac:dyDescent="0.2">
      <c r="B22" s="29" t="s">
        <v>14</v>
      </c>
      <c r="C22" s="29">
        <v>36</v>
      </c>
      <c r="D22" s="29" t="s">
        <v>13</v>
      </c>
      <c r="E22" s="30">
        <v>100000</v>
      </c>
      <c r="F22" s="29"/>
      <c r="G22" s="29"/>
      <c r="H22" s="31">
        <f t="shared" ref="H22:H28" si="4">+C22*E22</f>
        <v>3600000</v>
      </c>
    </row>
    <row r="23" spans="2:24" x14ac:dyDescent="0.2">
      <c r="B23" s="29" t="s">
        <v>236</v>
      </c>
      <c r="C23" s="29">
        <v>12</v>
      </c>
      <c r="D23" s="29" t="s">
        <v>13</v>
      </c>
      <c r="E23" s="30">
        <v>1625000</v>
      </c>
      <c r="F23" s="29"/>
      <c r="G23" s="29"/>
      <c r="H23" s="31">
        <f t="shared" si="4"/>
        <v>19500000</v>
      </c>
      <c r="I23" s="32"/>
      <c r="J23" s="4"/>
    </row>
    <row r="24" spans="2:24" x14ac:dyDescent="0.2">
      <c r="B24" s="29" t="s">
        <v>18</v>
      </c>
      <c r="C24" s="29">
        <v>24</v>
      </c>
      <c r="D24" s="29" t="s">
        <v>13</v>
      </c>
      <c r="E24" s="30">
        <v>325000</v>
      </c>
      <c r="F24" s="29"/>
      <c r="G24" s="29"/>
      <c r="H24" s="31">
        <f t="shared" si="4"/>
        <v>7800000</v>
      </c>
    </row>
    <row r="25" spans="2:24" x14ac:dyDescent="0.2">
      <c r="B25" s="29" t="s">
        <v>204</v>
      </c>
      <c r="C25" s="29">
        <v>12</v>
      </c>
      <c r="D25" s="29" t="s">
        <v>13</v>
      </c>
      <c r="E25" s="30">
        <v>2000000</v>
      </c>
      <c r="F25" s="29"/>
      <c r="G25" s="29"/>
      <c r="H25" s="31">
        <f t="shared" si="4"/>
        <v>24000000</v>
      </c>
    </row>
    <row r="26" spans="2:24" x14ac:dyDescent="0.2">
      <c r="B26" s="29" t="s">
        <v>237</v>
      </c>
      <c r="C26" s="29">
        <v>12</v>
      </c>
      <c r="D26" s="29" t="s">
        <v>13</v>
      </c>
      <c r="E26" s="34">
        <v>4000000</v>
      </c>
      <c r="F26" s="29"/>
      <c r="G26" s="29"/>
      <c r="H26" s="31">
        <f t="shared" si="4"/>
        <v>48000000</v>
      </c>
    </row>
    <row r="27" spans="2:24" x14ac:dyDescent="0.2">
      <c r="B27" s="29" t="s">
        <v>32</v>
      </c>
      <c r="C27" s="29">
        <v>12</v>
      </c>
      <c r="D27" s="29" t="s">
        <v>218</v>
      </c>
      <c r="E27" s="30">
        <v>5000000</v>
      </c>
      <c r="F27" s="29"/>
      <c r="G27" s="29"/>
      <c r="H27" s="31">
        <f t="shared" si="4"/>
        <v>60000000</v>
      </c>
      <c r="I27" s="35"/>
      <c r="J27" s="4"/>
    </row>
    <row r="28" spans="2:24" x14ac:dyDescent="0.2">
      <c r="B28" s="29" t="s">
        <v>34</v>
      </c>
      <c r="C28" s="29">
        <v>60</v>
      </c>
      <c r="D28" s="29" t="s">
        <v>218</v>
      </c>
      <c r="E28" s="34">
        <v>1500000</v>
      </c>
      <c r="F28" s="29"/>
      <c r="G28" s="29"/>
      <c r="H28" s="31">
        <f t="shared" si="4"/>
        <v>90000000</v>
      </c>
    </row>
    <row r="29" spans="2:24" x14ac:dyDescent="0.2">
      <c r="B29" s="29" t="s">
        <v>35</v>
      </c>
      <c r="C29" s="29">
        <v>4</v>
      </c>
      <c r="D29" s="29" t="s">
        <v>36</v>
      </c>
      <c r="E29" s="34">
        <v>7233751</v>
      </c>
      <c r="F29" s="152">
        <v>1</v>
      </c>
      <c r="G29" s="29">
        <v>12</v>
      </c>
      <c r="H29" s="31">
        <f>+C29*E29*F29*G29</f>
        <v>347220048</v>
      </c>
    </row>
    <row r="30" spans="2:24" x14ac:dyDescent="0.2">
      <c r="B30" s="29" t="s">
        <v>78</v>
      </c>
      <c r="C30" s="201">
        <v>2</v>
      </c>
      <c r="D30" s="29" t="s">
        <v>38</v>
      </c>
      <c r="E30" s="196">
        <v>1213122</v>
      </c>
      <c r="F30" s="29"/>
      <c r="G30" s="29"/>
      <c r="H30" s="31">
        <f>C30*E30</f>
        <v>2426244</v>
      </c>
      <c r="I30" s="37"/>
    </row>
    <row r="31" spans="2:24" x14ac:dyDescent="0.2">
      <c r="B31" s="29" t="s">
        <v>79</v>
      </c>
      <c r="C31" s="201">
        <v>2</v>
      </c>
      <c r="D31" s="29" t="s">
        <v>40</v>
      </c>
      <c r="E31" s="196">
        <v>1438122</v>
      </c>
      <c r="F31" s="29"/>
      <c r="G31" s="29"/>
      <c r="H31" s="31">
        <f>C31*E31</f>
        <v>2876244</v>
      </c>
      <c r="I31" s="37"/>
    </row>
    <row r="32" spans="2:24" x14ac:dyDescent="0.2">
      <c r="B32" s="29" t="s">
        <v>41</v>
      </c>
      <c r="C32" s="29">
        <v>12</v>
      </c>
      <c r="D32" s="29" t="s">
        <v>36</v>
      </c>
      <c r="E32" s="34">
        <v>6604729</v>
      </c>
      <c r="F32" s="36">
        <v>1</v>
      </c>
      <c r="G32" s="29">
        <v>12</v>
      </c>
      <c r="H32" s="31">
        <f>+C32*E32*F32*G32</f>
        <v>951080976</v>
      </c>
    </row>
    <row r="33" spans="1:10" x14ac:dyDescent="0.2">
      <c r="B33" s="29" t="s">
        <v>43</v>
      </c>
      <c r="C33" s="29">
        <f>+C32</f>
        <v>12</v>
      </c>
      <c r="D33" s="29" t="s">
        <v>195</v>
      </c>
      <c r="E33" s="34">
        <v>1160000</v>
      </c>
      <c r="F33" s="36"/>
      <c r="G33" s="29">
        <v>12</v>
      </c>
      <c r="H33" s="31">
        <f>+C33*E33*G33</f>
        <v>167040000</v>
      </c>
    </row>
    <row r="34" spans="1:10" x14ac:dyDescent="0.2">
      <c r="B34" s="29" t="s">
        <v>44</v>
      </c>
      <c r="C34" s="29">
        <f>+C32</f>
        <v>12</v>
      </c>
      <c r="D34" s="29" t="s">
        <v>195</v>
      </c>
      <c r="E34" s="30">
        <v>120000</v>
      </c>
      <c r="F34" s="29"/>
      <c r="G34" s="29">
        <v>12</v>
      </c>
      <c r="H34" s="31">
        <f>+C34*E34*G34</f>
        <v>17280000</v>
      </c>
      <c r="I34" s="35"/>
      <c r="J34" s="4"/>
    </row>
    <row r="35" spans="1:10" x14ac:dyDescent="0.2">
      <c r="B35" s="29" t="s">
        <v>238</v>
      </c>
      <c r="C35" s="69"/>
      <c r="D35" s="29"/>
      <c r="E35" s="30"/>
      <c r="F35" s="29"/>
      <c r="G35" s="29"/>
      <c r="H35" s="31" t="s">
        <v>46</v>
      </c>
      <c r="I35" s="32"/>
      <c r="J35" s="4"/>
    </row>
    <row r="36" spans="1:10" ht="15" x14ac:dyDescent="0.25">
      <c r="B36" s="29" t="s">
        <v>239</v>
      </c>
      <c r="C36" s="29"/>
      <c r="D36" s="29"/>
      <c r="E36" s="30"/>
      <c r="F36" s="36"/>
      <c r="G36" s="29"/>
      <c r="H36" s="31" t="s">
        <v>46</v>
      </c>
      <c r="I36" s="43" t="s">
        <v>501</v>
      </c>
    </row>
    <row r="37" spans="1:10" ht="15" x14ac:dyDescent="0.25">
      <c r="B37" s="39" t="s">
        <v>1</v>
      </c>
      <c r="C37" s="41"/>
      <c r="D37" s="41"/>
      <c r="E37" s="41"/>
      <c r="F37" s="42"/>
      <c r="G37" s="42"/>
      <c r="H37" s="43">
        <f>SUM(H21:H36)</f>
        <v>1746823512</v>
      </c>
      <c r="I37" s="43">
        <f>H37/12</f>
        <v>145568626</v>
      </c>
    </row>
    <row r="38" spans="1:10" s="4" customFormat="1" ht="143.1" customHeight="1" x14ac:dyDescent="0.2">
      <c r="B38" s="142" t="s">
        <v>1110</v>
      </c>
      <c r="C38" s="45"/>
      <c r="D38" s="45"/>
      <c r="E38" s="45"/>
      <c r="F38" s="45"/>
      <c r="G38" s="45"/>
      <c r="H38" s="45"/>
      <c r="I38" s="2"/>
      <c r="J38" s="2"/>
    </row>
    <row r="39" spans="1:10" s="4" customFormat="1" ht="11.45" customHeight="1" x14ac:dyDescent="0.2">
      <c r="B39" s="142"/>
      <c r="C39" s="316"/>
      <c r="D39" s="316"/>
      <c r="E39" s="316"/>
      <c r="F39" s="316"/>
      <c r="G39" s="316"/>
      <c r="H39" s="316"/>
      <c r="I39" s="2"/>
      <c r="J39" s="2"/>
    </row>
    <row r="40" spans="1:10" ht="15" x14ac:dyDescent="0.25">
      <c r="B40" s="45"/>
      <c r="C40" s="45"/>
      <c r="D40" s="45"/>
      <c r="E40" s="45"/>
      <c r="F40" s="45"/>
      <c r="G40" s="45"/>
      <c r="H40" s="45"/>
      <c r="I40" s="46"/>
    </row>
    <row r="41" spans="1:10" s="4" customFormat="1" ht="21" customHeight="1" x14ac:dyDescent="0.2">
      <c r="A41" s="47"/>
      <c r="B41" s="696" t="str">
        <f>B9</f>
        <v>4.2. Promoción del acceso y la seguridad jurídica en la tenencia de la tierra</v>
      </c>
      <c r="C41" s="697"/>
      <c r="D41" s="697"/>
      <c r="E41" s="697"/>
      <c r="F41" s="697"/>
      <c r="G41" s="697"/>
      <c r="H41" s="697"/>
    </row>
    <row r="42" spans="1:10" ht="15" x14ac:dyDescent="0.25">
      <c r="B42" s="683" t="str">
        <f>Portafolio_PA_Papa!E69</f>
        <v>4.2.1. Generar espacios de articulación entre los gremios de la cadena de la papa, Minagricultura, la ANT, y Entidades Territoriales, para socializar, divulgar e implementar lineamientos y programas de regularización de la propiedad en los predios para el cultivo de papa.</v>
      </c>
      <c r="C42" s="692"/>
      <c r="D42" s="692"/>
      <c r="E42" s="692"/>
      <c r="F42" s="692"/>
      <c r="G42" s="692"/>
      <c r="H42" s="692"/>
    </row>
    <row r="43" spans="1:10" ht="15" x14ac:dyDescent="0.25">
      <c r="B43" s="683" t="str">
        <f>Portafolio_PA_Papa!E70</f>
        <v xml:space="preserve">4.2.2. Realizar acompañamiento a los productores de papa en los procesos de regularización de la propiedad, para favorecer su acceso a los programas y beneficios que contribuyan a mejorar el desarrollo de la actividad productiva. </v>
      </c>
      <c r="C43" s="692"/>
      <c r="D43" s="692"/>
      <c r="E43" s="692"/>
      <c r="F43" s="692"/>
      <c r="G43" s="692"/>
      <c r="H43" s="692"/>
    </row>
    <row r="44" spans="1:10" ht="38.1" customHeight="1" x14ac:dyDescent="0.25">
      <c r="B44" s="683" t="str">
        <f>Portafolio_PA_Papa!E71</f>
        <v xml:space="preserve">4.2.3. Diseñar e implementar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(Resolución 383 de 2019 de Minagricultura). </v>
      </c>
      <c r="C44" s="692"/>
      <c r="D44" s="692"/>
      <c r="E44" s="692"/>
      <c r="F44" s="692"/>
      <c r="G44" s="692"/>
      <c r="H44" s="692"/>
    </row>
    <row r="45" spans="1:10" ht="33" customHeight="1" x14ac:dyDescent="0.25">
      <c r="B45" s="683" t="str">
        <f>Portafolio_PA_Papa!E72</f>
        <v>4.2.4. Brindar acompañamiento y orientación a los productores de papa en diferentes modalidades de acceso a tierras, como contratos de arrendamiento, riesgo compartido, sociedades de siembre, entre otras, teniendo en cuenta las minutas de contratos de arrendamiento, recomendadas por la UPRA, y otros instrumentos que se consideren pertinentes.</v>
      </c>
      <c r="C45" s="692"/>
      <c r="D45" s="692"/>
      <c r="E45" s="692"/>
      <c r="F45" s="692"/>
      <c r="G45" s="692"/>
      <c r="H45" s="692"/>
    </row>
    <row r="46" spans="1:10" ht="27" customHeight="1" x14ac:dyDescent="0.25">
      <c r="B46" s="683"/>
      <c r="C46" s="692"/>
      <c r="D46" s="692"/>
      <c r="E46" s="692"/>
      <c r="F46" s="692"/>
      <c r="G46" s="692"/>
      <c r="H46" s="692"/>
    </row>
    <row r="47" spans="1:10" ht="32.1" customHeight="1" x14ac:dyDescent="0.25">
      <c r="B47" s="693" t="s">
        <v>1128</v>
      </c>
      <c r="C47" s="694"/>
      <c r="D47" s="694"/>
      <c r="E47" s="694"/>
      <c r="F47" s="694"/>
      <c r="G47" s="694"/>
      <c r="H47" s="694"/>
    </row>
    <row r="48" spans="1:10" ht="15" x14ac:dyDescent="0.25">
      <c r="B48" s="26" t="s">
        <v>5</v>
      </c>
      <c r="C48" s="26" t="s">
        <v>6</v>
      </c>
      <c r="D48" s="26" t="s">
        <v>7</v>
      </c>
      <c r="E48" s="26" t="s">
        <v>8</v>
      </c>
      <c r="F48" s="26" t="s">
        <v>48</v>
      </c>
      <c r="G48" s="26" t="s">
        <v>10</v>
      </c>
      <c r="H48" s="26" t="s">
        <v>11</v>
      </c>
    </row>
    <row r="49" spans="1:10" s="4" customFormat="1" x14ac:dyDescent="0.2">
      <c r="A49" s="48"/>
      <c r="B49" s="29" t="s">
        <v>192</v>
      </c>
      <c r="C49" s="29">
        <v>4</v>
      </c>
      <c r="D49" s="29" t="s">
        <v>13</v>
      </c>
      <c r="E49" s="31">
        <v>500000</v>
      </c>
      <c r="F49" s="29"/>
      <c r="G49" s="29"/>
      <c r="H49" s="31">
        <f>+C49*E49</f>
        <v>2000000</v>
      </c>
      <c r="I49" s="37"/>
    </row>
    <row r="50" spans="1:10" s="4" customFormat="1" x14ac:dyDescent="0.2">
      <c r="B50" s="29" t="s">
        <v>14</v>
      </c>
      <c r="C50" s="29">
        <v>24</v>
      </c>
      <c r="D50" s="29" t="s">
        <v>13</v>
      </c>
      <c r="E50" s="31">
        <v>100000</v>
      </c>
      <c r="F50" s="29"/>
      <c r="G50" s="29"/>
      <c r="H50" s="31">
        <f t="shared" ref="H50:H59" si="5">+C50*E50</f>
        <v>2400000</v>
      </c>
      <c r="I50" s="37"/>
    </row>
    <row r="51" spans="1:10" s="4" customFormat="1" x14ac:dyDescent="0.2">
      <c r="B51" s="29" t="s">
        <v>236</v>
      </c>
      <c r="C51" s="29">
        <v>12</v>
      </c>
      <c r="D51" s="29" t="s">
        <v>13</v>
      </c>
      <c r="E51" s="31">
        <v>1625000</v>
      </c>
      <c r="F51" s="29"/>
      <c r="G51" s="29"/>
      <c r="H51" s="31">
        <f t="shared" si="5"/>
        <v>19500000</v>
      </c>
      <c r="I51" s="37"/>
    </row>
    <row r="52" spans="1:10" x14ac:dyDescent="0.2">
      <c r="B52" s="29" t="s">
        <v>18</v>
      </c>
      <c r="C52" s="29">
        <v>24</v>
      </c>
      <c r="D52" s="29" t="s">
        <v>13</v>
      </c>
      <c r="E52" s="31">
        <v>325000</v>
      </c>
      <c r="F52" s="29"/>
      <c r="G52" s="29"/>
      <c r="H52" s="31">
        <f t="shared" si="5"/>
        <v>7800000</v>
      </c>
      <c r="I52" s="32"/>
      <c r="J52" s="4"/>
    </row>
    <row r="53" spans="1:10" x14ac:dyDescent="0.2">
      <c r="B53" s="29" t="s">
        <v>489</v>
      </c>
      <c r="C53" s="29">
        <v>4</v>
      </c>
      <c r="D53" s="29" t="s">
        <v>242</v>
      </c>
      <c r="E53" s="31">
        <v>7862772</v>
      </c>
      <c r="F53" s="29"/>
      <c r="G53" s="29">
        <v>3</v>
      </c>
      <c r="H53" s="31">
        <f>+C53*E53*G53</f>
        <v>94353264</v>
      </c>
      <c r="I53" s="32"/>
      <c r="J53" s="4"/>
    </row>
    <row r="54" spans="1:10" x14ac:dyDescent="0.2">
      <c r="B54" s="29" t="s">
        <v>240</v>
      </c>
      <c r="C54" s="29">
        <v>1</v>
      </c>
      <c r="D54" s="29" t="s">
        <v>13</v>
      </c>
      <c r="E54" s="31">
        <v>116200000</v>
      </c>
      <c r="F54" s="29"/>
      <c r="G54" s="29"/>
      <c r="H54" s="31">
        <f t="shared" si="5"/>
        <v>116200000</v>
      </c>
      <c r="I54" s="32"/>
      <c r="J54" s="4"/>
    </row>
    <row r="55" spans="1:10" x14ac:dyDescent="0.2">
      <c r="B55" s="29" t="s">
        <v>241</v>
      </c>
      <c r="C55" s="29">
        <v>12</v>
      </c>
      <c r="D55" s="29" t="s">
        <v>13</v>
      </c>
      <c r="E55" s="31">
        <v>12284000</v>
      </c>
      <c r="F55" s="29"/>
      <c r="G55" s="29"/>
      <c r="H55" s="31">
        <f t="shared" si="5"/>
        <v>147408000</v>
      </c>
      <c r="I55" s="32"/>
      <c r="J55" s="4"/>
    </row>
    <row r="56" spans="1:10" x14ac:dyDescent="0.2">
      <c r="B56" s="29" t="s">
        <v>152</v>
      </c>
      <c r="C56" s="29">
        <v>12</v>
      </c>
      <c r="D56" s="29" t="s">
        <v>13</v>
      </c>
      <c r="E56" s="31">
        <v>2000000</v>
      </c>
      <c r="F56" s="29"/>
      <c r="G56" s="29"/>
      <c r="H56" s="31">
        <f t="shared" si="5"/>
        <v>24000000</v>
      </c>
      <c r="I56" s="32"/>
      <c r="J56" s="4"/>
    </row>
    <row r="57" spans="1:10" s="4" customFormat="1" x14ac:dyDescent="0.2">
      <c r="A57" s="48"/>
      <c r="B57" s="29" t="s">
        <v>220</v>
      </c>
      <c r="C57" s="33">
        <v>1</v>
      </c>
      <c r="D57" s="29" t="s">
        <v>242</v>
      </c>
      <c r="E57" s="31">
        <v>6604729</v>
      </c>
      <c r="F57" s="29"/>
      <c r="G57" s="29">
        <v>4</v>
      </c>
      <c r="H57" s="31">
        <f>+C57*E57*G57</f>
        <v>26418916</v>
      </c>
      <c r="I57" s="35"/>
    </row>
    <row r="58" spans="1:10" s="4" customFormat="1" x14ac:dyDescent="0.2">
      <c r="A58" s="48"/>
      <c r="B58" s="29" t="s">
        <v>136</v>
      </c>
      <c r="C58" s="33">
        <v>12</v>
      </c>
      <c r="D58" s="29" t="s">
        <v>243</v>
      </c>
      <c r="E58" s="31">
        <v>5000000</v>
      </c>
      <c r="F58" s="29"/>
      <c r="G58" s="29"/>
      <c r="H58" s="31">
        <f t="shared" si="5"/>
        <v>60000000</v>
      </c>
      <c r="I58" s="49"/>
    </row>
    <row r="59" spans="1:10" s="4" customFormat="1" x14ac:dyDescent="0.2">
      <c r="B59" s="29" t="s">
        <v>34</v>
      </c>
      <c r="C59" s="33">
        <v>60</v>
      </c>
      <c r="D59" s="29" t="s">
        <v>243</v>
      </c>
      <c r="E59" s="31">
        <v>1500000</v>
      </c>
      <c r="F59" s="29"/>
      <c r="G59" s="29"/>
      <c r="H59" s="31">
        <f t="shared" si="5"/>
        <v>90000000</v>
      </c>
      <c r="I59" s="35"/>
    </row>
    <row r="60" spans="1:10" x14ac:dyDescent="0.2">
      <c r="B60" s="29" t="s">
        <v>86</v>
      </c>
      <c r="C60" s="33">
        <v>4</v>
      </c>
      <c r="D60" s="29" t="s">
        <v>242</v>
      </c>
      <c r="E60" s="211">
        <v>7233751</v>
      </c>
      <c r="F60" s="36">
        <v>1</v>
      </c>
      <c r="G60" s="29">
        <v>12</v>
      </c>
      <c r="H60" s="31">
        <f>+C60*E60*F60*G60</f>
        <v>347220048</v>
      </c>
      <c r="I60" s="37"/>
    </row>
    <row r="61" spans="1:10" x14ac:dyDescent="0.2">
      <c r="B61" s="29" t="s">
        <v>78</v>
      </c>
      <c r="C61" s="201">
        <v>2</v>
      </c>
      <c r="D61" s="29" t="s">
        <v>38</v>
      </c>
      <c r="E61" s="196">
        <v>1213122</v>
      </c>
      <c r="F61" s="29"/>
      <c r="G61" s="29"/>
      <c r="H61" s="31">
        <f>C61*E61</f>
        <v>2426244</v>
      </c>
      <c r="I61" s="37"/>
    </row>
    <row r="62" spans="1:10" x14ac:dyDescent="0.2">
      <c r="B62" s="29" t="s">
        <v>79</v>
      </c>
      <c r="C62" s="201">
        <v>2</v>
      </c>
      <c r="D62" s="29" t="s">
        <v>40</v>
      </c>
      <c r="E62" s="196">
        <v>1438122</v>
      </c>
      <c r="F62" s="29"/>
      <c r="G62" s="29"/>
      <c r="H62" s="31">
        <f>C62*E62</f>
        <v>2876244</v>
      </c>
      <c r="I62" s="37"/>
    </row>
    <row r="63" spans="1:10" x14ac:dyDescent="0.2">
      <c r="B63" s="29" t="s">
        <v>41</v>
      </c>
      <c r="C63" s="29">
        <v>12</v>
      </c>
      <c r="D63" s="29" t="s">
        <v>242</v>
      </c>
      <c r="E63" s="211">
        <v>6604729</v>
      </c>
      <c r="F63" s="51">
        <v>1</v>
      </c>
      <c r="G63" s="29">
        <v>12</v>
      </c>
      <c r="H63" s="31">
        <f>+C63*E63*F63*G63</f>
        <v>951080976</v>
      </c>
      <c r="I63" s="37"/>
    </row>
    <row r="64" spans="1:10" x14ac:dyDescent="0.2">
      <c r="B64" s="29" t="s">
        <v>43</v>
      </c>
      <c r="C64" s="29">
        <f>+C63</f>
        <v>12</v>
      </c>
      <c r="D64" s="29" t="s">
        <v>195</v>
      </c>
      <c r="E64" s="211">
        <v>1160000</v>
      </c>
      <c r="F64" s="51"/>
      <c r="G64" s="29">
        <v>12</v>
      </c>
      <c r="H64" s="31">
        <f t="shared" ref="H64:H65" si="6">+C64*E64*G64</f>
        <v>167040000</v>
      </c>
      <c r="I64" s="37"/>
    </row>
    <row r="65" spans="2:9" x14ac:dyDescent="0.2">
      <c r="B65" s="29" t="s">
        <v>44</v>
      </c>
      <c r="C65" s="29">
        <f>+C63</f>
        <v>12</v>
      </c>
      <c r="D65" s="29" t="s">
        <v>195</v>
      </c>
      <c r="E65" s="211">
        <v>120000</v>
      </c>
      <c r="F65" s="51"/>
      <c r="G65" s="29">
        <v>12</v>
      </c>
      <c r="H65" s="31">
        <f t="shared" si="6"/>
        <v>17280000</v>
      </c>
      <c r="I65" s="37"/>
    </row>
    <row r="66" spans="2:9" ht="15" x14ac:dyDescent="0.25">
      <c r="B66" s="29" t="s">
        <v>225</v>
      </c>
      <c r="C66" s="29"/>
      <c r="D66" s="29"/>
      <c r="E66" s="34"/>
      <c r="F66" s="53"/>
      <c r="G66" s="29"/>
      <c r="H66" s="31" t="s">
        <v>46</v>
      </c>
      <c r="I66" s="57" t="s">
        <v>501</v>
      </c>
    </row>
    <row r="67" spans="2:9" ht="15" x14ac:dyDescent="0.25">
      <c r="B67" s="39" t="s">
        <v>1</v>
      </c>
      <c r="C67" s="41"/>
      <c r="D67" s="41"/>
      <c r="E67" s="42"/>
      <c r="F67" s="42"/>
      <c r="G67" s="41"/>
      <c r="H67" s="57">
        <f>SUM(H49:H66)</f>
        <v>2078003692</v>
      </c>
      <c r="I67" s="57">
        <f>H67/12</f>
        <v>173166974.33333334</v>
      </c>
    </row>
    <row r="68" spans="2:9" ht="171.75" customHeight="1" x14ac:dyDescent="0.2">
      <c r="B68" s="142" t="s">
        <v>1111</v>
      </c>
      <c r="C68" s="4"/>
      <c r="D68" s="4"/>
      <c r="E68" s="4"/>
      <c r="F68" s="25"/>
      <c r="G68" s="25"/>
    </row>
    <row r="69" spans="2:9" x14ac:dyDescent="0.2">
      <c r="B69" s="4"/>
      <c r="C69" s="4"/>
      <c r="D69" s="4"/>
      <c r="E69" s="4"/>
      <c r="F69" s="4"/>
      <c r="G69" s="4"/>
    </row>
    <row r="75" spans="2:9" x14ac:dyDescent="0.2">
      <c r="D75" s="153"/>
      <c r="E75" s="114"/>
    </row>
    <row r="76" spans="2:9" x14ac:dyDescent="0.2">
      <c r="E76" s="114"/>
    </row>
  </sheetData>
  <sheetProtection algorithmName="SHA-512" hashValue="5o7n9GQn1nOi2FFSoDLPJ28vgnYl2k4aGLG+3D0oPYs04oYKJPEZiDR7fis7WFIgUtKhMFu9d+fknX1dBKUepA==" saltValue="Zt0KHHHDV7mHgPElDYsj8A==" spinCount="100000" sheet="1" objects="1" scenarios="1"/>
  <mergeCells count="13">
    <mergeCell ref="B42:H42"/>
    <mergeCell ref="B43:H43"/>
    <mergeCell ref="B44:H44"/>
    <mergeCell ref="B45:H45"/>
    <mergeCell ref="B47:H47"/>
    <mergeCell ref="B46:H46"/>
    <mergeCell ref="B13:H13"/>
    <mergeCell ref="B41:H41"/>
    <mergeCell ref="B14:H14"/>
    <mergeCell ref="B15:H15"/>
    <mergeCell ref="B16:H16"/>
    <mergeCell ref="B17:H17"/>
    <mergeCell ref="B19:H1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6"/>
  <sheetViews>
    <sheetView showGridLines="0" zoomScale="60" zoomScaleNormal="60" workbookViewId="0">
      <selection activeCell="B2" sqref="B2"/>
    </sheetView>
  </sheetViews>
  <sheetFormatPr baseColWidth="10" defaultColWidth="10.7109375" defaultRowHeight="14.25" x14ac:dyDescent="0.2"/>
  <cols>
    <col min="1" max="1" width="13.42578125" style="2" customWidth="1"/>
    <col min="2" max="2" width="83.42578125" style="2" bestFit="1" customWidth="1"/>
    <col min="3" max="3" width="26.42578125" style="2" customWidth="1"/>
    <col min="4" max="4" width="27.140625" style="2" customWidth="1"/>
    <col min="5" max="5" width="22.42578125" style="2" customWidth="1"/>
    <col min="6" max="7" width="19.7109375" style="2" bestFit="1" customWidth="1"/>
    <col min="8" max="8" width="21.42578125" style="2" customWidth="1"/>
    <col min="9" max="11" width="19.7109375" style="2" bestFit="1" customWidth="1"/>
    <col min="12" max="12" width="19.140625" style="2" bestFit="1" customWidth="1"/>
    <col min="13" max="22" width="19.7109375" style="2" bestFit="1" customWidth="1"/>
    <col min="23" max="23" width="20.42578125" style="2" bestFit="1" customWidth="1"/>
    <col min="24" max="24" width="25.42578125" style="2" customWidth="1"/>
    <col min="25" max="25" width="22.28515625" style="2" bestFit="1" customWidth="1"/>
    <col min="26" max="26" width="19.140625" style="2" bestFit="1" customWidth="1"/>
    <col min="27" max="27" width="17" style="2" bestFit="1" customWidth="1"/>
    <col min="28" max="28" width="17.85546875" style="2" customWidth="1"/>
    <col min="29" max="16384" width="10.7109375" style="2"/>
  </cols>
  <sheetData>
    <row r="2" spans="1:26" ht="15" x14ac:dyDescent="0.25">
      <c r="A2" s="1" t="s">
        <v>0</v>
      </c>
    </row>
    <row r="3" spans="1:26" s="4" customFormat="1" ht="15" x14ac:dyDescent="0.25">
      <c r="A3" s="3"/>
    </row>
    <row r="4" spans="1:26" ht="21.6" customHeight="1" x14ac:dyDescent="0.25">
      <c r="A4" s="5"/>
      <c r="B4" s="6" t="str">
        <f>Portafolio_PA_Papa!C77</f>
        <v>5. Contribución al mejoramiento del entorno social de la cadena</v>
      </c>
      <c r="C4" s="7"/>
      <c r="D4" s="8"/>
    </row>
    <row r="5" spans="1:26" ht="26.1" customHeight="1" x14ac:dyDescent="0.2"/>
    <row r="6" spans="1:26" ht="15" x14ac:dyDescent="0.25">
      <c r="E6" s="9">
        <v>1</v>
      </c>
      <c r="F6" s="9">
        <v>2</v>
      </c>
      <c r="G6" s="9">
        <v>3</v>
      </c>
      <c r="H6" s="9">
        <v>4</v>
      </c>
      <c r="I6" s="9">
        <v>5</v>
      </c>
      <c r="J6" s="9">
        <v>6</v>
      </c>
      <c r="K6" s="9">
        <v>7</v>
      </c>
      <c r="L6" s="9">
        <v>8</v>
      </c>
      <c r="M6" s="9">
        <v>9</v>
      </c>
      <c r="N6" s="9">
        <v>10</v>
      </c>
      <c r="O6" s="9">
        <v>11</v>
      </c>
      <c r="P6" s="9">
        <v>12</v>
      </c>
      <c r="Q6" s="9">
        <v>13</v>
      </c>
      <c r="R6" s="9">
        <v>14</v>
      </c>
      <c r="S6" s="9">
        <v>15</v>
      </c>
      <c r="T6" s="9">
        <v>16</v>
      </c>
      <c r="U6" s="9">
        <v>17</v>
      </c>
      <c r="V6" s="9">
        <v>18</v>
      </c>
      <c r="W6" s="9">
        <v>19</v>
      </c>
      <c r="X6" s="9">
        <v>20</v>
      </c>
      <c r="Y6" s="9" t="s">
        <v>1</v>
      </c>
    </row>
    <row r="7" spans="1:26" s="13" customFormat="1" ht="15" x14ac:dyDescent="0.25">
      <c r="A7" s="2"/>
      <c r="B7" s="10" t="s">
        <v>2</v>
      </c>
      <c r="C7" s="11" t="s">
        <v>3</v>
      </c>
      <c r="D7" s="11" t="s">
        <v>4</v>
      </c>
      <c r="E7" s="12">
        <f>SUM(E8:E11)</f>
        <v>2505703750.666667</v>
      </c>
      <c r="F7" s="12">
        <f t="shared" ref="F7:X7" si="0">SUM(F8:F11)</f>
        <v>8045111252</v>
      </c>
      <c r="G7" s="12">
        <f t="shared" si="0"/>
        <v>8045111252</v>
      </c>
      <c r="H7" s="12">
        <f t="shared" si="0"/>
        <v>8045111252</v>
      </c>
      <c r="I7" s="12">
        <f t="shared" si="0"/>
        <v>8045111252</v>
      </c>
      <c r="J7" s="12">
        <f t="shared" si="0"/>
        <v>8045111252</v>
      </c>
      <c r="K7" s="12">
        <f t="shared" si="0"/>
        <v>7361111252</v>
      </c>
      <c r="L7" s="12">
        <f t="shared" si="0"/>
        <v>7361111252</v>
      </c>
      <c r="M7" s="12">
        <f t="shared" si="0"/>
        <v>7361111252</v>
      </c>
      <c r="N7" s="12">
        <f t="shared" si="0"/>
        <v>7361111252</v>
      </c>
      <c r="O7" s="12">
        <f t="shared" si="0"/>
        <v>7361111252</v>
      </c>
      <c r="P7" s="12">
        <f t="shared" si="0"/>
        <v>7517111252</v>
      </c>
      <c r="Q7" s="12">
        <f t="shared" si="0"/>
        <v>7517111252</v>
      </c>
      <c r="R7" s="12">
        <f t="shared" si="0"/>
        <v>7517111252</v>
      </c>
      <c r="S7" s="12">
        <f t="shared" si="0"/>
        <v>7517111252</v>
      </c>
      <c r="T7" s="12">
        <f t="shared" si="0"/>
        <v>7517111252</v>
      </c>
      <c r="U7" s="12">
        <f t="shared" si="0"/>
        <v>7517111252</v>
      </c>
      <c r="V7" s="12">
        <f t="shared" si="0"/>
        <v>7517111252</v>
      </c>
      <c r="W7" s="12">
        <f t="shared" si="0"/>
        <v>7517111252</v>
      </c>
      <c r="X7" s="12">
        <f t="shared" si="0"/>
        <v>7517111252</v>
      </c>
      <c r="Y7" s="12">
        <f>SUM(Y8:Y10)</f>
        <v>98295253786.666672</v>
      </c>
    </row>
    <row r="8" spans="1:26" s="18" customFormat="1" ht="60" customHeight="1" x14ac:dyDescent="0.2">
      <c r="A8" s="14"/>
      <c r="B8" s="65" t="str">
        <f>Portafolio_PA_Papa!D73</f>
        <v>5.1. Contribución al incremento del nivel educativo de los actores vinculados a la cadena de la papa</v>
      </c>
      <c r="C8" s="16" t="s">
        <v>494</v>
      </c>
      <c r="D8" s="16" t="s">
        <v>493</v>
      </c>
      <c r="E8" s="17">
        <f>I44*4</f>
        <v>493138546.66666669</v>
      </c>
      <c r="F8" s="17">
        <f>H44</f>
        <v>1479415640</v>
      </c>
      <c r="G8" s="17">
        <f t="shared" ref="G8:X8" si="1">F8</f>
        <v>1479415640</v>
      </c>
      <c r="H8" s="17">
        <f t="shared" si="1"/>
        <v>1479415640</v>
      </c>
      <c r="I8" s="17">
        <f t="shared" si="1"/>
        <v>1479415640</v>
      </c>
      <c r="J8" s="17">
        <f t="shared" si="1"/>
        <v>1479415640</v>
      </c>
      <c r="K8" s="17">
        <f t="shared" si="1"/>
        <v>1479415640</v>
      </c>
      <c r="L8" s="17">
        <f t="shared" si="1"/>
        <v>1479415640</v>
      </c>
      <c r="M8" s="17">
        <f t="shared" si="1"/>
        <v>1479415640</v>
      </c>
      <c r="N8" s="17">
        <f t="shared" si="1"/>
        <v>1479415640</v>
      </c>
      <c r="O8" s="17">
        <f t="shared" si="1"/>
        <v>1479415640</v>
      </c>
      <c r="P8" s="17">
        <f>O8</f>
        <v>1479415640</v>
      </c>
      <c r="Q8" s="17">
        <f t="shared" si="1"/>
        <v>1479415640</v>
      </c>
      <c r="R8" s="17">
        <f t="shared" si="1"/>
        <v>1479415640</v>
      </c>
      <c r="S8" s="17">
        <f t="shared" si="1"/>
        <v>1479415640</v>
      </c>
      <c r="T8" s="17">
        <f t="shared" si="1"/>
        <v>1479415640</v>
      </c>
      <c r="U8" s="17">
        <f t="shared" si="1"/>
        <v>1479415640</v>
      </c>
      <c r="V8" s="17">
        <f t="shared" si="1"/>
        <v>1479415640</v>
      </c>
      <c r="W8" s="17">
        <f t="shared" si="1"/>
        <v>1479415640</v>
      </c>
      <c r="X8" s="17">
        <f t="shared" si="1"/>
        <v>1479415640</v>
      </c>
      <c r="Y8" s="17">
        <f>SUM(E8:X8)</f>
        <v>28602035706.666668</v>
      </c>
    </row>
    <row r="9" spans="1:26" s="18" customFormat="1" ht="42.95" customHeight="1" x14ac:dyDescent="0.2">
      <c r="A9" s="14"/>
      <c r="B9" s="65" t="str">
        <f>Portafolio_PA_Papa!D77</f>
        <v>5.2. Promoción de la atención de las necesidades básicas y complementarias de los actores vinculados a la cadena.</v>
      </c>
      <c r="C9" s="16" t="s">
        <v>494</v>
      </c>
      <c r="D9" s="16" t="s">
        <v>493</v>
      </c>
      <c r="E9" s="17">
        <f>I74*4</f>
        <v>541671880</v>
      </c>
      <c r="F9" s="17">
        <f>H75</f>
        <v>1469015640</v>
      </c>
      <c r="G9" s="17">
        <f t="shared" ref="G9:O9" si="2">F9</f>
        <v>1469015640</v>
      </c>
      <c r="H9" s="17">
        <f t="shared" si="2"/>
        <v>1469015640</v>
      </c>
      <c r="I9" s="17">
        <f t="shared" si="2"/>
        <v>1469015640</v>
      </c>
      <c r="J9" s="17">
        <f t="shared" si="2"/>
        <v>1469015640</v>
      </c>
      <c r="K9" s="17">
        <f t="shared" si="2"/>
        <v>1469015640</v>
      </c>
      <c r="L9" s="17">
        <f t="shared" si="2"/>
        <v>1469015640</v>
      </c>
      <c r="M9" s="17">
        <f t="shared" si="2"/>
        <v>1469015640</v>
      </c>
      <c r="N9" s="17">
        <f t="shared" si="2"/>
        <v>1469015640</v>
      </c>
      <c r="O9" s="17">
        <f t="shared" si="2"/>
        <v>1469015640</v>
      </c>
      <c r="P9" s="17">
        <f>H74</f>
        <v>1625015640</v>
      </c>
      <c r="Q9" s="17">
        <f t="shared" ref="Q9:X10" si="3">P9</f>
        <v>1625015640</v>
      </c>
      <c r="R9" s="17">
        <f t="shared" si="3"/>
        <v>1625015640</v>
      </c>
      <c r="S9" s="17">
        <f t="shared" si="3"/>
        <v>1625015640</v>
      </c>
      <c r="T9" s="17">
        <f t="shared" si="3"/>
        <v>1625015640</v>
      </c>
      <c r="U9" s="17">
        <f t="shared" si="3"/>
        <v>1625015640</v>
      </c>
      <c r="V9" s="17">
        <f t="shared" si="3"/>
        <v>1625015640</v>
      </c>
      <c r="W9" s="17">
        <f t="shared" si="3"/>
        <v>1625015640</v>
      </c>
      <c r="X9" s="17">
        <f t="shared" si="3"/>
        <v>1625015640</v>
      </c>
      <c r="Y9" s="17">
        <f>SUM(E9:X9)</f>
        <v>29856969040</v>
      </c>
    </row>
    <row r="10" spans="1:26" s="18" customFormat="1" ht="42.95" customHeight="1" x14ac:dyDescent="0.2">
      <c r="A10" s="14"/>
      <c r="B10" s="65" t="str">
        <f>Portafolio_PA_Papa!D81</f>
        <v>5.3. Promoción de la formalización empresarial y laboral en la cadena de la papa</v>
      </c>
      <c r="C10" s="16" t="s">
        <v>494</v>
      </c>
      <c r="D10" s="16" t="s">
        <v>493</v>
      </c>
      <c r="E10" s="17">
        <f>I106*4</f>
        <v>686831880</v>
      </c>
      <c r="F10" s="17">
        <f>H106</f>
        <v>2060495640</v>
      </c>
      <c r="G10" s="17">
        <f t="shared" ref="G10:J11" si="4">F10</f>
        <v>2060495640</v>
      </c>
      <c r="H10" s="17">
        <f t="shared" si="4"/>
        <v>2060495640</v>
      </c>
      <c r="I10" s="17">
        <f t="shared" si="4"/>
        <v>2060495640</v>
      </c>
      <c r="J10" s="17">
        <f t="shared" si="4"/>
        <v>2060495640</v>
      </c>
      <c r="K10" s="17">
        <f>H106</f>
        <v>2060495640</v>
      </c>
      <c r="L10" s="17">
        <f t="shared" ref="L10:P11" si="5">K10</f>
        <v>2060495640</v>
      </c>
      <c r="M10" s="17">
        <f t="shared" si="5"/>
        <v>2060495640</v>
      </c>
      <c r="N10" s="17">
        <f t="shared" si="5"/>
        <v>2060495640</v>
      </c>
      <c r="O10" s="17">
        <f t="shared" si="5"/>
        <v>2060495640</v>
      </c>
      <c r="P10" s="17">
        <f t="shared" si="5"/>
        <v>2060495640</v>
      </c>
      <c r="Q10" s="17">
        <f t="shared" si="3"/>
        <v>2060495640</v>
      </c>
      <c r="R10" s="17">
        <f t="shared" si="3"/>
        <v>2060495640</v>
      </c>
      <c r="S10" s="17">
        <f t="shared" si="3"/>
        <v>2060495640</v>
      </c>
      <c r="T10" s="17">
        <f t="shared" si="3"/>
        <v>2060495640</v>
      </c>
      <c r="U10" s="17">
        <f t="shared" si="3"/>
        <v>2060495640</v>
      </c>
      <c r="V10" s="17">
        <f t="shared" si="3"/>
        <v>2060495640</v>
      </c>
      <c r="W10" s="17">
        <f t="shared" si="3"/>
        <v>2060495640</v>
      </c>
      <c r="X10" s="17">
        <f t="shared" si="3"/>
        <v>2060495640</v>
      </c>
      <c r="Y10" s="17">
        <f>SUM(E10:X10)</f>
        <v>39836249040</v>
      </c>
    </row>
    <row r="11" spans="1:26" s="18" customFormat="1" ht="42.95" customHeight="1" x14ac:dyDescent="0.2">
      <c r="A11" s="14"/>
      <c r="B11" s="65" t="str">
        <f>Portafolio_PA_Papa!D84</f>
        <v>5.4. Fomento de esquemas de asociatividad en la cadena</v>
      </c>
      <c r="C11" s="16" t="s">
        <v>494</v>
      </c>
      <c r="D11" s="16" t="s">
        <v>493</v>
      </c>
      <c r="E11" s="17">
        <f>I142*4</f>
        <v>784061444</v>
      </c>
      <c r="F11" s="17">
        <f>H143</f>
        <v>3036184332</v>
      </c>
      <c r="G11" s="17">
        <f t="shared" si="4"/>
        <v>3036184332</v>
      </c>
      <c r="H11" s="17">
        <f t="shared" si="4"/>
        <v>3036184332</v>
      </c>
      <c r="I11" s="17">
        <f t="shared" si="4"/>
        <v>3036184332</v>
      </c>
      <c r="J11" s="17">
        <f t="shared" si="4"/>
        <v>3036184332</v>
      </c>
      <c r="K11" s="17">
        <f>H142</f>
        <v>2352184332</v>
      </c>
      <c r="L11" s="17">
        <f t="shared" si="5"/>
        <v>2352184332</v>
      </c>
      <c r="M11" s="17">
        <f t="shared" si="5"/>
        <v>2352184332</v>
      </c>
      <c r="N11" s="17">
        <f t="shared" si="5"/>
        <v>2352184332</v>
      </c>
      <c r="O11" s="17">
        <f t="shared" si="5"/>
        <v>2352184332</v>
      </c>
      <c r="P11" s="17">
        <f t="shared" si="5"/>
        <v>2352184332</v>
      </c>
      <c r="Q11" s="17">
        <f t="shared" ref="Q11:W11" si="6">P11</f>
        <v>2352184332</v>
      </c>
      <c r="R11" s="17">
        <f t="shared" si="6"/>
        <v>2352184332</v>
      </c>
      <c r="S11" s="17">
        <f t="shared" si="6"/>
        <v>2352184332</v>
      </c>
      <c r="T11" s="17">
        <f t="shared" si="6"/>
        <v>2352184332</v>
      </c>
      <c r="U11" s="17">
        <f t="shared" si="6"/>
        <v>2352184332</v>
      </c>
      <c r="V11" s="17">
        <f t="shared" si="6"/>
        <v>2352184332</v>
      </c>
      <c r="W11" s="17">
        <f t="shared" si="6"/>
        <v>2352184332</v>
      </c>
      <c r="X11" s="17">
        <f>W11</f>
        <v>2352184332</v>
      </c>
      <c r="Y11" s="17">
        <f>SUM(E11:X11)</f>
        <v>48895563752</v>
      </c>
    </row>
    <row r="12" spans="1:26" s="13" customFormat="1" ht="24.6" customHeight="1" x14ac:dyDescent="0.25">
      <c r="A12" s="2"/>
      <c r="B12" s="10" t="s">
        <v>1</v>
      </c>
      <c r="C12" s="10"/>
      <c r="D12" s="10"/>
      <c r="E12" s="19">
        <f>SUM(E8:E11)</f>
        <v>2505703750.666667</v>
      </c>
      <c r="F12" s="19">
        <f t="shared" ref="F12:X12" si="7">SUM(F8:F11)</f>
        <v>8045111252</v>
      </c>
      <c r="G12" s="19">
        <f t="shared" si="7"/>
        <v>8045111252</v>
      </c>
      <c r="H12" s="19">
        <f t="shared" si="7"/>
        <v>8045111252</v>
      </c>
      <c r="I12" s="19">
        <f t="shared" si="7"/>
        <v>8045111252</v>
      </c>
      <c r="J12" s="19">
        <f t="shared" si="7"/>
        <v>8045111252</v>
      </c>
      <c r="K12" s="19">
        <f t="shared" si="7"/>
        <v>7361111252</v>
      </c>
      <c r="L12" s="19">
        <f t="shared" si="7"/>
        <v>7361111252</v>
      </c>
      <c r="M12" s="19">
        <f t="shared" si="7"/>
        <v>7361111252</v>
      </c>
      <c r="N12" s="19">
        <f t="shared" si="7"/>
        <v>7361111252</v>
      </c>
      <c r="O12" s="19">
        <f t="shared" si="7"/>
        <v>7361111252</v>
      </c>
      <c r="P12" s="19">
        <f t="shared" si="7"/>
        <v>7517111252</v>
      </c>
      <c r="Q12" s="19">
        <f t="shared" si="7"/>
        <v>7517111252</v>
      </c>
      <c r="R12" s="19">
        <f t="shared" si="7"/>
        <v>7517111252</v>
      </c>
      <c r="S12" s="19">
        <f t="shared" si="7"/>
        <v>7517111252</v>
      </c>
      <c r="T12" s="19">
        <f t="shared" si="7"/>
        <v>7517111252</v>
      </c>
      <c r="U12" s="19">
        <f t="shared" si="7"/>
        <v>7517111252</v>
      </c>
      <c r="V12" s="19">
        <f t="shared" si="7"/>
        <v>7517111252</v>
      </c>
      <c r="W12" s="19">
        <f t="shared" si="7"/>
        <v>7517111252</v>
      </c>
      <c r="X12" s="19">
        <f t="shared" si="7"/>
        <v>7517111252</v>
      </c>
      <c r="Y12" s="19">
        <f>SUM(Y8:Y10)</f>
        <v>98295253786.666672</v>
      </c>
    </row>
    <row r="13" spans="1:26" s="23" customFormat="1" ht="24.6" customHeight="1" x14ac:dyDescent="0.25">
      <c r="A13" s="4"/>
      <c r="B13" s="20"/>
      <c r="C13" s="20"/>
      <c r="D13" s="20"/>
      <c r="E13" s="20"/>
      <c r="F13" s="21"/>
      <c r="G13" s="22"/>
      <c r="H13" s="21"/>
      <c r="I13" s="21"/>
      <c r="J13" s="21"/>
      <c r="K13" s="21"/>
      <c r="L13" s="21"/>
      <c r="M13" s="21"/>
      <c r="N13" s="21"/>
      <c r="O13" s="21"/>
      <c r="P13" s="21"/>
      <c r="Q13" s="21"/>
      <c r="R13" s="21"/>
      <c r="S13" s="21"/>
      <c r="T13" s="21"/>
      <c r="U13" s="21"/>
      <c r="V13" s="21"/>
      <c r="W13" s="21"/>
      <c r="X13" s="21"/>
      <c r="Y13" s="21"/>
      <c r="Z13" s="21"/>
    </row>
    <row r="14" spans="1:26" x14ac:dyDescent="0.2">
      <c r="B14" s="542"/>
      <c r="C14" s="542"/>
      <c r="D14" s="542"/>
      <c r="E14" s="542"/>
      <c r="F14" s="542"/>
      <c r="G14" s="542"/>
      <c r="H14" s="542"/>
    </row>
    <row r="15" spans="1:26" s="4" customFormat="1" ht="14.45" customHeight="1" x14ac:dyDescent="0.25">
      <c r="B15" s="686" t="str">
        <f>B8</f>
        <v>5.1. Contribución al incremento del nivel educativo de los actores vinculados a la cadena de la papa</v>
      </c>
      <c r="C15" s="682"/>
      <c r="D15" s="682"/>
      <c r="E15" s="682"/>
      <c r="F15" s="682"/>
      <c r="G15" s="682"/>
      <c r="H15" s="682"/>
      <c r="I15" s="96"/>
      <c r="X15" s="25"/>
    </row>
    <row r="16" spans="1:26" s="4" customFormat="1" ht="14.45" customHeight="1" x14ac:dyDescent="0.25">
      <c r="B16" s="682"/>
      <c r="C16" s="682"/>
      <c r="D16" s="682"/>
      <c r="E16" s="682"/>
      <c r="F16" s="682"/>
      <c r="G16" s="682"/>
      <c r="H16" s="682"/>
      <c r="I16" s="96"/>
      <c r="X16" s="25"/>
    </row>
    <row r="17" spans="2:24" ht="32.1" customHeight="1" x14ac:dyDescent="0.25">
      <c r="B17" s="683" t="str">
        <f>Portafolio_PA_Papa!E73</f>
        <v>5.1.1. Realizar un análisis de las necesidades de acceso, cobertura y calidad de la educación básica primaria, secundaria y superior, de los actores vinculados a la cadena de la papa, a partir de la información generada en la caracterización regional del proyecto 8.3.</v>
      </c>
      <c r="C17" s="692"/>
      <c r="D17" s="692"/>
      <c r="E17" s="692"/>
      <c r="F17" s="692"/>
      <c r="G17" s="692"/>
      <c r="H17" s="692"/>
    </row>
    <row r="18" spans="2:24" ht="28.5" customHeight="1" x14ac:dyDescent="0.25">
      <c r="B18" s="683" t="str">
        <f>Portafolio_PA_Papa!E74</f>
        <v>5.1.2. Promover convenios con las entidades competentes y establecer una red colaborativa, para fomentar el acceso a programas de educación básica primaria, secundaria y superior de los actores vinculados a la cadena de la papa, en articulación con las Estrategias del Plan Especial de Educación Rural (Resolución 021598 de 2021 de Mineducación).</v>
      </c>
      <c r="C18" s="692"/>
      <c r="D18" s="692"/>
      <c r="E18" s="692"/>
      <c r="F18" s="692"/>
      <c r="G18" s="692"/>
      <c r="H18" s="692"/>
    </row>
    <row r="19" spans="2:24" ht="15" x14ac:dyDescent="0.25">
      <c r="B19" s="683" t="str">
        <f>Portafolio_PA_Papa!E75</f>
        <v>5.1.3. Articular programas y gestionar incentivos y mecanismos de financiación, dirigidos a contribuir con la mejora al acceso, cobertura y calidad de la educación de los actores vinculados a la cadena de la papa.</v>
      </c>
      <c r="C19" s="692"/>
      <c r="D19" s="692"/>
      <c r="E19" s="692"/>
      <c r="F19" s="692"/>
      <c r="G19" s="692"/>
      <c r="H19" s="692"/>
    </row>
    <row r="20" spans="2:24" ht="33" customHeight="1" x14ac:dyDescent="0.25">
      <c r="B20" s="683" t="str">
        <f>Portafolio_PA_Papa!E76</f>
        <v>5.1.4. Fomentar la articulación con entidades gubernamentales, del ámbito local, regional y nacional, para mejorar el acceso tanto a equipos de cómputo como a la conectividad, con el fin de impulsar y fomentar el uso de las TIC por parte de los actores vinculados a la cadena de la papa.</v>
      </c>
      <c r="C20" s="692"/>
      <c r="D20" s="692"/>
      <c r="E20" s="692"/>
      <c r="F20" s="692"/>
      <c r="G20" s="692"/>
      <c r="H20" s="692"/>
    </row>
    <row r="21" spans="2:24" ht="12.95" customHeight="1" x14ac:dyDescent="0.25">
      <c r="B21" s="683"/>
      <c r="C21" s="692"/>
      <c r="D21" s="692"/>
      <c r="E21" s="692"/>
      <c r="F21" s="692"/>
      <c r="G21" s="692"/>
      <c r="H21" s="692"/>
    </row>
    <row r="22" spans="2:24" ht="32.1" customHeight="1" x14ac:dyDescent="0.25">
      <c r="B22" s="693" t="s">
        <v>1128</v>
      </c>
      <c r="C22" s="698"/>
      <c r="D22" s="698"/>
      <c r="E22" s="698"/>
      <c r="F22" s="698"/>
      <c r="G22" s="698"/>
      <c r="H22" s="698"/>
    </row>
    <row r="23" spans="2:24" ht="15" x14ac:dyDescent="0.25">
      <c r="B23" s="540" t="s">
        <v>5</v>
      </c>
      <c r="C23" s="540" t="s">
        <v>6</v>
      </c>
      <c r="D23" s="540" t="s">
        <v>7</v>
      </c>
      <c r="E23" s="540" t="s">
        <v>8</v>
      </c>
      <c r="F23" s="541" t="s">
        <v>9</v>
      </c>
      <c r="G23" s="540" t="s">
        <v>10</v>
      </c>
      <c r="H23" s="540" t="s">
        <v>11</v>
      </c>
      <c r="X23" s="28"/>
    </row>
    <row r="24" spans="2:24" x14ac:dyDescent="0.2">
      <c r="B24" s="154" t="s">
        <v>12</v>
      </c>
      <c r="C24" s="154">
        <v>12</v>
      </c>
      <c r="D24" s="154" t="s">
        <v>13</v>
      </c>
      <c r="E24" s="69">
        <v>500000</v>
      </c>
      <c r="F24" s="29"/>
      <c r="G24" s="29"/>
      <c r="H24" s="164">
        <f>E24*C24</f>
        <v>6000000</v>
      </c>
    </row>
    <row r="25" spans="2:24" x14ac:dyDescent="0.2">
      <c r="B25" s="154" t="s">
        <v>14</v>
      </c>
      <c r="C25" s="154">
        <v>6</v>
      </c>
      <c r="D25" s="154" t="s">
        <v>13</v>
      </c>
      <c r="E25" s="69">
        <v>100000</v>
      </c>
      <c r="F25" s="29"/>
      <c r="G25" s="29"/>
      <c r="H25" s="164">
        <f>E25*C25</f>
        <v>600000</v>
      </c>
    </row>
    <row r="26" spans="2:24" x14ac:dyDescent="0.2">
      <c r="B26" s="154" t="s">
        <v>236</v>
      </c>
      <c r="C26" s="154">
        <v>12</v>
      </c>
      <c r="D26" s="154" t="s">
        <v>13</v>
      </c>
      <c r="E26" s="69">
        <v>1625000</v>
      </c>
      <c r="F26" s="29"/>
      <c r="G26" s="29"/>
      <c r="H26" s="164">
        <f>E26*C26</f>
        <v>19500000</v>
      </c>
    </row>
    <row r="27" spans="2:24" s="159" customFormat="1" x14ac:dyDescent="0.2">
      <c r="B27" s="154" t="s">
        <v>59</v>
      </c>
      <c r="C27" s="154">
        <v>12</v>
      </c>
      <c r="D27" s="154" t="s">
        <v>13</v>
      </c>
      <c r="E27" s="69">
        <v>325000</v>
      </c>
      <c r="F27" s="29"/>
      <c r="G27" s="29"/>
      <c r="H27" s="164">
        <f t="shared" ref="H27:H34" si="8">C27*E27</f>
        <v>3900000</v>
      </c>
      <c r="I27" s="161"/>
      <c r="J27" s="162"/>
    </row>
    <row r="28" spans="2:24" s="159" customFormat="1" x14ac:dyDescent="0.2">
      <c r="B28" s="154" t="s">
        <v>213</v>
      </c>
      <c r="C28" s="154">
        <v>12</v>
      </c>
      <c r="D28" s="154" t="s">
        <v>13</v>
      </c>
      <c r="E28" s="69">
        <v>12284000</v>
      </c>
      <c r="F28" s="154"/>
      <c r="G28" s="154"/>
      <c r="H28" s="164">
        <f t="shared" si="8"/>
        <v>147408000</v>
      </c>
      <c r="I28" s="161"/>
      <c r="J28" s="162"/>
    </row>
    <row r="29" spans="2:24" s="159" customFormat="1" x14ac:dyDescent="0.2">
      <c r="B29" s="154" t="s">
        <v>27</v>
      </c>
      <c r="C29" s="154">
        <v>1</v>
      </c>
      <c r="D29" s="154" t="s">
        <v>13</v>
      </c>
      <c r="E29" s="69">
        <v>10000000</v>
      </c>
      <c r="F29" s="154"/>
      <c r="G29" s="154"/>
      <c r="H29" s="164">
        <f t="shared" si="8"/>
        <v>10000000</v>
      </c>
      <c r="I29" s="161"/>
      <c r="J29" s="162"/>
    </row>
    <row r="30" spans="2:24" s="160" customFormat="1" x14ac:dyDescent="0.2">
      <c r="B30" s="154" t="s">
        <v>32</v>
      </c>
      <c r="C30" s="154">
        <v>12</v>
      </c>
      <c r="D30" s="154" t="s">
        <v>218</v>
      </c>
      <c r="E30" s="69">
        <v>5000000</v>
      </c>
      <c r="F30" s="154"/>
      <c r="G30" s="154"/>
      <c r="H30" s="164">
        <f t="shared" si="8"/>
        <v>60000000</v>
      </c>
      <c r="I30" s="163"/>
      <c r="J30" s="162"/>
    </row>
    <row r="31" spans="2:24" s="160" customFormat="1" x14ac:dyDescent="0.2">
      <c r="B31" s="154" t="s">
        <v>34</v>
      </c>
      <c r="C31" s="154">
        <v>12</v>
      </c>
      <c r="D31" s="154" t="s">
        <v>218</v>
      </c>
      <c r="E31" s="69">
        <v>1500000</v>
      </c>
      <c r="F31" s="154"/>
      <c r="G31" s="154"/>
      <c r="H31" s="164">
        <f t="shared" si="8"/>
        <v>18000000</v>
      </c>
      <c r="I31" s="163"/>
      <c r="J31" s="162"/>
    </row>
    <row r="32" spans="2:24" s="160" customFormat="1" x14ac:dyDescent="0.2">
      <c r="B32" s="154" t="s">
        <v>137</v>
      </c>
      <c r="C32" s="154">
        <v>12</v>
      </c>
      <c r="D32" s="154" t="s">
        <v>31</v>
      </c>
      <c r="E32" s="69">
        <v>1000000</v>
      </c>
      <c r="F32" s="154"/>
      <c r="G32" s="154"/>
      <c r="H32" s="164">
        <f t="shared" si="8"/>
        <v>12000000</v>
      </c>
      <c r="I32" s="163"/>
      <c r="J32" s="162"/>
    </row>
    <row r="33" spans="1:10" s="159" customFormat="1" x14ac:dyDescent="0.2">
      <c r="A33" s="160"/>
      <c r="B33" s="154" t="s">
        <v>227</v>
      </c>
      <c r="C33" s="154">
        <v>12</v>
      </c>
      <c r="D33" s="154" t="s">
        <v>31</v>
      </c>
      <c r="E33" s="69">
        <v>300000</v>
      </c>
      <c r="F33" s="154"/>
      <c r="G33" s="154"/>
      <c r="H33" s="164">
        <f t="shared" si="8"/>
        <v>3600000</v>
      </c>
      <c r="I33" s="64"/>
      <c r="J33" s="162"/>
    </row>
    <row r="34" spans="1:10" s="159" customFormat="1" x14ac:dyDescent="0.2">
      <c r="B34" s="154" t="s">
        <v>152</v>
      </c>
      <c r="C34" s="154">
        <v>1</v>
      </c>
      <c r="D34" s="154" t="s">
        <v>13</v>
      </c>
      <c r="E34" s="69">
        <v>10000000</v>
      </c>
      <c r="F34" s="154"/>
      <c r="G34" s="154"/>
      <c r="H34" s="164">
        <f t="shared" si="8"/>
        <v>10000000</v>
      </c>
      <c r="I34" s="161"/>
      <c r="J34" s="162"/>
    </row>
    <row r="35" spans="1:10" s="4" customFormat="1" x14ac:dyDescent="0.2">
      <c r="A35" s="48"/>
      <c r="B35" s="29" t="s">
        <v>245</v>
      </c>
      <c r="C35" s="62">
        <f>10*12</f>
        <v>120</v>
      </c>
      <c r="D35" s="29" t="s">
        <v>246</v>
      </c>
      <c r="E35" s="69">
        <v>300000</v>
      </c>
      <c r="F35" s="29"/>
      <c r="G35" s="29"/>
      <c r="H35" s="62">
        <f>C35*E35</f>
        <v>36000000</v>
      </c>
      <c r="I35" s="35"/>
    </row>
    <row r="36" spans="1:10" s="4" customFormat="1" x14ac:dyDescent="0.2">
      <c r="A36" s="48"/>
      <c r="B36" s="29" t="s">
        <v>247</v>
      </c>
      <c r="C36" s="62">
        <f>10*12</f>
        <v>120</v>
      </c>
      <c r="D36" s="29" t="s">
        <v>246</v>
      </c>
      <c r="E36" s="69">
        <v>600000</v>
      </c>
      <c r="F36" s="29"/>
      <c r="G36" s="29"/>
      <c r="H36" s="62">
        <f>C36*E36</f>
        <v>72000000</v>
      </c>
      <c r="I36" s="49"/>
    </row>
    <row r="37" spans="1:10" s="159" customFormat="1" x14ac:dyDescent="0.2">
      <c r="B37" s="154" t="s">
        <v>193</v>
      </c>
      <c r="C37" s="154">
        <v>4</v>
      </c>
      <c r="D37" s="154" t="s">
        <v>36</v>
      </c>
      <c r="E37" s="69">
        <v>7862772</v>
      </c>
      <c r="F37" s="152">
        <v>1</v>
      </c>
      <c r="G37" s="154">
        <v>10</v>
      </c>
      <c r="H37" s="164">
        <f>C37*E37*F37*G37</f>
        <v>314510880</v>
      </c>
      <c r="I37" s="161"/>
      <c r="J37" s="162"/>
    </row>
    <row r="38" spans="1:10" s="159" customFormat="1" x14ac:dyDescent="0.2">
      <c r="B38" s="154" t="s">
        <v>249</v>
      </c>
      <c r="C38" s="154">
        <v>8</v>
      </c>
      <c r="D38" s="154" t="s">
        <v>38</v>
      </c>
      <c r="E38" s="69">
        <v>1213122</v>
      </c>
      <c r="F38" s="154"/>
      <c r="G38" s="154"/>
      <c r="H38" s="164">
        <f>C38*E38</f>
        <v>9704976</v>
      </c>
      <c r="I38" s="161"/>
      <c r="J38" s="162"/>
    </row>
    <row r="39" spans="1:10" x14ac:dyDescent="0.2">
      <c r="B39" s="154" t="s">
        <v>248</v>
      </c>
      <c r="C39" s="154">
        <v>4</v>
      </c>
      <c r="D39" s="154" t="s">
        <v>40</v>
      </c>
      <c r="E39" s="69">
        <v>1438122</v>
      </c>
      <c r="F39" s="154"/>
      <c r="G39" s="154"/>
      <c r="H39" s="164">
        <f>E39*C39</f>
        <v>5752488</v>
      </c>
    </row>
    <row r="40" spans="1:10" x14ac:dyDescent="0.2">
      <c r="B40" s="29" t="s">
        <v>41</v>
      </c>
      <c r="C40" s="29">
        <v>12</v>
      </c>
      <c r="D40" s="29" t="s">
        <v>36</v>
      </c>
      <c r="E40" s="34">
        <v>3931384</v>
      </c>
      <c r="F40" s="36">
        <v>1</v>
      </c>
      <c r="G40" s="29">
        <v>12</v>
      </c>
      <c r="H40" s="164">
        <f>+C40*E40*F40*G40</f>
        <v>566119296</v>
      </c>
    </row>
    <row r="41" spans="1:10" x14ac:dyDescent="0.2">
      <c r="B41" s="29" t="s">
        <v>43</v>
      </c>
      <c r="C41" s="29">
        <f>+C40</f>
        <v>12</v>
      </c>
      <c r="D41" s="29" t="s">
        <v>195</v>
      </c>
      <c r="E41" s="34">
        <v>1160000</v>
      </c>
      <c r="F41" s="36"/>
      <c r="G41" s="29">
        <v>12</v>
      </c>
      <c r="H41" s="164">
        <f>+C41*E41*G41</f>
        <v>167040000</v>
      </c>
    </row>
    <row r="42" spans="1:10" x14ac:dyDescent="0.2">
      <c r="B42" s="29" t="s">
        <v>44</v>
      </c>
      <c r="C42" s="29">
        <f>+C40</f>
        <v>12</v>
      </c>
      <c r="D42" s="29" t="s">
        <v>195</v>
      </c>
      <c r="E42" s="30">
        <v>120000</v>
      </c>
      <c r="F42" s="29"/>
      <c r="G42" s="29">
        <v>12</v>
      </c>
      <c r="H42" s="164">
        <f>+C42*E42*G42</f>
        <v>17280000</v>
      </c>
      <c r="I42" s="35"/>
      <c r="J42" s="4"/>
    </row>
    <row r="43" spans="1:10" ht="15" x14ac:dyDescent="0.25">
      <c r="B43" s="29" t="s">
        <v>239</v>
      </c>
      <c r="C43" s="29"/>
      <c r="D43" s="29"/>
      <c r="E43" s="30"/>
      <c r="F43" s="36"/>
      <c r="G43" s="29"/>
      <c r="H43" s="164" t="s">
        <v>46</v>
      </c>
      <c r="I43" s="43" t="s">
        <v>501</v>
      </c>
    </row>
    <row r="44" spans="1:10" ht="15" x14ac:dyDescent="0.25">
      <c r="B44" s="39" t="s">
        <v>1</v>
      </c>
      <c r="C44" s="41"/>
      <c r="D44" s="41"/>
      <c r="E44" s="41"/>
      <c r="F44" s="42"/>
      <c r="G44" s="42"/>
      <c r="H44" s="43">
        <f>SUM(H24:H43)</f>
        <v>1479415640</v>
      </c>
      <c r="I44" s="43">
        <f>H44/12</f>
        <v>123284636.66666667</v>
      </c>
    </row>
    <row r="45" spans="1:10" s="4" customFormat="1" ht="166.5" customHeight="1" x14ac:dyDescent="0.2">
      <c r="B45" s="284" t="s">
        <v>485</v>
      </c>
      <c r="C45" s="45"/>
      <c r="D45" s="45"/>
      <c r="E45" s="45"/>
      <c r="F45" s="45"/>
      <c r="G45" s="45"/>
      <c r="H45" s="45"/>
      <c r="I45" s="2"/>
      <c r="J45" s="2"/>
    </row>
    <row r="46" spans="1:10" s="159" customFormat="1" x14ac:dyDescent="0.2"/>
    <row r="47" spans="1:10" ht="15" x14ac:dyDescent="0.25">
      <c r="B47" s="45"/>
      <c r="C47" s="45"/>
      <c r="D47" s="45"/>
      <c r="E47" s="45"/>
      <c r="F47" s="45"/>
      <c r="G47" s="45"/>
      <c r="H47" s="45"/>
      <c r="I47" s="46"/>
    </row>
    <row r="48" spans="1:10" s="4" customFormat="1" ht="15" x14ac:dyDescent="0.25">
      <c r="A48" s="47"/>
      <c r="B48" s="680" t="str">
        <f>B9</f>
        <v>5.2. Promoción de la atención de las necesidades básicas y complementarias de los actores vinculados a la cadena.</v>
      </c>
      <c r="C48" s="681"/>
      <c r="D48" s="681"/>
      <c r="E48" s="681"/>
      <c r="F48" s="681"/>
      <c r="G48" s="681"/>
      <c r="H48" s="681"/>
    </row>
    <row r="49" spans="1:10" hidden="1" x14ac:dyDescent="0.2">
      <c r="B49" s="45"/>
      <c r="C49" s="45"/>
      <c r="D49" s="45"/>
      <c r="E49" s="45"/>
      <c r="F49" s="45"/>
      <c r="G49" s="45"/>
      <c r="H49" s="45"/>
    </row>
    <row r="50" spans="1:10" ht="32.1" customHeight="1" x14ac:dyDescent="0.25">
      <c r="B50" s="683" t="str">
        <f>Portafolio_PA_Papa!E77</f>
        <v>5.2.1. Priorizar y seleccionar productores de papa y otros actores vinculados a la cadena, según su condición de vulnerabilidad, a partir de la caracterización regional de la actividad 8.3.3.</v>
      </c>
      <c r="C50" s="692"/>
      <c r="D50" s="692"/>
      <c r="E50" s="692"/>
      <c r="F50" s="692"/>
      <c r="G50" s="692"/>
      <c r="H50" s="692"/>
    </row>
    <row r="51" spans="1:10" ht="44.1" customHeight="1" x14ac:dyDescent="0.25">
      <c r="B51" s="683" t="str">
        <f>Portafolio_PA_Papa!E78</f>
        <v>5.2.2. Realizar acompañamiento a los pequeños productores de papa y sus familias, con el fin de mejorar la seguridad alimentaria, enfatizando en el uso y aprovechamiento de los recursos generados en su unidad productiva, y en la incorporación de alternativas rentables de rotación e integración al sistema productivo, fomentando espacios para la comercialización rural de excedentes, tales como circuitos cortos de comercialización, mercados campesinos y comunitarios, compras públicas locales, entre otros.</v>
      </c>
      <c r="C51" s="692"/>
      <c r="D51" s="692"/>
      <c r="E51" s="692"/>
      <c r="F51" s="692"/>
      <c r="G51" s="692"/>
      <c r="H51" s="692"/>
    </row>
    <row r="52" spans="1:10" ht="33.6" customHeight="1" x14ac:dyDescent="0.25">
      <c r="B52" s="683" t="str">
        <f>Portafolio_PA_Papa!E79</f>
        <v xml:space="preserve">5.2.3. Contribuir con la promoción de programas a nivel local, regional y nacional, relacionados con el mejoramiento de las condiciones de: acceso y calidad de la nutrición de la población, vivienda, salud, entre otros, de los pequeños productores de papa y actores vinculados a la cadena con condiciones de vulnerabilidad. </v>
      </c>
      <c r="C52" s="692"/>
      <c r="D52" s="692"/>
      <c r="E52" s="692"/>
      <c r="F52" s="692"/>
      <c r="G52" s="692"/>
      <c r="H52" s="692"/>
    </row>
    <row r="53" spans="1:10" ht="33" customHeight="1" x14ac:dyDescent="0.25">
      <c r="B53" s="683" t="str">
        <f>Portafolio_PA_Papa!E80</f>
        <v>5.2.4. Priorizar zonas estratégicas de intervención, para el mejoramiento de la infraestructura de conectividad vial y cobertura de servicios públicos en las regiones productoras de papa, a partir de la caracterización regional de la actividad 8.3.3, y contribuir con la gestión de acciones que permitan incorporar en los procesos de planificación nacional, departamental y local, estas las necesidades priorizadas por la cadena.</v>
      </c>
      <c r="C53" s="692"/>
      <c r="D53" s="692"/>
      <c r="E53" s="692"/>
      <c r="F53" s="692"/>
      <c r="G53" s="692"/>
      <c r="H53" s="692"/>
    </row>
    <row r="54" spans="1:10" ht="33" customHeight="1" x14ac:dyDescent="0.25">
      <c r="B54" s="683"/>
      <c r="C54" s="692"/>
      <c r="D54" s="692"/>
      <c r="E54" s="692"/>
      <c r="F54" s="692"/>
      <c r="G54" s="692"/>
      <c r="H54" s="692"/>
    </row>
    <row r="55" spans="1:10" ht="15" x14ac:dyDescent="0.25">
      <c r="B55" s="693" t="s">
        <v>1128</v>
      </c>
      <c r="C55" s="698"/>
      <c r="D55" s="698"/>
      <c r="E55" s="698"/>
      <c r="F55" s="698"/>
      <c r="G55" s="698"/>
      <c r="H55" s="698"/>
    </row>
    <row r="56" spans="1:10" ht="15" x14ac:dyDescent="0.25">
      <c r="B56" s="26" t="s">
        <v>5</v>
      </c>
      <c r="C56" s="26" t="s">
        <v>6</v>
      </c>
      <c r="D56" s="26" t="s">
        <v>7</v>
      </c>
      <c r="E56" s="26" t="s">
        <v>8</v>
      </c>
      <c r="F56" s="26" t="s">
        <v>48</v>
      </c>
      <c r="G56" s="26" t="s">
        <v>10</v>
      </c>
      <c r="H56" s="26" t="s">
        <v>11</v>
      </c>
    </row>
    <row r="57" spans="1:10" x14ac:dyDescent="0.2">
      <c r="B57" s="154" t="s">
        <v>12</v>
      </c>
      <c r="C57" s="154">
        <v>12</v>
      </c>
      <c r="D57" s="154" t="s">
        <v>13</v>
      </c>
      <c r="E57" s="69">
        <v>500000</v>
      </c>
      <c r="F57" s="29"/>
      <c r="G57" s="29"/>
      <c r="H57" s="62">
        <f>E57*C57</f>
        <v>6000000</v>
      </c>
    </row>
    <row r="58" spans="1:10" x14ac:dyDescent="0.2">
      <c r="B58" s="154" t="s">
        <v>14</v>
      </c>
      <c r="C58" s="154">
        <v>6</v>
      </c>
      <c r="D58" s="154" t="s">
        <v>13</v>
      </c>
      <c r="E58" s="69">
        <v>100000</v>
      </c>
      <c r="F58" s="29"/>
      <c r="G58" s="29"/>
      <c r="H58" s="62">
        <f>E58*C58</f>
        <v>600000</v>
      </c>
    </row>
    <row r="59" spans="1:10" x14ac:dyDescent="0.2">
      <c r="B59" s="154" t="s">
        <v>236</v>
      </c>
      <c r="C59" s="154">
        <v>12</v>
      </c>
      <c r="D59" s="154" t="s">
        <v>13</v>
      </c>
      <c r="E59" s="69">
        <v>1625000</v>
      </c>
      <c r="F59" s="29"/>
      <c r="G59" s="29"/>
      <c r="H59" s="62">
        <f>E59*C59</f>
        <v>19500000</v>
      </c>
    </row>
    <row r="60" spans="1:10" s="159" customFormat="1" x14ac:dyDescent="0.2">
      <c r="B60" s="154" t="s">
        <v>59</v>
      </c>
      <c r="C60" s="154">
        <v>12</v>
      </c>
      <c r="D60" s="154" t="s">
        <v>13</v>
      </c>
      <c r="E60" s="69">
        <v>325000</v>
      </c>
      <c r="F60" s="29"/>
      <c r="G60" s="29"/>
      <c r="H60" s="62">
        <f t="shared" ref="H60:H62" si="9">C60*E60</f>
        <v>3900000</v>
      </c>
      <c r="I60" s="161"/>
      <c r="J60" s="162"/>
    </row>
    <row r="61" spans="1:10" s="159" customFormat="1" x14ac:dyDescent="0.2">
      <c r="B61" s="154" t="s">
        <v>213</v>
      </c>
      <c r="C61" s="154">
        <v>12</v>
      </c>
      <c r="D61" s="154" t="s">
        <v>13</v>
      </c>
      <c r="E61" s="69">
        <v>12284000</v>
      </c>
      <c r="F61" s="154"/>
      <c r="G61" s="154"/>
      <c r="H61" s="62">
        <f t="shared" si="9"/>
        <v>147408000</v>
      </c>
      <c r="I61" s="161"/>
      <c r="J61" s="162"/>
    </row>
    <row r="62" spans="1:10" x14ac:dyDescent="0.2">
      <c r="B62" s="29" t="s">
        <v>97</v>
      </c>
      <c r="C62" s="156">
        <f>12*100</f>
        <v>1200</v>
      </c>
      <c r="D62" s="29" t="s">
        <v>246</v>
      </c>
      <c r="E62" s="69">
        <v>100000</v>
      </c>
      <c r="F62" s="29"/>
      <c r="G62" s="29"/>
      <c r="H62" s="62">
        <f t="shared" si="9"/>
        <v>120000000</v>
      </c>
      <c r="I62" s="37"/>
    </row>
    <row r="63" spans="1:10" s="4" customFormat="1" x14ac:dyDescent="0.2">
      <c r="A63" s="48"/>
      <c r="B63" s="29" t="s">
        <v>531</v>
      </c>
      <c r="C63" s="62">
        <v>6</v>
      </c>
      <c r="D63" s="29" t="s">
        <v>246</v>
      </c>
      <c r="E63" s="69">
        <v>21000000</v>
      </c>
      <c r="F63" s="29"/>
      <c r="G63" s="29"/>
      <c r="H63" s="62">
        <f t="shared" ref="H63:H64" si="10">C63*E63</f>
        <v>126000000</v>
      </c>
      <c r="I63" s="49"/>
    </row>
    <row r="64" spans="1:10" s="4" customFormat="1" x14ac:dyDescent="0.2">
      <c r="A64" s="48"/>
      <c r="B64" s="29" t="s">
        <v>532</v>
      </c>
      <c r="C64" s="62">
        <f>12*100</f>
        <v>1200</v>
      </c>
      <c r="D64" s="29" t="s">
        <v>246</v>
      </c>
      <c r="E64" s="69">
        <v>25000</v>
      </c>
      <c r="F64" s="29"/>
      <c r="G64" s="29"/>
      <c r="H64" s="62">
        <f t="shared" si="10"/>
        <v>30000000</v>
      </c>
      <c r="I64" s="49"/>
    </row>
    <row r="65" spans="1:10" x14ac:dyDescent="0.2">
      <c r="B65" s="158" t="s">
        <v>252</v>
      </c>
      <c r="C65" s="29">
        <v>24</v>
      </c>
      <c r="D65" s="29" t="s">
        <v>13</v>
      </c>
      <c r="E65" s="335">
        <v>3800000</v>
      </c>
      <c r="F65" s="29"/>
      <c r="G65" s="29"/>
      <c r="H65" s="62">
        <f>E65*C65</f>
        <v>91200000</v>
      </c>
      <c r="I65" s="32"/>
      <c r="J65" s="4"/>
    </row>
    <row r="66" spans="1:10" s="159" customFormat="1" x14ac:dyDescent="0.2">
      <c r="B66" s="154" t="s">
        <v>193</v>
      </c>
      <c r="C66" s="154">
        <v>4</v>
      </c>
      <c r="D66" s="154" t="s">
        <v>36</v>
      </c>
      <c r="E66" s="69">
        <v>7862772</v>
      </c>
      <c r="F66" s="152">
        <v>1</v>
      </c>
      <c r="G66" s="154">
        <v>10</v>
      </c>
      <c r="H66" s="164">
        <f>C66*E66*F66*G66</f>
        <v>314510880</v>
      </c>
      <c r="I66" s="161"/>
      <c r="J66" s="162"/>
    </row>
    <row r="67" spans="1:10" s="159" customFormat="1" x14ac:dyDescent="0.2">
      <c r="B67" s="154" t="s">
        <v>249</v>
      </c>
      <c r="C67" s="154">
        <v>8</v>
      </c>
      <c r="D67" s="154" t="s">
        <v>38</v>
      </c>
      <c r="E67" s="69">
        <v>1213122</v>
      </c>
      <c r="F67" s="154"/>
      <c r="G67" s="154"/>
      <c r="H67" s="164">
        <f>C67*E67</f>
        <v>9704976</v>
      </c>
      <c r="I67" s="161"/>
      <c r="J67" s="162"/>
    </row>
    <row r="68" spans="1:10" x14ac:dyDescent="0.2">
      <c r="B68" s="154" t="s">
        <v>248</v>
      </c>
      <c r="C68" s="154">
        <v>4</v>
      </c>
      <c r="D68" s="154" t="s">
        <v>40</v>
      </c>
      <c r="E68" s="69">
        <v>1438122</v>
      </c>
      <c r="F68" s="154"/>
      <c r="G68" s="154"/>
      <c r="H68" s="164">
        <f>E68*C68</f>
        <v>5752488</v>
      </c>
    </row>
    <row r="69" spans="1:10" x14ac:dyDescent="0.2">
      <c r="B69" s="29" t="s">
        <v>41</v>
      </c>
      <c r="C69" s="29">
        <v>12</v>
      </c>
      <c r="D69" s="29" t="s">
        <v>36</v>
      </c>
      <c r="E69" s="34">
        <v>3931384</v>
      </c>
      <c r="F69" s="36">
        <v>1</v>
      </c>
      <c r="G69" s="29">
        <v>12</v>
      </c>
      <c r="H69" s="164">
        <f>+C69*E69*F69*G69</f>
        <v>566119296</v>
      </c>
    </row>
    <row r="70" spans="1:10" x14ac:dyDescent="0.2">
      <c r="B70" s="29" t="s">
        <v>43</v>
      </c>
      <c r="C70" s="29">
        <f>+C69</f>
        <v>12</v>
      </c>
      <c r="D70" s="29" t="s">
        <v>195</v>
      </c>
      <c r="E70" s="34">
        <v>1160000</v>
      </c>
      <c r="F70" s="36"/>
      <c r="G70" s="29">
        <v>12</v>
      </c>
      <c r="H70" s="164">
        <f>+C70*E70*G70</f>
        <v>167040000</v>
      </c>
    </row>
    <row r="71" spans="1:10" x14ac:dyDescent="0.2">
      <c r="B71" s="29" t="s">
        <v>44</v>
      </c>
      <c r="C71" s="29">
        <f>+C69</f>
        <v>12</v>
      </c>
      <c r="D71" s="29" t="s">
        <v>195</v>
      </c>
      <c r="E71" s="30">
        <v>120000</v>
      </c>
      <c r="F71" s="29"/>
      <c r="G71" s="29">
        <v>12</v>
      </c>
      <c r="H71" s="164">
        <f>+C71*E71*G71</f>
        <v>17280000</v>
      </c>
      <c r="I71" s="35"/>
      <c r="J71" s="4"/>
    </row>
    <row r="72" spans="1:10" x14ac:dyDescent="0.2">
      <c r="B72" s="29" t="s">
        <v>244</v>
      </c>
      <c r="C72" s="29"/>
      <c r="D72" s="29"/>
      <c r="E72" s="69"/>
      <c r="F72" s="29"/>
      <c r="G72" s="29"/>
      <c r="H72" s="62" t="s">
        <v>46</v>
      </c>
      <c r="I72" s="32"/>
      <c r="J72" s="4"/>
    </row>
    <row r="73" spans="1:10" ht="15" x14ac:dyDescent="0.25">
      <c r="B73" s="29" t="s">
        <v>486</v>
      </c>
      <c r="C73" s="29"/>
      <c r="D73" s="29"/>
      <c r="E73" s="69"/>
      <c r="F73" s="29"/>
      <c r="G73" s="29"/>
      <c r="H73" s="62" t="s">
        <v>46</v>
      </c>
      <c r="I73" s="165" t="s">
        <v>501</v>
      </c>
      <c r="J73" s="4"/>
    </row>
    <row r="74" spans="1:10" ht="15" x14ac:dyDescent="0.25">
      <c r="B74" s="39" t="s">
        <v>1</v>
      </c>
      <c r="C74" s="41"/>
      <c r="D74" s="41"/>
      <c r="E74" s="41"/>
      <c r="F74" s="42"/>
      <c r="G74" s="42"/>
      <c r="H74" s="165">
        <f>SUM(H57:H73)</f>
        <v>1625015640</v>
      </c>
      <c r="I74" s="533">
        <f>H74/12</f>
        <v>135417970</v>
      </c>
    </row>
    <row r="75" spans="1:10" ht="15" x14ac:dyDescent="0.25">
      <c r="B75" s="39" t="s">
        <v>286</v>
      </c>
      <c r="C75" s="41"/>
      <c r="D75" s="41"/>
      <c r="E75" s="41"/>
      <c r="F75" s="42"/>
      <c r="G75" s="42"/>
      <c r="H75" s="165">
        <f>H74-H63-H64</f>
        <v>1469015640</v>
      </c>
    </row>
    <row r="76" spans="1:10" s="4" customFormat="1" ht="193.5" customHeight="1" x14ac:dyDescent="0.25">
      <c r="B76" s="284" t="s">
        <v>1127</v>
      </c>
      <c r="C76" s="45"/>
      <c r="D76" s="45" t="s">
        <v>484</v>
      </c>
      <c r="E76" s="45"/>
      <c r="F76" s="45"/>
      <c r="G76" s="45"/>
      <c r="H76" s="157"/>
      <c r="I76" s="2"/>
      <c r="J76" s="2"/>
    </row>
    <row r="77" spans="1:10" s="4" customFormat="1" ht="31.5" customHeight="1" x14ac:dyDescent="0.25">
      <c r="B77" s="284"/>
      <c r="C77" s="316"/>
      <c r="D77" s="316"/>
      <c r="E77" s="316"/>
      <c r="F77" s="316"/>
      <c r="G77" s="316"/>
      <c r="H77" s="157"/>
      <c r="I77" s="2"/>
      <c r="J77" s="2"/>
    </row>
    <row r="78" spans="1:10" s="4" customFormat="1" ht="24.95" customHeight="1" x14ac:dyDescent="0.25">
      <c r="A78" s="47"/>
      <c r="B78" s="680" t="str">
        <f>B10</f>
        <v>5.3. Promoción de la formalización empresarial y laboral en la cadena de la papa</v>
      </c>
      <c r="C78" s="680"/>
      <c r="D78" s="680"/>
      <c r="E78" s="680"/>
      <c r="F78" s="680"/>
      <c r="G78" s="680"/>
      <c r="H78" s="680"/>
    </row>
    <row r="79" spans="1:10" ht="15" x14ac:dyDescent="0.25">
      <c r="B79" s="683" t="str">
        <f>Portafolio_PA_Papa!E81</f>
        <v>5.3.1. Capacitar y brindar acompañamiento técnico a los agentes económicos de la cadena de la papa, en constitución, aspectos laborales, financieros, tributarios y cumplimiento de normatividad laboral y ambiental.</v>
      </c>
      <c r="C79" s="692"/>
      <c r="D79" s="692"/>
      <c r="E79" s="692"/>
      <c r="F79" s="692"/>
      <c r="G79" s="692"/>
      <c r="H79" s="692"/>
    </row>
    <row r="80" spans="1:10" ht="44.1" customHeight="1" x14ac:dyDescent="0.25">
      <c r="B80" s="683" t="str">
        <f>Portafolio_PA_Papa!E82</f>
        <v>5.3.2.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 en articulación con el Plan Progresivo de Protección Social y de Garantía de Derechos de los trabajadores y trabajadoras rurales (Resolución 2951 de 2020 de Mintrabajo).</v>
      </c>
      <c r="C80" s="692"/>
      <c r="D80" s="692"/>
      <c r="E80" s="692"/>
      <c r="F80" s="692"/>
      <c r="G80" s="692"/>
      <c r="H80" s="692"/>
    </row>
    <row r="81" spans="1:10" ht="15" x14ac:dyDescent="0.25">
      <c r="B81" s="683" t="str">
        <f>Portafolio_PA_Papa!E83</f>
        <v>5.3.3. Promover e implementar incentivos e instrumentos financieros que fomenten la formalización empresarial, ambiental y laboral de la cadena de la papa, acorde con el avance en el diseño de instrumentos de la actividad 8.4.7.</v>
      </c>
      <c r="C81" s="692"/>
      <c r="D81" s="692"/>
      <c r="E81" s="692"/>
      <c r="F81" s="692"/>
      <c r="G81" s="692"/>
      <c r="H81" s="692"/>
    </row>
    <row r="82" spans="1:10" ht="15" x14ac:dyDescent="0.25">
      <c r="B82" s="683"/>
      <c r="C82" s="692"/>
      <c r="D82" s="692"/>
      <c r="E82" s="692"/>
      <c r="F82" s="692"/>
      <c r="G82" s="692"/>
      <c r="H82" s="692"/>
    </row>
    <row r="83" spans="1:10" ht="15" x14ac:dyDescent="0.25">
      <c r="B83" s="683"/>
      <c r="C83" s="692"/>
      <c r="D83" s="692"/>
      <c r="E83" s="692"/>
      <c r="F83" s="692"/>
      <c r="G83" s="692"/>
      <c r="H83" s="692"/>
    </row>
    <row r="84" spans="1:10" ht="15" x14ac:dyDescent="0.25">
      <c r="B84" s="693" t="s">
        <v>1128</v>
      </c>
      <c r="C84" s="698"/>
      <c r="D84" s="698"/>
      <c r="E84" s="698"/>
      <c r="F84" s="698"/>
      <c r="G84" s="698"/>
      <c r="H84" s="698"/>
    </row>
    <row r="85" spans="1:10" ht="24.95" customHeight="1" x14ac:dyDescent="0.25">
      <c r="B85" s="26" t="s">
        <v>5</v>
      </c>
      <c r="C85" s="26" t="s">
        <v>6</v>
      </c>
      <c r="D85" s="26" t="s">
        <v>7</v>
      </c>
      <c r="E85" s="26" t="s">
        <v>8</v>
      </c>
      <c r="F85" s="26" t="s">
        <v>48</v>
      </c>
      <c r="G85" s="26" t="s">
        <v>10</v>
      </c>
      <c r="H85" s="26" t="s">
        <v>11</v>
      </c>
    </row>
    <row r="86" spans="1:10" x14ac:dyDescent="0.2">
      <c r="B86" s="154" t="s">
        <v>12</v>
      </c>
      <c r="C86" s="154">
        <v>12</v>
      </c>
      <c r="D86" s="154" t="s">
        <v>13</v>
      </c>
      <c r="E86" s="69">
        <v>500000</v>
      </c>
      <c r="F86" s="29"/>
      <c r="G86" s="29"/>
      <c r="H86" s="62">
        <f>E86*C86</f>
        <v>6000000</v>
      </c>
    </row>
    <row r="87" spans="1:10" x14ac:dyDescent="0.2">
      <c r="B87" s="154" t="s">
        <v>14</v>
      </c>
      <c r="C87" s="154">
        <v>12</v>
      </c>
      <c r="D87" s="154" t="s">
        <v>13</v>
      </c>
      <c r="E87" s="69">
        <v>100000</v>
      </c>
      <c r="F87" s="29"/>
      <c r="G87" s="29"/>
      <c r="H87" s="62">
        <f t="shared" ref="H87:H97" si="11">E87*C87</f>
        <v>1200000</v>
      </c>
    </row>
    <row r="88" spans="1:10" x14ac:dyDescent="0.2">
      <c r="B88" s="154" t="s">
        <v>236</v>
      </c>
      <c r="C88" s="154">
        <v>12</v>
      </c>
      <c r="D88" s="154" t="s">
        <v>13</v>
      </c>
      <c r="E88" s="69">
        <v>1625000</v>
      </c>
      <c r="F88" s="29"/>
      <c r="G88" s="29"/>
      <c r="H88" s="62">
        <f t="shared" si="11"/>
        <v>19500000</v>
      </c>
    </row>
    <row r="89" spans="1:10" s="159" customFormat="1" x14ac:dyDescent="0.2">
      <c r="B89" s="154" t="s">
        <v>59</v>
      </c>
      <c r="C89" s="154">
        <v>12</v>
      </c>
      <c r="D89" s="154" t="s">
        <v>13</v>
      </c>
      <c r="E89" s="69">
        <v>325000</v>
      </c>
      <c r="F89" s="29"/>
      <c r="G89" s="29"/>
      <c r="H89" s="62">
        <f t="shared" si="11"/>
        <v>3900000</v>
      </c>
      <c r="I89" s="161"/>
      <c r="J89" s="162"/>
    </row>
    <row r="90" spans="1:10" s="4" customFormat="1" x14ac:dyDescent="0.2">
      <c r="A90" s="48"/>
      <c r="B90" s="133" t="s">
        <v>217</v>
      </c>
      <c r="C90" s="144">
        <v>24</v>
      </c>
      <c r="D90" s="134" t="s">
        <v>13</v>
      </c>
      <c r="E90" s="135">
        <v>4120000</v>
      </c>
      <c r="F90" s="134"/>
      <c r="G90" s="134"/>
      <c r="H90" s="62">
        <f t="shared" si="11"/>
        <v>98880000</v>
      </c>
      <c r="I90" s="49"/>
    </row>
    <row r="91" spans="1:10" s="168" customFormat="1" x14ac:dyDescent="0.2">
      <c r="B91" s="169" t="s">
        <v>32</v>
      </c>
      <c r="C91" s="166">
        <v>12</v>
      </c>
      <c r="D91" s="170" t="s">
        <v>218</v>
      </c>
      <c r="E91" s="167">
        <v>5000000</v>
      </c>
      <c r="F91" s="166"/>
      <c r="G91" s="30"/>
      <c r="H91" s="62">
        <f t="shared" si="11"/>
        <v>60000000</v>
      </c>
      <c r="I91" s="2"/>
      <c r="J91" s="2"/>
    </row>
    <row r="92" spans="1:10" s="168" customFormat="1" x14ac:dyDescent="0.2">
      <c r="B92" s="169" t="s">
        <v>34</v>
      </c>
      <c r="C92" s="166">
        <v>12</v>
      </c>
      <c r="D92" s="170" t="s">
        <v>218</v>
      </c>
      <c r="E92" s="167">
        <v>1500000</v>
      </c>
      <c r="F92" s="166"/>
      <c r="G92" s="30"/>
      <c r="H92" s="62">
        <f t="shared" si="11"/>
        <v>18000000</v>
      </c>
      <c r="I92" s="2"/>
      <c r="J92" s="2"/>
    </row>
    <row r="93" spans="1:10" s="168" customFormat="1" x14ac:dyDescent="0.2">
      <c r="B93" s="169" t="s">
        <v>137</v>
      </c>
      <c r="C93" s="166">
        <f>12*4</f>
        <v>48</v>
      </c>
      <c r="D93" s="166" t="s">
        <v>194</v>
      </c>
      <c r="E93" s="167">
        <v>1000000</v>
      </c>
      <c r="F93" s="166"/>
      <c r="G93" s="30"/>
      <c r="H93" s="62">
        <f t="shared" si="11"/>
        <v>48000000</v>
      </c>
      <c r="I93" s="2"/>
      <c r="J93" s="2"/>
    </row>
    <row r="94" spans="1:10" s="168" customFormat="1" x14ac:dyDescent="0.2">
      <c r="B94" s="169" t="s">
        <v>30</v>
      </c>
      <c r="C94" s="166">
        <f>12*4</f>
        <v>48</v>
      </c>
      <c r="D94" s="166" t="s">
        <v>194</v>
      </c>
      <c r="E94" s="167">
        <v>300000</v>
      </c>
      <c r="F94" s="171"/>
      <c r="G94" s="31"/>
      <c r="H94" s="62">
        <f t="shared" si="11"/>
        <v>14400000</v>
      </c>
      <c r="I94" s="2"/>
      <c r="J94" s="2"/>
    </row>
    <row r="95" spans="1:10" x14ac:dyDescent="0.2">
      <c r="B95" s="29" t="s">
        <v>253</v>
      </c>
      <c r="C95" s="29">
        <v>12</v>
      </c>
      <c r="D95" s="29" t="s">
        <v>13</v>
      </c>
      <c r="E95" s="335">
        <v>25484000</v>
      </c>
      <c r="F95" s="29"/>
      <c r="G95" s="29"/>
      <c r="H95" s="62">
        <f t="shared" si="11"/>
        <v>305808000</v>
      </c>
      <c r="I95" s="32"/>
      <c r="J95" s="4"/>
    </row>
    <row r="96" spans="1:10" x14ac:dyDescent="0.2">
      <c r="B96" s="29" t="s">
        <v>251</v>
      </c>
      <c r="C96" s="29">
        <v>12</v>
      </c>
      <c r="D96" s="29" t="s">
        <v>13</v>
      </c>
      <c r="E96" s="335">
        <v>23700000</v>
      </c>
      <c r="F96" s="29"/>
      <c r="G96" s="29"/>
      <c r="H96" s="62">
        <f t="shared" si="11"/>
        <v>284400000</v>
      </c>
      <c r="I96" s="32"/>
      <c r="J96" s="4"/>
    </row>
    <row r="97" spans="1:10" x14ac:dyDescent="0.2">
      <c r="B97" s="158" t="s">
        <v>257</v>
      </c>
      <c r="C97" s="29">
        <v>12</v>
      </c>
      <c r="D97" s="29" t="s">
        <v>13</v>
      </c>
      <c r="E97" s="335">
        <v>10000000</v>
      </c>
      <c r="F97" s="29"/>
      <c r="G97" s="29"/>
      <c r="H97" s="62">
        <f t="shared" si="11"/>
        <v>120000000</v>
      </c>
      <c r="I97" s="32"/>
      <c r="J97" s="4"/>
    </row>
    <row r="98" spans="1:10" s="159" customFormat="1" x14ac:dyDescent="0.2">
      <c r="B98" s="154" t="s">
        <v>193</v>
      </c>
      <c r="C98" s="154">
        <v>4</v>
      </c>
      <c r="D98" s="154" t="s">
        <v>36</v>
      </c>
      <c r="E98" s="69">
        <v>7862772</v>
      </c>
      <c r="F98" s="152">
        <v>1</v>
      </c>
      <c r="G98" s="154">
        <v>10</v>
      </c>
      <c r="H98" s="164">
        <f>C98*E98*F98*G98</f>
        <v>314510880</v>
      </c>
      <c r="I98" s="161"/>
      <c r="J98" s="162"/>
    </row>
    <row r="99" spans="1:10" s="159" customFormat="1" x14ac:dyDescent="0.2">
      <c r="B99" s="154" t="s">
        <v>249</v>
      </c>
      <c r="C99" s="154">
        <v>8</v>
      </c>
      <c r="D99" s="154" t="s">
        <v>38</v>
      </c>
      <c r="E99" s="69">
        <v>1213122</v>
      </c>
      <c r="F99" s="154"/>
      <c r="G99" s="154"/>
      <c r="H99" s="164">
        <f>C99*E99</f>
        <v>9704976</v>
      </c>
      <c r="I99" s="161"/>
      <c r="J99" s="162"/>
    </row>
    <row r="100" spans="1:10" x14ac:dyDescent="0.2">
      <c r="B100" s="154" t="s">
        <v>248</v>
      </c>
      <c r="C100" s="154">
        <v>4</v>
      </c>
      <c r="D100" s="154" t="s">
        <v>40</v>
      </c>
      <c r="E100" s="69">
        <v>1438122</v>
      </c>
      <c r="F100" s="154"/>
      <c r="G100" s="154"/>
      <c r="H100" s="164">
        <f>E100*C100</f>
        <v>5752488</v>
      </c>
    </row>
    <row r="101" spans="1:10" x14ac:dyDescent="0.2">
      <c r="B101" s="29" t="s">
        <v>41</v>
      </c>
      <c r="C101" s="29">
        <v>12</v>
      </c>
      <c r="D101" s="29" t="s">
        <v>36</v>
      </c>
      <c r="E101" s="34">
        <v>3931384</v>
      </c>
      <c r="F101" s="36">
        <v>1</v>
      </c>
      <c r="G101" s="29">
        <v>12</v>
      </c>
      <c r="H101" s="164">
        <f>+C101*E101*F101*G101</f>
        <v>566119296</v>
      </c>
    </row>
    <row r="102" spans="1:10" x14ac:dyDescent="0.2">
      <c r="B102" s="29" t="s">
        <v>43</v>
      </c>
      <c r="C102" s="29">
        <f>+C101</f>
        <v>12</v>
      </c>
      <c r="D102" s="29" t="s">
        <v>195</v>
      </c>
      <c r="E102" s="34">
        <v>1160000</v>
      </c>
      <c r="F102" s="36"/>
      <c r="G102" s="29">
        <v>12</v>
      </c>
      <c r="H102" s="164">
        <f>+C102*E102*G102</f>
        <v>167040000</v>
      </c>
    </row>
    <row r="103" spans="1:10" x14ac:dyDescent="0.2">
      <c r="B103" s="29" t="s">
        <v>44</v>
      </c>
      <c r="C103" s="29">
        <f>+C101</f>
        <v>12</v>
      </c>
      <c r="D103" s="29" t="s">
        <v>195</v>
      </c>
      <c r="E103" s="30">
        <v>120000</v>
      </c>
      <c r="F103" s="29"/>
      <c r="G103" s="29">
        <v>12</v>
      </c>
      <c r="H103" s="164">
        <f>+C103*E103*G103</f>
        <v>17280000</v>
      </c>
      <c r="I103" s="35"/>
      <c r="J103" s="4"/>
    </row>
    <row r="104" spans="1:10" x14ac:dyDescent="0.2">
      <c r="B104" s="158" t="s">
        <v>255</v>
      </c>
      <c r="C104" s="29"/>
      <c r="D104" s="29"/>
      <c r="E104" s="155"/>
      <c r="F104" s="29"/>
      <c r="G104" s="29"/>
      <c r="H104" s="62" t="s">
        <v>46</v>
      </c>
      <c r="I104" s="32"/>
      <c r="J104" s="4"/>
    </row>
    <row r="105" spans="1:10" ht="15" x14ac:dyDescent="0.25">
      <c r="B105" s="29" t="s">
        <v>250</v>
      </c>
      <c r="C105" s="29"/>
      <c r="D105" s="29"/>
      <c r="E105" s="69"/>
      <c r="F105" s="29"/>
      <c r="G105" s="29"/>
      <c r="H105" s="62" t="s">
        <v>46</v>
      </c>
      <c r="I105" s="57" t="s">
        <v>501</v>
      </c>
      <c r="J105" s="4"/>
    </row>
    <row r="106" spans="1:10" ht="15" x14ac:dyDescent="0.25">
      <c r="B106" s="39" t="s">
        <v>11</v>
      </c>
      <c r="C106" s="172"/>
      <c r="D106" s="172"/>
      <c r="E106" s="173"/>
      <c r="F106" s="173"/>
      <c r="G106" s="172"/>
      <c r="H106" s="57">
        <f>SUM(H86:H105)</f>
        <v>2060495640</v>
      </c>
      <c r="I106" s="57">
        <f>H106/12</f>
        <v>171707970</v>
      </c>
    </row>
    <row r="107" spans="1:10" s="159" customFormat="1" ht="146.1" customHeight="1" x14ac:dyDescent="0.2">
      <c r="B107" s="112" t="s">
        <v>1112</v>
      </c>
      <c r="C107" s="174"/>
      <c r="D107" s="174"/>
      <c r="E107" s="174"/>
      <c r="F107" s="174"/>
      <c r="G107" s="174"/>
      <c r="H107" s="160"/>
      <c r="I107" s="2"/>
      <c r="J107" s="2"/>
    </row>
    <row r="108" spans="1:10" s="159" customFormat="1" x14ac:dyDescent="0.2">
      <c r="B108" s="112"/>
      <c r="C108" s="174"/>
      <c r="D108" s="174"/>
      <c r="E108" s="174"/>
      <c r="F108" s="174"/>
      <c r="G108" s="174"/>
      <c r="H108" s="160"/>
      <c r="I108" s="2"/>
      <c r="J108" s="2"/>
    </row>
    <row r="109" spans="1:10" s="4" customFormat="1" ht="24.95" customHeight="1" x14ac:dyDescent="0.25">
      <c r="A109" s="47"/>
      <c r="B109" s="680" t="str">
        <f>B11</f>
        <v>5.4. Fomento de esquemas de asociatividad en la cadena</v>
      </c>
      <c r="C109" s="680"/>
      <c r="D109" s="680"/>
      <c r="E109" s="680"/>
      <c r="F109" s="680"/>
      <c r="G109" s="680"/>
      <c r="H109" s="680"/>
    </row>
    <row r="110" spans="1:10" ht="48.95" customHeight="1" x14ac:dyDescent="0.25">
      <c r="B110" s="683" t="str">
        <f>Portafolio_PA_Papa!E84</f>
        <v>5.4.1. Clasificar y seleccionar las organizaciones actuales, y los núcleos de actores con potencial asociativo, dedicados a la producción y/o comercialización y/o procesamiento de papa, teniendo en cuenta la caracterización regional de la actividad 8.3.3., y la implementación del Plan Nacional de Fomento a la Economía Solidaria y Cooperativa Rural - PLANFES (Resolución No 2950 de 2020 de Mintrabajo), y en concordancia con los lineamientos de política pública para la asociatividad rural (Resolución 161 del 2021).</v>
      </c>
      <c r="C110" s="692"/>
      <c r="D110" s="692"/>
      <c r="E110" s="692"/>
      <c r="F110" s="692"/>
      <c r="G110" s="692"/>
      <c r="H110" s="692"/>
    </row>
    <row r="111" spans="1:10" ht="15" x14ac:dyDescent="0.25">
      <c r="B111" s="683" t="str">
        <f>Portafolio_PA_Papa!E85</f>
        <v>5.4.2. Capacitar y orientar a los productores, comercializadores y procesadores de papa seleccionados, en  economía solidaria, modelos de gestión empresarial.</v>
      </c>
      <c r="C111" s="692"/>
      <c r="D111" s="692"/>
      <c r="E111" s="692"/>
      <c r="F111" s="692"/>
      <c r="G111" s="692"/>
      <c r="H111" s="692"/>
    </row>
    <row r="112" spans="1:10" ht="32.450000000000003" customHeight="1" x14ac:dyDescent="0.25">
      <c r="B112" s="683" t="str">
        <f>Portafolio_PA_Papa!E86</f>
        <v xml:space="preserve">5.4.3. Incentivar el fortalecimiento y crecimiento de las organizaciones seleccionadas, a través de acompañamiento comercial y financiero, para la suscripción e implementación de acuerdos comerciales, desarrollo de proveedores, entre otros teniendo en cuenta el avance en el diseño de instrumentos de política de la actividad 8.4.7. </v>
      </c>
      <c r="C112" s="692"/>
      <c r="D112" s="692"/>
      <c r="E112" s="692"/>
      <c r="F112" s="692"/>
      <c r="G112" s="692"/>
      <c r="H112" s="692"/>
    </row>
    <row r="113" spans="2:10" ht="51" customHeight="1" x14ac:dyDescent="0.25">
      <c r="B113" s="683" t="str">
        <f>Portafolio_PA_Papa!E87</f>
        <v>5.4.4. Promover las inversiones en infraestructura, equipos, capital humano y de trabajo de las organizaciones seleccionadas, a través de instrumentos financieros y no financieros teniendo en cuenta los avances en el proyecto 8.4 "Fortalecimiento y creación de instrumentos de financiamiento, comercialización, gestión de riesgos y empresarización para la cadena de la papa" y teniendo en cuenta instrumentos como el incentivo modular de alianzas productivas (Decreto 321 del 2002 y sus decretos modificatorios).</v>
      </c>
      <c r="C113" s="692"/>
      <c r="D113" s="692"/>
      <c r="E113" s="692"/>
      <c r="F113" s="692"/>
      <c r="G113" s="692"/>
      <c r="H113" s="692"/>
    </row>
    <row r="114" spans="2:10" ht="15" x14ac:dyDescent="0.25">
      <c r="B114" s="683" t="str">
        <f>Portafolio_PA_Papa!E88</f>
        <v>5.4.5. Monitorear los avances de las organizaciones asistidas y seleccionar casos exitosos para realizar transferencias bajo métodos de evaluación comparativa (benchmarking) de los temas priorizados, en las regiones productoras de papa.</v>
      </c>
      <c r="C114" s="692"/>
      <c r="D114" s="692"/>
      <c r="E114" s="692"/>
      <c r="F114" s="692"/>
      <c r="G114" s="692"/>
      <c r="H114" s="692"/>
    </row>
    <row r="115" spans="2:10" ht="15" x14ac:dyDescent="0.25">
      <c r="B115" s="683"/>
      <c r="C115" s="692"/>
      <c r="D115" s="692"/>
      <c r="E115" s="692"/>
      <c r="F115" s="692"/>
      <c r="G115" s="692"/>
      <c r="H115" s="692"/>
    </row>
    <row r="116" spans="2:10" ht="15" x14ac:dyDescent="0.25">
      <c r="B116" s="693" t="s">
        <v>1128</v>
      </c>
      <c r="C116" s="698"/>
      <c r="D116" s="698"/>
      <c r="E116" s="698"/>
      <c r="F116" s="698"/>
      <c r="G116" s="698"/>
      <c r="H116" s="698"/>
    </row>
    <row r="117" spans="2:10" ht="24.95" customHeight="1" x14ac:dyDescent="0.25">
      <c r="B117" s="26" t="s">
        <v>5</v>
      </c>
      <c r="C117" s="26" t="s">
        <v>6</v>
      </c>
      <c r="D117" s="26" t="s">
        <v>7</v>
      </c>
      <c r="E117" s="26" t="s">
        <v>8</v>
      </c>
      <c r="F117" s="26" t="s">
        <v>48</v>
      </c>
      <c r="G117" s="26" t="s">
        <v>10</v>
      </c>
      <c r="H117" s="26" t="s">
        <v>11</v>
      </c>
    </row>
    <row r="118" spans="2:10" x14ac:dyDescent="0.2">
      <c r="B118" s="154" t="s">
        <v>12</v>
      </c>
      <c r="C118" s="154">
        <v>24</v>
      </c>
      <c r="D118" s="154" t="s">
        <v>13</v>
      </c>
      <c r="E118" s="69">
        <v>500000</v>
      </c>
      <c r="F118" s="29"/>
      <c r="G118" s="29"/>
      <c r="H118" s="62">
        <f>E118*C118</f>
        <v>12000000</v>
      </c>
    </row>
    <row r="119" spans="2:10" x14ac:dyDescent="0.2">
      <c r="B119" s="154" t="s">
        <v>14</v>
      </c>
      <c r="C119" s="154">
        <v>24</v>
      </c>
      <c r="D119" s="154" t="s">
        <v>13</v>
      </c>
      <c r="E119" s="69">
        <v>100000</v>
      </c>
      <c r="F119" s="29"/>
      <c r="G119" s="29"/>
      <c r="H119" s="62">
        <f t="shared" ref="H119:H131" si="12">E119*C119</f>
        <v>2400000</v>
      </c>
    </row>
    <row r="120" spans="2:10" x14ac:dyDescent="0.2">
      <c r="B120" s="154" t="s">
        <v>236</v>
      </c>
      <c r="C120" s="154">
        <v>24</v>
      </c>
      <c r="D120" s="154" t="s">
        <v>13</v>
      </c>
      <c r="E120" s="69">
        <v>1625000</v>
      </c>
      <c r="F120" s="29"/>
      <c r="G120" s="29"/>
      <c r="H120" s="62">
        <f t="shared" si="12"/>
        <v>39000000</v>
      </c>
    </row>
    <row r="121" spans="2:10" s="159" customFormat="1" x14ac:dyDescent="0.2">
      <c r="B121" s="154" t="s">
        <v>59</v>
      </c>
      <c r="C121" s="154">
        <v>24</v>
      </c>
      <c r="D121" s="154" t="s">
        <v>13</v>
      </c>
      <c r="E121" s="69">
        <v>325000</v>
      </c>
      <c r="F121" s="29"/>
      <c r="G121" s="29"/>
      <c r="H121" s="62">
        <f t="shared" si="12"/>
        <v>7800000</v>
      </c>
      <c r="I121" s="161"/>
      <c r="J121" s="162"/>
    </row>
    <row r="122" spans="2:10" s="159" customFormat="1" x14ac:dyDescent="0.2">
      <c r="B122" s="154" t="s">
        <v>487</v>
      </c>
      <c r="C122" s="154">
        <v>12</v>
      </c>
      <c r="D122" s="154" t="s">
        <v>13</v>
      </c>
      <c r="E122" s="69">
        <v>4120000</v>
      </c>
      <c r="F122" s="29"/>
      <c r="G122" s="29"/>
      <c r="H122" s="62">
        <f t="shared" si="12"/>
        <v>49440000</v>
      </c>
      <c r="I122" s="161"/>
      <c r="J122" s="162"/>
    </row>
    <row r="123" spans="2:10" s="168" customFormat="1" x14ac:dyDescent="0.2">
      <c r="B123" s="169" t="s">
        <v>32</v>
      </c>
      <c r="C123" s="166">
        <v>12</v>
      </c>
      <c r="D123" s="170" t="s">
        <v>218</v>
      </c>
      <c r="E123" s="167">
        <v>5000000</v>
      </c>
      <c r="F123" s="166"/>
      <c r="G123" s="30"/>
      <c r="H123" s="62">
        <f t="shared" si="12"/>
        <v>60000000</v>
      </c>
      <c r="I123" s="2"/>
      <c r="J123" s="2"/>
    </row>
    <row r="124" spans="2:10" s="168" customFormat="1" x14ac:dyDescent="0.2">
      <c r="B124" s="169" t="s">
        <v>34</v>
      </c>
      <c r="C124" s="166">
        <v>12</v>
      </c>
      <c r="D124" s="170" t="s">
        <v>218</v>
      </c>
      <c r="E124" s="167">
        <v>1500000</v>
      </c>
      <c r="F124" s="166"/>
      <c r="G124" s="30"/>
      <c r="H124" s="62">
        <f t="shared" si="12"/>
        <v>18000000</v>
      </c>
      <c r="I124" s="2"/>
      <c r="J124" s="2"/>
    </row>
    <row r="125" spans="2:10" s="168" customFormat="1" x14ac:dyDescent="0.2">
      <c r="B125" s="169" t="s">
        <v>137</v>
      </c>
      <c r="C125" s="166">
        <v>12</v>
      </c>
      <c r="D125" s="166" t="s">
        <v>194</v>
      </c>
      <c r="E125" s="167">
        <v>1000000</v>
      </c>
      <c r="F125" s="166"/>
      <c r="G125" s="30"/>
      <c r="H125" s="62">
        <f t="shared" si="12"/>
        <v>12000000</v>
      </c>
      <c r="I125" s="2"/>
      <c r="J125" s="2"/>
    </row>
    <row r="126" spans="2:10" s="168" customFormat="1" x14ac:dyDescent="0.2">
      <c r="B126" s="169" t="s">
        <v>30</v>
      </c>
      <c r="C126" s="166">
        <v>12</v>
      </c>
      <c r="D126" s="166" t="s">
        <v>194</v>
      </c>
      <c r="E126" s="167">
        <v>300000</v>
      </c>
      <c r="F126" s="171"/>
      <c r="G126" s="31"/>
      <c r="H126" s="62">
        <f t="shared" si="12"/>
        <v>3600000</v>
      </c>
      <c r="I126" s="2"/>
      <c r="J126" s="2"/>
    </row>
    <row r="127" spans="2:10" x14ac:dyDescent="0.2">
      <c r="B127" s="29" t="s">
        <v>213</v>
      </c>
      <c r="C127" s="29">
        <v>12</v>
      </c>
      <c r="D127" s="29" t="s">
        <v>13</v>
      </c>
      <c r="E127" s="155">
        <v>12284000</v>
      </c>
      <c r="F127" s="29"/>
      <c r="G127" s="29"/>
      <c r="H127" s="62">
        <f t="shared" si="12"/>
        <v>147408000</v>
      </c>
      <c r="I127" s="32"/>
      <c r="J127" s="4"/>
    </row>
    <row r="128" spans="2:10" x14ac:dyDescent="0.2">
      <c r="B128" s="29" t="s">
        <v>251</v>
      </c>
      <c r="C128" s="29">
        <v>24</v>
      </c>
      <c r="D128" s="29" t="s">
        <v>13</v>
      </c>
      <c r="E128" s="155">
        <v>23700000</v>
      </c>
      <c r="F128" s="29"/>
      <c r="G128" s="29"/>
      <c r="H128" s="62">
        <f t="shared" si="12"/>
        <v>568800000</v>
      </c>
      <c r="I128" s="32"/>
      <c r="J128" s="4"/>
    </row>
    <row r="129" spans="2:10" x14ac:dyDescent="0.2">
      <c r="B129" s="158" t="s">
        <v>257</v>
      </c>
      <c r="C129" s="29">
        <v>24</v>
      </c>
      <c r="D129" s="29" t="s">
        <v>13</v>
      </c>
      <c r="E129" s="155">
        <v>10000000</v>
      </c>
      <c r="F129" s="29"/>
      <c r="G129" s="29"/>
      <c r="H129" s="62">
        <f t="shared" si="12"/>
        <v>240000000</v>
      </c>
      <c r="I129" s="32"/>
      <c r="J129" s="4"/>
    </row>
    <row r="130" spans="2:10" x14ac:dyDescent="0.2">
      <c r="B130" s="158" t="s">
        <v>252</v>
      </c>
      <c r="C130" s="29">
        <v>24</v>
      </c>
      <c r="D130" s="29" t="s">
        <v>13</v>
      </c>
      <c r="E130" s="155">
        <v>3800000</v>
      </c>
      <c r="F130" s="29"/>
      <c r="G130" s="29"/>
      <c r="H130" s="62">
        <f t="shared" si="12"/>
        <v>91200000</v>
      </c>
      <c r="I130" s="32"/>
      <c r="J130" s="4"/>
    </row>
    <row r="131" spans="2:10" x14ac:dyDescent="0.2">
      <c r="B131" s="158" t="s">
        <v>254</v>
      </c>
      <c r="C131" s="29">
        <v>12</v>
      </c>
      <c r="D131" s="29" t="s">
        <v>13</v>
      </c>
      <c r="E131" s="155">
        <v>27000000</v>
      </c>
      <c r="F131" s="29"/>
      <c r="G131" s="29"/>
      <c r="H131" s="62">
        <f t="shared" si="12"/>
        <v>324000000</v>
      </c>
      <c r="I131" s="32"/>
      <c r="J131" s="4"/>
    </row>
    <row r="132" spans="2:10" s="159" customFormat="1" x14ac:dyDescent="0.2">
      <c r="B132" s="154" t="s">
        <v>1114</v>
      </c>
      <c r="C132" s="154">
        <v>12</v>
      </c>
      <c r="D132" s="154" t="s">
        <v>73</v>
      </c>
      <c r="E132" s="69">
        <v>400000000</v>
      </c>
      <c r="F132" s="212">
        <v>7.4999999999999997E-2</v>
      </c>
      <c r="G132" s="154"/>
      <c r="H132" s="62">
        <f>C132*E132*F132</f>
        <v>360000000</v>
      </c>
      <c r="I132" s="161"/>
      <c r="J132" s="162"/>
    </row>
    <row r="133" spans="2:10" s="159" customFormat="1" x14ac:dyDescent="0.2">
      <c r="B133" s="154" t="s">
        <v>483</v>
      </c>
      <c r="C133" s="154">
        <v>1</v>
      </c>
      <c r="D133" s="154" t="s">
        <v>13</v>
      </c>
      <c r="E133" s="69">
        <v>5032173</v>
      </c>
      <c r="F133" s="212"/>
      <c r="G133" s="154">
        <v>4</v>
      </c>
      <c r="H133" s="62">
        <f>C133*E133*G133</f>
        <v>20128692</v>
      </c>
      <c r="I133" s="161"/>
      <c r="J133" s="162"/>
    </row>
    <row r="134" spans="2:10" s="159" customFormat="1" x14ac:dyDescent="0.2">
      <c r="B134" s="154" t="s">
        <v>193</v>
      </c>
      <c r="C134" s="154">
        <v>4</v>
      </c>
      <c r="D134" s="154" t="s">
        <v>36</v>
      </c>
      <c r="E134" s="69">
        <v>7862772</v>
      </c>
      <c r="F134" s="152">
        <v>1</v>
      </c>
      <c r="G134" s="154">
        <v>10</v>
      </c>
      <c r="H134" s="164">
        <f>C134*E134*F134*G134</f>
        <v>314510880</v>
      </c>
      <c r="I134" s="161"/>
      <c r="J134" s="162"/>
    </row>
    <row r="135" spans="2:10" s="159" customFormat="1" x14ac:dyDescent="0.2">
      <c r="B135" s="154" t="s">
        <v>249</v>
      </c>
      <c r="C135" s="154">
        <v>8</v>
      </c>
      <c r="D135" s="154" t="s">
        <v>38</v>
      </c>
      <c r="E135" s="69">
        <v>1213122</v>
      </c>
      <c r="F135" s="154"/>
      <c r="G135" s="154"/>
      <c r="H135" s="164">
        <f>C135*E135</f>
        <v>9704976</v>
      </c>
      <c r="I135" s="161"/>
      <c r="J135" s="162"/>
    </row>
    <row r="136" spans="2:10" x14ac:dyDescent="0.2">
      <c r="B136" s="154" t="s">
        <v>248</v>
      </c>
      <c r="C136" s="154">
        <v>4</v>
      </c>
      <c r="D136" s="154" t="s">
        <v>40</v>
      </c>
      <c r="E136" s="69">
        <v>1438122</v>
      </c>
      <c r="F136" s="154"/>
      <c r="G136" s="154"/>
      <c r="H136" s="164">
        <f>E136*C136</f>
        <v>5752488</v>
      </c>
    </row>
    <row r="137" spans="2:10" x14ac:dyDescent="0.2">
      <c r="B137" s="29" t="s">
        <v>41</v>
      </c>
      <c r="C137" s="29">
        <v>12</v>
      </c>
      <c r="D137" s="29" t="s">
        <v>36</v>
      </c>
      <c r="E137" s="34">
        <v>3931384</v>
      </c>
      <c r="F137" s="36">
        <v>1</v>
      </c>
      <c r="G137" s="29">
        <v>12</v>
      </c>
      <c r="H137" s="164">
        <f>+C137*E137*F137*G137</f>
        <v>566119296</v>
      </c>
    </row>
    <row r="138" spans="2:10" x14ac:dyDescent="0.2">
      <c r="B138" s="29" t="s">
        <v>43</v>
      </c>
      <c r="C138" s="29">
        <f>+C137</f>
        <v>12</v>
      </c>
      <c r="D138" s="29" t="s">
        <v>195</v>
      </c>
      <c r="E138" s="34">
        <v>1160000</v>
      </c>
      <c r="F138" s="36"/>
      <c r="G138" s="29">
        <v>12</v>
      </c>
      <c r="H138" s="164">
        <f>+C138*E138*G138</f>
        <v>167040000</v>
      </c>
    </row>
    <row r="139" spans="2:10" x14ac:dyDescent="0.2">
      <c r="B139" s="29" t="s">
        <v>44</v>
      </c>
      <c r="C139" s="29">
        <f>+C137</f>
        <v>12</v>
      </c>
      <c r="D139" s="29" t="s">
        <v>195</v>
      </c>
      <c r="E139" s="30">
        <v>120000</v>
      </c>
      <c r="F139" s="29"/>
      <c r="G139" s="29">
        <v>12</v>
      </c>
      <c r="H139" s="164">
        <f>+C139*E139*G139</f>
        <v>17280000</v>
      </c>
      <c r="I139" s="35"/>
      <c r="J139" s="4"/>
    </row>
    <row r="140" spans="2:10" x14ac:dyDescent="0.2">
      <c r="B140" s="158" t="s">
        <v>255</v>
      </c>
      <c r="C140" s="29"/>
      <c r="D140" s="29"/>
      <c r="E140" s="155"/>
      <c r="F140" s="29"/>
      <c r="G140" s="29"/>
      <c r="H140" s="62" t="s">
        <v>46</v>
      </c>
      <c r="I140" s="32"/>
      <c r="J140" s="4"/>
    </row>
    <row r="141" spans="2:10" ht="15" x14ac:dyDescent="0.25">
      <c r="B141" s="29" t="s">
        <v>250</v>
      </c>
      <c r="C141" s="29"/>
      <c r="D141" s="29"/>
      <c r="E141" s="69"/>
      <c r="F141" s="29"/>
      <c r="G141" s="29"/>
      <c r="H141" s="62" t="s">
        <v>46</v>
      </c>
      <c r="I141" s="57" t="s">
        <v>501</v>
      </c>
      <c r="J141" s="4"/>
    </row>
    <row r="142" spans="2:10" ht="15" x14ac:dyDescent="0.25">
      <c r="B142" s="39" t="s">
        <v>11</v>
      </c>
      <c r="C142" s="41"/>
      <c r="D142" s="41"/>
      <c r="E142" s="42"/>
      <c r="F142" s="42"/>
      <c r="G142" s="41"/>
      <c r="H142" s="57">
        <f>SUM(H118:H141)-H131-H132</f>
        <v>2352184332</v>
      </c>
      <c r="I142" s="57">
        <f>H142/12</f>
        <v>196015361</v>
      </c>
    </row>
    <row r="143" spans="2:10" ht="15" x14ac:dyDescent="0.25">
      <c r="B143" s="39" t="s">
        <v>285</v>
      </c>
      <c r="C143" s="41"/>
      <c r="D143" s="41"/>
      <c r="E143" s="42"/>
      <c r="F143" s="42"/>
      <c r="G143" s="41"/>
      <c r="H143" s="57">
        <f>SUM(H118:H141)</f>
        <v>3036184332</v>
      </c>
    </row>
    <row r="144" spans="2:10" s="159" customFormat="1" ht="199.5" hidden="1" x14ac:dyDescent="0.2">
      <c r="B144" s="283" t="s">
        <v>258</v>
      </c>
      <c r="C144" s="174"/>
      <c r="D144" s="174"/>
      <c r="E144" s="174"/>
      <c r="F144" s="174"/>
      <c r="G144" s="174"/>
      <c r="H144" s="160"/>
      <c r="I144" s="2"/>
      <c r="J144" s="2"/>
    </row>
    <row r="146" spans="2:2" ht="285" x14ac:dyDescent="0.2">
      <c r="B146" s="112" t="s">
        <v>1113</v>
      </c>
    </row>
  </sheetData>
  <sheetProtection algorithmName="SHA-512" hashValue="N8YX+kA0OLJIek9QQjUKMss/YJ4DAf2Y8wDEJI/7GF4dneVVMObvbd0P5dLaf35bEja8Tz17q/ycr2wIBs9GQg==" saltValue="DpFe8YXHWN/JnqjfEXwKNw==" spinCount="100000" sheet="1" objects="1" scenarios="1"/>
  <mergeCells count="29">
    <mergeCell ref="B113:H113"/>
    <mergeCell ref="B115:H115"/>
    <mergeCell ref="B116:H116"/>
    <mergeCell ref="B114:H114"/>
    <mergeCell ref="B84:H84"/>
    <mergeCell ref="B83:H83"/>
    <mergeCell ref="B110:H110"/>
    <mergeCell ref="B111:H111"/>
    <mergeCell ref="B112:H112"/>
    <mergeCell ref="B79:H79"/>
    <mergeCell ref="B80:H80"/>
    <mergeCell ref="B81:H81"/>
    <mergeCell ref="B82:H82"/>
    <mergeCell ref="B15:H16"/>
    <mergeCell ref="B48:H48"/>
    <mergeCell ref="B78:H78"/>
    <mergeCell ref="B109:H109"/>
    <mergeCell ref="B17:H17"/>
    <mergeCell ref="B18:H18"/>
    <mergeCell ref="B19:H19"/>
    <mergeCell ref="B20:H20"/>
    <mergeCell ref="B21:H21"/>
    <mergeCell ref="B22:H22"/>
    <mergeCell ref="B50:H50"/>
    <mergeCell ref="B51:H51"/>
    <mergeCell ref="B52:H52"/>
    <mergeCell ref="B53:H53"/>
    <mergeCell ref="B54:H54"/>
    <mergeCell ref="B55:H5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2:Z93"/>
  <sheetViews>
    <sheetView showGridLines="0" zoomScale="60" zoomScaleNormal="60" workbookViewId="0">
      <selection activeCell="B3" sqref="B3"/>
    </sheetView>
  </sheetViews>
  <sheetFormatPr baseColWidth="10" defaultColWidth="10.7109375" defaultRowHeight="14.25" x14ac:dyDescent="0.2"/>
  <cols>
    <col min="1" max="1" width="14.28515625" style="2" customWidth="1"/>
    <col min="2" max="2" width="67.42578125" style="2" customWidth="1"/>
    <col min="3" max="3" width="26.42578125" style="2" customWidth="1"/>
    <col min="4" max="4" width="27.140625" style="2" customWidth="1"/>
    <col min="5" max="5" width="22.42578125" style="2" customWidth="1"/>
    <col min="6" max="7" width="19.7109375" style="2" bestFit="1" customWidth="1"/>
    <col min="8" max="8" width="21.42578125" style="2" customWidth="1"/>
    <col min="9" max="11" width="19.7109375" style="2" bestFit="1" customWidth="1"/>
    <col min="12" max="12" width="22.42578125" style="2" bestFit="1" customWidth="1"/>
    <col min="13" max="22" width="19.7109375" style="2" bestFit="1" customWidth="1"/>
    <col min="23" max="23" width="20.42578125" style="2" bestFit="1" customWidth="1"/>
    <col min="24" max="24" width="25.42578125" style="2" customWidth="1"/>
    <col min="25" max="25" width="22.28515625" style="2" bestFit="1" customWidth="1"/>
    <col min="26" max="26" width="19.140625" style="2" bestFit="1" customWidth="1"/>
    <col min="27" max="27" width="17" style="2" bestFit="1" customWidth="1"/>
    <col min="28" max="28" width="17.85546875" style="2" customWidth="1"/>
    <col min="29" max="16384" width="10.7109375" style="2"/>
  </cols>
  <sheetData>
    <row r="2" spans="1:26" ht="15" x14ac:dyDescent="0.25">
      <c r="A2" s="1" t="s">
        <v>0</v>
      </c>
    </row>
    <row r="3" spans="1:26" s="4" customFormat="1" ht="15" x14ac:dyDescent="0.25">
      <c r="A3" s="3"/>
    </row>
    <row r="4" spans="1:26" ht="21.6" customHeight="1" x14ac:dyDescent="0.25">
      <c r="A4" s="5"/>
      <c r="B4" s="6" t="str">
        <f>Portafolio_PA_Papa!C89</f>
        <v>6. Fortalecimiento de la investigación, desarrollo e innovación, en la cadena de la papa</v>
      </c>
      <c r="C4" s="7"/>
      <c r="D4" s="8"/>
    </row>
    <row r="5" spans="1:26" ht="26.1" customHeight="1" x14ac:dyDescent="0.2"/>
    <row r="6" spans="1:26" ht="15" x14ac:dyDescent="0.25">
      <c r="E6" s="9">
        <v>1</v>
      </c>
      <c r="F6" s="9">
        <v>2</v>
      </c>
      <c r="G6" s="9">
        <v>3</v>
      </c>
      <c r="H6" s="9">
        <v>4</v>
      </c>
      <c r="I6" s="9">
        <v>5</v>
      </c>
      <c r="J6" s="9">
        <v>6</v>
      </c>
      <c r="K6" s="9">
        <v>7</v>
      </c>
      <c r="L6" s="9">
        <v>8</v>
      </c>
      <c r="M6" s="9">
        <v>9</v>
      </c>
      <c r="N6" s="9">
        <v>10</v>
      </c>
      <c r="O6" s="9">
        <v>11</v>
      </c>
      <c r="P6" s="9">
        <v>12</v>
      </c>
      <c r="Q6" s="9">
        <v>13</v>
      </c>
      <c r="R6" s="9">
        <v>14</v>
      </c>
      <c r="S6" s="9">
        <v>15</v>
      </c>
      <c r="T6" s="9">
        <v>16</v>
      </c>
      <c r="U6" s="9">
        <v>17</v>
      </c>
      <c r="V6" s="9">
        <v>18</v>
      </c>
      <c r="W6" s="9">
        <v>19</v>
      </c>
      <c r="X6" s="9">
        <v>20</v>
      </c>
      <c r="Y6" s="9" t="s">
        <v>1</v>
      </c>
    </row>
    <row r="7" spans="1:26" s="13" customFormat="1" ht="15" x14ac:dyDescent="0.25">
      <c r="A7" s="2"/>
      <c r="B7" s="10" t="s">
        <v>2</v>
      </c>
      <c r="C7" s="11" t="s">
        <v>3</v>
      </c>
      <c r="D7" s="11" t="s">
        <v>4</v>
      </c>
      <c r="E7" s="12">
        <f t="shared" ref="E7:X7" si="0">SUM(E8:E9)</f>
        <v>752532334.73000002</v>
      </c>
      <c r="F7" s="12">
        <f t="shared" si="0"/>
        <v>4271544443.4166665</v>
      </c>
      <c r="G7" s="12">
        <f t="shared" si="0"/>
        <v>4596961001.75</v>
      </c>
      <c r="H7" s="12">
        <f t="shared" si="0"/>
        <v>4596961001.75</v>
      </c>
      <c r="I7" s="12">
        <f t="shared" si="0"/>
        <v>4596961001.75</v>
      </c>
      <c r="J7" s="12">
        <f t="shared" si="0"/>
        <v>4596961001.75</v>
      </c>
      <c r="K7" s="12">
        <f t="shared" si="0"/>
        <v>4596961001.75</v>
      </c>
      <c r="L7" s="12">
        <f t="shared" si="0"/>
        <v>4596961001.75</v>
      </c>
      <c r="M7" s="12">
        <f t="shared" si="0"/>
        <v>4596961001.75</v>
      </c>
      <c r="N7" s="12">
        <f t="shared" si="0"/>
        <v>4596961001.75</v>
      </c>
      <c r="O7" s="12">
        <f t="shared" si="0"/>
        <v>4596961001.75</v>
      </c>
      <c r="P7" s="12">
        <f t="shared" si="0"/>
        <v>4210096354.1900001</v>
      </c>
      <c r="Q7" s="12">
        <f t="shared" si="0"/>
        <v>4210096354.1900001</v>
      </c>
      <c r="R7" s="12">
        <f t="shared" si="0"/>
        <v>4210096354.1900001</v>
      </c>
      <c r="S7" s="12">
        <f t="shared" si="0"/>
        <v>4210096354.1900001</v>
      </c>
      <c r="T7" s="12">
        <f t="shared" si="0"/>
        <v>4210096354.1900001</v>
      </c>
      <c r="U7" s="12">
        <f t="shared" si="0"/>
        <v>4210096354.1900001</v>
      </c>
      <c r="V7" s="12">
        <f t="shared" si="0"/>
        <v>4210096354.1900001</v>
      </c>
      <c r="W7" s="12">
        <f t="shared" si="0"/>
        <v>4210096354.1900001</v>
      </c>
      <c r="X7" s="12">
        <f t="shared" si="0"/>
        <v>4210096354.1900001</v>
      </c>
      <c r="Y7" s="12">
        <f>SUM(E7:X7)</f>
        <v>84287592981.606689</v>
      </c>
    </row>
    <row r="8" spans="1:26" s="18" customFormat="1" ht="60" customHeight="1" x14ac:dyDescent="0.2">
      <c r="A8" s="14"/>
      <c r="B8" s="65" t="str">
        <f>Portafolio_PA_Papa!D89</f>
        <v>6.1. Impulso a los procesos de I+D+i y de extensión agrícola e industrial, para la cadena</v>
      </c>
      <c r="C8" s="16" t="s">
        <v>494</v>
      </c>
      <c r="D8" s="16" t="s">
        <v>493</v>
      </c>
      <c r="E8" s="17">
        <f>I52*4</f>
        <v>752532334.73000002</v>
      </c>
      <c r="F8" s="17">
        <f>H53</f>
        <v>2644461651.75</v>
      </c>
      <c r="G8" s="17">
        <f t="shared" ref="G8:O8" si="1">F8</f>
        <v>2644461651.75</v>
      </c>
      <c r="H8" s="17">
        <f t="shared" si="1"/>
        <v>2644461651.75</v>
      </c>
      <c r="I8" s="17">
        <f t="shared" si="1"/>
        <v>2644461651.75</v>
      </c>
      <c r="J8" s="17">
        <f t="shared" si="1"/>
        <v>2644461651.75</v>
      </c>
      <c r="K8" s="17">
        <f t="shared" si="1"/>
        <v>2644461651.75</v>
      </c>
      <c r="L8" s="17">
        <f t="shared" si="1"/>
        <v>2644461651.75</v>
      </c>
      <c r="M8" s="17">
        <f t="shared" si="1"/>
        <v>2644461651.75</v>
      </c>
      <c r="N8" s="17">
        <f t="shared" si="1"/>
        <v>2644461651.75</v>
      </c>
      <c r="O8" s="17">
        <f t="shared" si="1"/>
        <v>2644461651.75</v>
      </c>
      <c r="P8" s="17">
        <f>H52</f>
        <v>2257597004.1900001</v>
      </c>
      <c r="Q8" s="17">
        <f t="shared" ref="Q8:X9" si="2">P8</f>
        <v>2257597004.1900001</v>
      </c>
      <c r="R8" s="17">
        <f t="shared" si="2"/>
        <v>2257597004.1900001</v>
      </c>
      <c r="S8" s="17">
        <f t="shared" si="2"/>
        <v>2257597004.1900001</v>
      </c>
      <c r="T8" s="17">
        <f t="shared" si="2"/>
        <v>2257597004.1900001</v>
      </c>
      <c r="U8" s="17">
        <f t="shared" si="2"/>
        <v>2257597004.1900001</v>
      </c>
      <c r="V8" s="17">
        <f t="shared" si="2"/>
        <v>2257597004.1900001</v>
      </c>
      <c r="W8" s="17">
        <f t="shared" si="2"/>
        <v>2257597004.1900001</v>
      </c>
      <c r="X8" s="17">
        <f t="shared" si="2"/>
        <v>2257597004.1900001</v>
      </c>
      <c r="Y8" s="17">
        <f>SUM(E8:X8)</f>
        <v>47515521889.94001</v>
      </c>
    </row>
    <row r="9" spans="1:26" s="18" customFormat="1" ht="42.95" customHeight="1" x14ac:dyDescent="0.2">
      <c r="A9" s="14"/>
      <c r="B9" s="65" t="str">
        <f>Portafolio_PA_Papa!D98</f>
        <v>6.2. Fortalecimiento del talento humano en I+D+i, y en extensionismo agrícola e industrial</v>
      </c>
      <c r="C9" s="16" t="s">
        <v>495</v>
      </c>
      <c r="D9" s="16" t="s">
        <v>493</v>
      </c>
      <c r="E9" s="17"/>
      <c r="F9" s="17">
        <f>I91*10</f>
        <v>1627082791.6666665</v>
      </c>
      <c r="G9" s="17">
        <f>H91</f>
        <v>1952499350</v>
      </c>
      <c r="H9" s="17">
        <f t="shared" ref="H9:O9" si="3">G9</f>
        <v>1952499350</v>
      </c>
      <c r="I9" s="17">
        <f t="shared" si="3"/>
        <v>1952499350</v>
      </c>
      <c r="J9" s="17">
        <f t="shared" si="3"/>
        <v>1952499350</v>
      </c>
      <c r="K9" s="17">
        <f t="shared" si="3"/>
        <v>1952499350</v>
      </c>
      <c r="L9" s="17">
        <f t="shared" si="3"/>
        <v>1952499350</v>
      </c>
      <c r="M9" s="17">
        <f t="shared" si="3"/>
        <v>1952499350</v>
      </c>
      <c r="N9" s="17">
        <f t="shared" si="3"/>
        <v>1952499350</v>
      </c>
      <c r="O9" s="17">
        <f t="shared" si="3"/>
        <v>1952499350</v>
      </c>
      <c r="P9" s="17">
        <f>O9</f>
        <v>1952499350</v>
      </c>
      <c r="Q9" s="17">
        <f t="shared" si="2"/>
        <v>1952499350</v>
      </c>
      <c r="R9" s="17">
        <f t="shared" si="2"/>
        <v>1952499350</v>
      </c>
      <c r="S9" s="17">
        <f t="shared" si="2"/>
        <v>1952499350</v>
      </c>
      <c r="T9" s="17">
        <f t="shared" si="2"/>
        <v>1952499350</v>
      </c>
      <c r="U9" s="17">
        <f t="shared" si="2"/>
        <v>1952499350</v>
      </c>
      <c r="V9" s="17">
        <f t="shared" si="2"/>
        <v>1952499350</v>
      </c>
      <c r="W9" s="17">
        <f t="shared" si="2"/>
        <v>1952499350</v>
      </c>
      <c r="X9" s="17">
        <f t="shared" si="2"/>
        <v>1952499350</v>
      </c>
      <c r="Y9" s="17">
        <f>SUM(E9:X9)</f>
        <v>36772071091.666664</v>
      </c>
    </row>
    <row r="10" spans="1:26" s="13" customFormat="1" ht="24.6" customHeight="1" x14ac:dyDescent="0.25">
      <c r="A10" s="2"/>
      <c r="B10" s="10" t="s">
        <v>1</v>
      </c>
      <c r="C10" s="10"/>
      <c r="D10" s="10"/>
      <c r="E10" s="19">
        <f t="shared" ref="E10:Y10" si="4">E8+E9</f>
        <v>752532334.73000002</v>
      </c>
      <c r="F10" s="19">
        <f t="shared" si="4"/>
        <v>4271544443.4166665</v>
      </c>
      <c r="G10" s="19">
        <f t="shared" si="4"/>
        <v>4596961001.75</v>
      </c>
      <c r="H10" s="19">
        <f t="shared" si="4"/>
        <v>4596961001.75</v>
      </c>
      <c r="I10" s="19">
        <f t="shared" si="4"/>
        <v>4596961001.75</v>
      </c>
      <c r="J10" s="19">
        <f t="shared" si="4"/>
        <v>4596961001.75</v>
      </c>
      <c r="K10" s="19">
        <f t="shared" si="4"/>
        <v>4596961001.75</v>
      </c>
      <c r="L10" s="19">
        <f t="shared" si="4"/>
        <v>4596961001.75</v>
      </c>
      <c r="M10" s="19">
        <f t="shared" si="4"/>
        <v>4596961001.75</v>
      </c>
      <c r="N10" s="19">
        <f t="shared" si="4"/>
        <v>4596961001.75</v>
      </c>
      <c r="O10" s="19">
        <f t="shared" si="4"/>
        <v>4596961001.75</v>
      </c>
      <c r="P10" s="19">
        <f t="shared" si="4"/>
        <v>4210096354.1900001</v>
      </c>
      <c r="Q10" s="19">
        <f t="shared" si="4"/>
        <v>4210096354.1900001</v>
      </c>
      <c r="R10" s="19">
        <f t="shared" si="4"/>
        <v>4210096354.1900001</v>
      </c>
      <c r="S10" s="19">
        <f t="shared" si="4"/>
        <v>4210096354.1900001</v>
      </c>
      <c r="T10" s="19">
        <f t="shared" si="4"/>
        <v>4210096354.1900001</v>
      </c>
      <c r="U10" s="19">
        <f t="shared" si="4"/>
        <v>4210096354.1900001</v>
      </c>
      <c r="V10" s="19">
        <f t="shared" si="4"/>
        <v>4210096354.1900001</v>
      </c>
      <c r="W10" s="19">
        <f t="shared" si="4"/>
        <v>4210096354.1900001</v>
      </c>
      <c r="X10" s="19">
        <f t="shared" si="4"/>
        <v>4210096354.1900001</v>
      </c>
      <c r="Y10" s="19">
        <f t="shared" si="4"/>
        <v>84287592981.606674</v>
      </c>
    </row>
    <row r="11" spans="1:26" s="23" customFormat="1" ht="24.6" customHeight="1" x14ac:dyDescent="0.25">
      <c r="A11" s="4"/>
      <c r="B11" s="20"/>
      <c r="C11" s="20"/>
      <c r="D11" s="20"/>
      <c r="E11" s="20"/>
      <c r="F11" s="21"/>
      <c r="G11" s="22"/>
      <c r="H11" s="21"/>
      <c r="I11" s="21"/>
      <c r="J11" s="21"/>
      <c r="K11" s="21"/>
      <c r="L11" s="21"/>
      <c r="M11" s="21"/>
      <c r="N11" s="21"/>
      <c r="O11" s="21"/>
      <c r="P11" s="21"/>
      <c r="Q11" s="21"/>
      <c r="R11" s="21"/>
      <c r="S11" s="21"/>
      <c r="T11" s="21"/>
      <c r="U11" s="21"/>
      <c r="V11" s="21"/>
      <c r="W11" s="21"/>
      <c r="X11" s="21"/>
      <c r="Y11" s="21"/>
      <c r="Z11" s="21"/>
    </row>
    <row r="12" spans="1:26" s="4" customFormat="1" ht="14.45" customHeight="1" x14ac:dyDescent="0.25">
      <c r="B12" s="686" t="str">
        <f>B8</f>
        <v>6.1. Impulso a los procesos de I+D+i y de extensión agrícola e industrial, para la cadena</v>
      </c>
      <c r="C12" s="682"/>
      <c r="D12" s="682"/>
      <c r="E12" s="682"/>
      <c r="F12" s="682"/>
      <c r="G12" s="682"/>
      <c r="H12" s="682"/>
      <c r="I12" s="94"/>
      <c r="X12" s="25"/>
    </row>
    <row r="13" spans="1:26" s="4" customFormat="1" ht="14.45" customHeight="1" x14ac:dyDescent="0.25">
      <c r="B13" s="682"/>
      <c r="C13" s="682"/>
      <c r="D13" s="682"/>
      <c r="E13" s="682"/>
      <c r="F13" s="682"/>
      <c r="G13" s="682"/>
      <c r="H13" s="682"/>
      <c r="I13" s="94"/>
      <c r="X13" s="25"/>
    </row>
    <row r="14" spans="1:26" ht="32.1" customHeight="1" x14ac:dyDescent="0.25">
      <c r="B14" s="683" t="str">
        <f>Portafolio_PA_Papa!E89</f>
        <v>6.1.1. Realizar un estudio de viabilidad técnica, financiera y jurídica, para el diseño y operación de un Centro o Instituto de Investigación Nacional de la cadena de la papa, y de acuerdo con el resultado de este análisis, ejecutar las acciones requeridas para su implementación bajo los lineamientos de Minciencias sobre la creación y funcionamiento de centros o institutos de investigación.</v>
      </c>
      <c r="C14" s="692"/>
      <c r="D14" s="692"/>
      <c r="E14" s="692"/>
      <c r="F14" s="692"/>
      <c r="G14" s="692"/>
      <c r="H14" s="692"/>
    </row>
    <row r="15" spans="1:26" ht="46.5" customHeight="1" x14ac:dyDescent="0.25">
      <c r="B15" s="683" t="str">
        <f>Portafolio_PA_Papa!E90</f>
        <v xml:space="preserve">6.1.2. Concertar y diseñar el modelo de I+D+i, asistencia técnica, y extensión agrícola e industrial, específico para la cadena de la papa, bajo los lineamientos del SNIA (Ley 1876 de 2017), PECTIA, los PDEA y el Plan Nacional de Asistencia Integral Técnica, Tecnológica y de Impulso a la Investigación (Resolución 132 de 2022), con enfoque territorial y con la participación articulada de instituciones y actores públicos y privados, considerando los proyectos ejecutados y en curso en I+D+i y las necesidades en desarrollos tecnológicos y en procesos de extensionismo, de esta cadena.  </v>
      </c>
      <c r="C15" s="692"/>
      <c r="D15" s="692"/>
      <c r="E15" s="692"/>
      <c r="F15" s="692"/>
      <c r="G15" s="692"/>
      <c r="H15" s="692"/>
    </row>
    <row r="16" spans="1:26" ht="45.6" customHeight="1" x14ac:dyDescent="0.25">
      <c r="B16" s="683" t="str">
        <f>Portafolio_PA_Papa!E91</f>
        <v xml:space="preserve">6.1.3. Conformar y fortalecer redes colaborativas bajo esquemas de participación dinámica, conjunta y permanente entre los actores públicos y privados del ámbito regional, nacional e internacional, para la adquisición, modernización y aprovechamiento eficiente de la infraestructura, equipamientos y recursos dirigidos a I+D+i, asistencia técnica, y extensión agrícola e industrial en la cadena de la papa, considerando las instancias, instrumentos y referentes internacionales, existentes en esta materia. </v>
      </c>
      <c r="C16" s="692"/>
      <c r="D16" s="692"/>
      <c r="E16" s="692"/>
      <c r="F16" s="692"/>
      <c r="G16" s="692"/>
      <c r="H16" s="692"/>
    </row>
    <row r="17" spans="2:24" ht="42" customHeight="1" x14ac:dyDescent="0.25">
      <c r="B17" s="683" t="str">
        <f>Portafolio_PA_Papa!E92</f>
        <v xml:space="preserve">6.1.4. Impulsar la actualización de la agenda de I+D+i de la cadena de la papa, liderada por el Minagricultura y Agrosavia, con enfoque regional, en las líneas de investigación estratégicas concertadas por los actores, con énfasis en: desarrollo de nuevas variedades de papa y de insumos, manejo cosecha, poscosecha, almacenamiento y transformación, calidad e inocuidad de insumos y productos, transferencia de tecnología, asistencia técnica e innovación, manejo y sostenibilidad ambiental, gestión climática, innovación de productos para consumo y para procesamiento industrial, y productos diferenciados a partir de  la diversidad genética de la papa colombiana, entre otras líneas de investigación priorizadas por la cadena.  </v>
      </c>
      <c r="C17" s="692"/>
      <c r="D17" s="692"/>
      <c r="E17" s="692"/>
      <c r="F17" s="692"/>
      <c r="G17" s="692"/>
      <c r="H17" s="692"/>
    </row>
    <row r="18" spans="2:24" ht="32.1" customHeight="1" x14ac:dyDescent="0.25">
      <c r="B18" s="683" t="str">
        <f>Portafolio_PA_Papa!E93</f>
        <v xml:space="preserve">6.1.5. Diseñar e implementar una estrategia financiera para la articulación, concurrencia y gestión de fuentes de inversión y financiación públicas y privadas, así como de cooperación internacional, dirigidas a la implementación del modelo de I+D+i, asistencia técnica, y extensión agrícola e industrial, para la cadena de la papa, con enfoque regional en las líneas de investigación estratégicas concertadas por la cadena de la papa. </v>
      </c>
      <c r="C18" s="692"/>
      <c r="D18" s="692"/>
      <c r="E18" s="692"/>
      <c r="F18" s="692"/>
      <c r="G18" s="692"/>
      <c r="H18" s="692"/>
    </row>
    <row r="19" spans="2:24" ht="32.1" customHeight="1" x14ac:dyDescent="0.25">
      <c r="B19" s="683" t="str">
        <f>Portafolio_PA_Papa!E94</f>
        <v xml:space="preserve">6.1.6. Fortalecer el desarrollo de nuevas variedades de papa, con mejores características de rendimiento, calidad, funcionalidad y precocidad que respondan a las necesidades del mercado nacional y de exportación; y para la adaptación a la variabilidad y al cambio climático, priorizando la labor de las  redes de trabajo colaborativas y la asignación de recursos de I+D+i en esta actividad. </v>
      </c>
      <c r="C19" s="692"/>
      <c r="D19" s="692"/>
      <c r="E19" s="692"/>
      <c r="F19" s="692"/>
      <c r="G19" s="692"/>
      <c r="H19" s="692"/>
    </row>
    <row r="20" spans="2:24" ht="32.1" customHeight="1" x14ac:dyDescent="0.25">
      <c r="B20" s="683" t="str">
        <f>Portafolio_PA_Papa!E95</f>
        <v>6.1.7. Conectar la oferta y la demanda de servicios de innovación para la cadena de la papa en propiedad intelectual, desarrollo de nuevos productos, optimización y desarrollo de nuevos procesos, inteligencia competitiva, entre otros, a través de instrumentos de política que promuevan la innovación.</v>
      </c>
      <c r="C20" s="692"/>
      <c r="D20" s="692"/>
      <c r="E20" s="692"/>
      <c r="F20" s="692"/>
      <c r="G20" s="692"/>
      <c r="H20" s="692"/>
    </row>
    <row r="21" spans="2:24" ht="32.1" customHeight="1" x14ac:dyDescent="0.25">
      <c r="B21" s="683" t="str">
        <f>Portafolio_PA_Papa!E96</f>
        <v>6.1.8. Impulsar la creación, desarrollo y/o fortalecimiento de modelos y/o empresas especializadas en la prestación de servicios de asistencia técnica y extensión agrícola e industrial, a través de instrumentos financieros y no financieros.</v>
      </c>
      <c r="C21" s="692"/>
      <c r="D21" s="692"/>
      <c r="E21" s="692"/>
      <c r="F21" s="692"/>
      <c r="G21" s="692"/>
      <c r="H21" s="692"/>
    </row>
    <row r="22" spans="2:24" ht="32.1" customHeight="1" x14ac:dyDescent="0.25">
      <c r="B22" s="683" t="str">
        <f>Portafolio_PA_Papa!E97</f>
        <v>6.1.9. Realizar el seguimiento y monitoreo de los avances en I+D+i de la cadena de la papa, considerando aspectos como vigilancia tecnológica e inteligencia competitiva y diseñar un mecanismo de monitoreo del nivel de adopción e impacto de las tecnologías generadas para esta cadena, armonizado con el SNIA (Ley 1876 de 2017).</v>
      </c>
      <c r="C22" s="692"/>
      <c r="D22" s="692"/>
      <c r="E22" s="692"/>
      <c r="F22" s="692"/>
      <c r="G22" s="692"/>
      <c r="H22" s="692"/>
    </row>
    <row r="23" spans="2:24" ht="32.1" customHeight="1" x14ac:dyDescent="0.25">
      <c r="B23" s="534"/>
      <c r="C23" s="547"/>
      <c r="D23" s="547"/>
      <c r="E23" s="547"/>
      <c r="F23" s="547"/>
      <c r="G23" s="547"/>
      <c r="H23" s="547"/>
    </row>
    <row r="24" spans="2:24" s="4" customFormat="1" ht="14.45" customHeight="1" x14ac:dyDescent="0.25">
      <c r="B24" s="693" t="s">
        <v>1128</v>
      </c>
      <c r="C24" s="698"/>
      <c r="D24" s="698"/>
      <c r="E24" s="698"/>
      <c r="F24" s="698"/>
      <c r="G24" s="698"/>
      <c r="H24" s="698"/>
      <c r="I24" s="318"/>
      <c r="X24" s="25"/>
    </row>
    <row r="25" spans="2:24" ht="15" x14ac:dyDescent="0.25">
      <c r="B25" s="26" t="s">
        <v>5</v>
      </c>
      <c r="C25" s="26" t="s">
        <v>6</v>
      </c>
      <c r="D25" s="26" t="s">
        <v>7</v>
      </c>
      <c r="E25" s="26" t="s">
        <v>8</v>
      </c>
      <c r="F25" s="27" t="s">
        <v>9</v>
      </c>
      <c r="G25" s="26" t="s">
        <v>10</v>
      </c>
      <c r="H25" s="26" t="s">
        <v>11</v>
      </c>
      <c r="X25" s="28"/>
    </row>
    <row r="26" spans="2:24" x14ac:dyDescent="0.2">
      <c r="B26" s="109" t="s">
        <v>192</v>
      </c>
      <c r="C26" s="29">
        <v>11</v>
      </c>
      <c r="D26" s="101" t="s">
        <v>13</v>
      </c>
      <c r="E26" s="30">
        <v>500000</v>
      </c>
      <c r="F26" s="29"/>
      <c r="G26" s="29"/>
      <c r="H26" s="30">
        <f>+C26*E26</f>
        <v>5500000</v>
      </c>
    </row>
    <row r="27" spans="2:24" x14ac:dyDescent="0.2">
      <c r="B27" s="109" t="s">
        <v>14</v>
      </c>
      <c r="C27" s="29">
        <v>4</v>
      </c>
      <c r="D27" s="101" t="s">
        <v>13</v>
      </c>
      <c r="E27" s="30">
        <v>100000</v>
      </c>
      <c r="F27" s="29"/>
      <c r="G27" s="29"/>
      <c r="H27" s="30">
        <f>+C27*E27</f>
        <v>400000</v>
      </c>
    </row>
    <row r="28" spans="2:24" x14ac:dyDescent="0.2">
      <c r="B28" s="109" t="s">
        <v>17</v>
      </c>
      <c r="C28" s="29">
        <v>13</v>
      </c>
      <c r="D28" s="101" t="s">
        <v>13</v>
      </c>
      <c r="E28" s="30">
        <v>1625000</v>
      </c>
      <c r="F28" s="29"/>
      <c r="G28" s="29"/>
      <c r="H28" s="30">
        <f>+C28*E28</f>
        <v>21125000</v>
      </c>
      <c r="I28" s="32"/>
      <c r="J28" s="4"/>
    </row>
    <row r="29" spans="2:24" x14ac:dyDescent="0.2">
      <c r="B29" s="29" t="s">
        <v>18</v>
      </c>
      <c r="C29" s="29">
        <v>4</v>
      </c>
      <c r="D29" s="101" t="s">
        <v>13</v>
      </c>
      <c r="E29" s="30">
        <v>325000</v>
      </c>
      <c r="F29" s="29"/>
      <c r="G29" s="29"/>
      <c r="H29" s="30">
        <f>+C29*E29</f>
        <v>1300000</v>
      </c>
    </row>
    <row r="30" spans="2:24" x14ac:dyDescent="0.2">
      <c r="B30" s="29" t="s">
        <v>279</v>
      </c>
      <c r="C30" s="29">
        <f>2*12</f>
        <v>24</v>
      </c>
      <c r="D30" s="101" t="s">
        <v>13</v>
      </c>
      <c r="E30" s="30">
        <v>1625000</v>
      </c>
      <c r="F30" s="29"/>
      <c r="G30" s="29"/>
      <c r="H30" s="30">
        <f>+C30*E30</f>
        <v>39000000</v>
      </c>
    </row>
    <row r="31" spans="2:24" x14ac:dyDescent="0.2">
      <c r="B31" s="29" t="s">
        <v>533</v>
      </c>
      <c r="C31" s="29">
        <v>4</v>
      </c>
      <c r="D31" s="101" t="s">
        <v>13</v>
      </c>
      <c r="E31" s="30">
        <v>14467506</v>
      </c>
      <c r="F31" s="29"/>
      <c r="G31" s="29">
        <v>6</v>
      </c>
      <c r="H31" s="30">
        <f>C31*E31*G31</f>
        <v>347220144</v>
      </c>
    </row>
    <row r="32" spans="2:24" x14ac:dyDescent="0.2">
      <c r="B32" s="109" t="s">
        <v>153</v>
      </c>
      <c r="C32" s="29">
        <v>2</v>
      </c>
      <c r="D32" s="101" t="s">
        <v>13</v>
      </c>
      <c r="E32" s="34">
        <v>5054654</v>
      </c>
      <c r="F32" s="53"/>
      <c r="G32" s="101"/>
      <c r="H32" s="30">
        <f>C32*E32</f>
        <v>10109308</v>
      </c>
    </row>
    <row r="33" spans="2:10" x14ac:dyDescent="0.2">
      <c r="B33" s="101" t="s">
        <v>143</v>
      </c>
      <c r="C33" s="29">
        <v>6</v>
      </c>
      <c r="D33" s="101" t="s">
        <v>13</v>
      </c>
      <c r="E33" s="34">
        <v>23700000</v>
      </c>
      <c r="F33" s="29"/>
      <c r="G33" s="29"/>
      <c r="H33" s="30">
        <f>C33*E33</f>
        <v>142200000</v>
      </c>
    </row>
    <row r="34" spans="2:10" x14ac:dyDescent="0.2">
      <c r="B34" s="101" t="s">
        <v>142</v>
      </c>
      <c r="C34" s="29">
        <v>6</v>
      </c>
      <c r="D34" s="101" t="s">
        <v>13</v>
      </c>
      <c r="E34" s="34">
        <v>10000000</v>
      </c>
      <c r="F34" s="29"/>
      <c r="G34" s="29"/>
      <c r="H34" s="30">
        <f t="shared" ref="H34" si="5">C34*E34</f>
        <v>60000000</v>
      </c>
    </row>
    <row r="35" spans="2:10" x14ac:dyDescent="0.2">
      <c r="B35" s="101" t="s">
        <v>136</v>
      </c>
      <c r="C35" s="29">
        <v>12</v>
      </c>
      <c r="D35" s="101" t="s">
        <v>13</v>
      </c>
      <c r="E35" s="34">
        <v>5000000</v>
      </c>
      <c r="F35" s="29"/>
      <c r="G35" s="29"/>
      <c r="H35" s="30">
        <f>C35*E34</f>
        <v>120000000</v>
      </c>
    </row>
    <row r="36" spans="2:10" x14ac:dyDescent="0.2">
      <c r="B36" s="101" t="s">
        <v>482</v>
      </c>
      <c r="C36" s="29">
        <v>12</v>
      </c>
      <c r="D36" s="101" t="s">
        <v>13</v>
      </c>
      <c r="E36" s="34">
        <v>1500000</v>
      </c>
      <c r="F36" s="29"/>
      <c r="G36" s="29"/>
      <c r="H36" s="30">
        <f>C36*E36</f>
        <v>18000000</v>
      </c>
    </row>
    <row r="37" spans="2:10" x14ac:dyDescent="0.2">
      <c r="B37" s="29" t="s">
        <v>198</v>
      </c>
      <c r="C37" s="29">
        <v>2</v>
      </c>
      <c r="D37" s="29" t="s">
        <v>55</v>
      </c>
      <c r="E37" s="30">
        <v>13432323.779999999</v>
      </c>
      <c r="F37" s="29"/>
      <c r="G37" s="29"/>
      <c r="H37" s="30">
        <f t="shared" ref="H37:H39" si="6">C37*E37</f>
        <v>26864647.559999999</v>
      </c>
      <c r="I37" s="32"/>
      <c r="J37" s="4"/>
    </row>
    <row r="38" spans="2:10" x14ac:dyDescent="0.2">
      <c r="B38" s="29" t="s">
        <v>199</v>
      </c>
      <c r="C38" s="29">
        <v>2</v>
      </c>
      <c r="D38" s="29" t="s">
        <v>55</v>
      </c>
      <c r="E38" s="30">
        <v>38953149.899999999</v>
      </c>
      <c r="F38" s="29"/>
      <c r="G38" s="29"/>
      <c r="H38" s="30">
        <f t="shared" si="6"/>
        <v>77906299.799999997</v>
      </c>
      <c r="I38" s="32"/>
      <c r="J38" s="4"/>
    </row>
    <row r="39" spans="2:10" x14ac:dyDescent="0.2">
      <c r="B39" s="29" t="s">
        <v>200</v>
      </c>
      <c r="C39" s="29">
        <v>2</v>
      </c>
      <c r="D39" s="29" t="s">
        <v>55</v>
      </c>
      <c r="E39" s="30">
        <v>49497312.195</v>
      </c>
      <c r="F39" s="29"/>
      <c r="G39" s="29"/>
      <c r="H39" s="30">
        <f t="shared" si="6"/>
        <v>98994624.390000001</v>
      </c>
      <c r="I39" s="32"/>
      <c r="J39" s="4"/>
    </row>
    <row r="40" spans="2:10" x14ac:dyDescent="0.2">
      <c r="B40" s="29" t="s">
        <v>201</v>
      </c>
      <c r="C40" s="29">
        <v>12</v>
      </c>
      <c r="D40" s="29" t="s">
        <v>55</v>
      </c>
      <c r="E40" s="30">
        <v>30000000</v>
      </c>
      <c r="F40" s="29"/>
      <c r="G40" s="29"/>
      <c r="H40" s="30">
        <f>C40*E40</f>
        <v>360000000</v>
      </c>
      <c r="I40" s="32"/>
      <c r="J40" s="4"/>
    </row>
    <row r="41" spans="2:10" x14ac:dyDescent="0.2">
      <c r="B41" s="109" t="s">
        <v>280</v>
      </c>
      <c r="C41" s="29">
        <v>2</v>
      </c>
      <c r="D41" s="101" t="s">
        <v>87</v>
      </c>
      <c r="E41" s="34">
        <v>6604729</v>
      </c>
      <c r="F41" s="53"/>
      <c r="G41" s="101">
        <v>6</v>
      </c>
      <c r="H41" s="30">
        <f>C41*E41*G41</f>
        <v>79256748</v>
      </c>
    </row>
    <row r="42" spans="2:10" x14ac:dyDescent="0.2">
      <c r="B42" s="109" t="s">
        <v>193</v>
      </c>
      <c r="C42" s="101">
        <v>4</v>
      </c>
      <c r="D42" s="101" t="s">
        <v>194</v>
      </c>
      <c r="E42" s="34">
        <v>9907096</v>
      </c>
      <c r="F42" s="53">
        <v>1</v>
      </c>
      <c r="G42" s="101">
        <v>12</v>
      </c>
      <c r="H42" s="30">
        <f>+C42*E42*F42*G42</f>
        <v>475540608</v>
      </c>
    </row>
    <row r="43" spans="2:10" x14ac:dyDescent="0.2">
      <c r="B43" s="29" t="s">
        <v>88</v>
      </c>
      <c r="C43" s="29">
        <v>4</v>
      </c>
      <c r="D43" s="50" t="s">
        <v>87</v>
      </c>
      <c r="E43" s="34">
        <v>1213122</v>
      </c>
      <c r="F43" s="29"/>
      <c r="G43" s="29"/>
      <c r="H43" s="30">
        <f>+C43*E43</f>
        <v>4852488</v>
      </c>
    </row>
    <row r="44" spans="2:10" x14ac:dyDescent="0.2">
      <c r="B44" s="29" t="s">
        <v>89</v>
      </c>
      <c r="C44" s="29">
        <v>4</v>
      </c>
      <c r="D44" s="50" t="s">
        <v>87</v>
      </c>
      <c r="E44" s="34">
        <v>1438122</v>
      </c>
      <c r="F44" s="29"/>
      <c r="G44" s="29"/>
      <c r="H44" s="30">
        <f>+E44*C44</f>
        <v>5752488</v>
      </c>
    </row>
    <row r="45" spans="2:10" x14ac:dyDescent="0.2">
      <c r="B45" s="109" t="s">
        <v>100</v>
      </c>
      <c r="C45" s="29">
        <v>12</v>
      </c>
      <c r="D45" s="101" t="s">
        <v>145</v>
      </c>
      <c r="E45" s="34">
        <v>3931384</v>
      </c>
      <c r="F45" s="53">
        <v>1</v>
      </c>
      <c r="G45" s="101">
        <v>12</v>
      </c>
      <c r="H45" s="30">
        <f>+C45*E45*F45*G45</f>
        <v>566119296</v>
      </c>
    </row>
    <row r="46" spans="2:10" x14ac:dyDescent="0.2">
      <c r="B46" s="101" t="s">
        <v>43</v>
      </c>
      <c r="C46" s="29">
        <v>12</v>
      </c>
      <c r="D46" s="101" t="s">
        <v>195</v>
      </c>
      <c r="E46" s="34">
        <v>1160000</v>
      </c>
      <c r="F46" s="29"/>
      <c r="G46" s="29">
        <v>12</v>
      </c>
      <c r="H46" s="30">
        <f>+C46*E46*G46</f>
        <v>167040000</v>
      </c>
    </row>
    <row r="47" spans="2:10" x14ac:dyDescent="0.2">
      <c r="B47" s="101" t="s">
        <v>44</v>
      </c>
      <c r="C47" s="29">
        <v>12</v>
      </c>
      <c r="D47" s="101" t="s">
        <v>195</v>
      </c>
      <c r="E47" s="34">
        <v>120000</v>
      </c>
      <c r="F47" s="36"/>
      <c r="G47" s="29">
        <v>12</v>
      </c>
      <c r="H47" s="30">
        <f>+C47*E47*G47</f>
        <v>17280000</v>
      </c>
    </row>
    <row r="48" spans="2:10" x14ac:dyDescent="0.2">
      <c r="B48" s="113" t="s">
        <v>196</v>
      </c>
      <c r="C48" s="29"/>
      <c r="D48" s="101"/>
      <c r="E48" s="34"/>
      <c r="F48" s="36"/>
      <c r="G48" s="29"/>
      <c r="H48" s="30" t="s">
        <v>46</v>
      </c>
    </row>
    <row r="49" spans="1:9" x14ac:dyDescent="0.2">
      <c r="B49" s="113" t="s">
        <v>197</v>
      </c>
      <c r="C49" s="29"/>
      <c r="D49" s="101"/>
      <c r="E49" s="34"/>
      <c r="F49" s="36"/>
      <c r="G49" s="29"/>
      <c r="H49" s="30" t="s">
        <v>46</v>
      </c>
    </row>
    <row r="50" spans="1:9" x14ac:dyDescent="0.2">
      <c r="B50" s="113" t="s">
        <v>203</v>
      </c>
      <c r="C50" s="29"/>
      <c r="D50" s="101"/>
      <c r="E50" s="34"/>
      <c r="F50" s="36"/>
      <c r="G50" s="29"/>
      <c r="H50" s="30" t="s">
        <v>46</v>
      </c>
    </row>
    <row r="51" spans="1:9" ht="15" x14ac:dyDescent="0.25">
      <c r="B51" s="113" t="s">
        <v>80</v>
      </c>
      <c r="C51" s="29"/>
      <c r="D51" s="101"/>
      <c r="E51" s="34"/>
      <c r="F51" s="36"/>
      <c r="G51" s="29"/>
      <c r="H51" s="30" t="s">
        <v>46</v>
      </c>
      <c r="I51" s="43" t="s">
        <v>501</v>
      </c>
    </row>
    <row r="52" spans="1:9" ht="15" x14ac:dyDescent="0.25">
      <c r="B52" s="39" t="s">
        <v>1</v>
      </c>
      <c r="C52" s="45"/>
      <c r="D52" s="45"/>
      <c r="E52" s="45"/>
      <c r="F52" s="45"/>
      <c r="G52" s="45"/>
      <c r="H52" s="43">
        <f>SUM(H26:H51)-H37-H40</f>
        <v>2257597004.1900001</v>
      </c>
      <c r="I52" s="43">
        <f>H52/12</f>
        <v>188133083.6825</v>
      </c>
    </row>
    <row r="53" spans="1:9" ht="15" x14ac:dyDescent="0.25">
      <c r="B53" s="39" t="s">
        <v>284</v>
      </c>
      <c r="C53" s="45"/>
      <c r="D53" s="45"/>
      <c r="E53" s="45"/>
      <c r="F53" s="45"/>
      <c r="G53" s="45"/>
      <c r="H53" s="43">
        <f>SUM(H26:H51)</f>
        <v>2644461651.75</v>
      </c>
    </row>
    <row r="54" spans="1:9" ht="408.95" customHeight="1" x14ac:dyDescent="0.2">
      <c r="A54" s="112"/>
      <c r="B54" s="286" t="s">
        <v>1115</v>
      </c>
      <c r="C54" s="45"/>
      <c r="D54" s="45"/>
      <c r="E54" s="45"/>
      <c r="F54" s="45"/>
      <c r="G54" s="45"/>
      <c r="H54" s="45"/>
    </row>
    <row r="55" spans="1:9" ht="15" x14ac:dyDescent="0.25">
      <c r="B55" s="45"/>
      <c r="C55" s="45"/>
      <c r="D55" s="45"/>
      <c r="E55" s="45"/>
      <c r="F55" s="45"/>
      <c r="G55" s="45"/>
      <c r="H55" s="45"/>
      <c r="I55" s="46"/>
    </row>
    <row r="56" spans="1:9" s="4" customFormat="1" ht="14.45" customHeight="1" x14ac:dyDescent="0.25">
      <c r="A56" s="47"/>
      <c r="B56" s="680" t="str">
        <f>B9</f>
        <v>6.2. Fortalecimiento del talento humano en I+D+i, y en extensionismo agrícola e industrial</v>
      </c>
      <c r="C56" s="681"/>
      <c r="D56" s="681"/>
      <c r="E56" s="681"/>
      <c r="F56" s="681"/>
      <c r="G56" s="681"/>
      <c r="H56" s="681"/>
    </row>
    <row r="57" spans="1:9" hidden="1" x14ac:dyDescent="0.2">
      <c r="B57" s="45"/>
      <c r="C57" s="45"/>
      <c r="D57" s="45"/>
      <c r="E57" s="45"/>
      <c r="F57" s="45"/>
      <c r="G57" s="45"/>
      <c r="H57" s="45"/>
    </row>
    <row r="58" spans="1:9" ht="28.5" customHeight="1" x14ac:dyDescent="0.25">
      <c r="B58" s="683" t="str">
        <f>Portafolio_PA_Papa!E98</f>
        <v>6.2.1. Identificar y evaluar la oferta de formación, capacitación y cobertura de investigadores, profesionales, técnicos y tecnólogos, realizando un análisis de brechas de formación, en temas específicos requeridos por la cadena de la papa, en articulación con el Subsistema Nacional de Formación y Capacitación para la Innovación Agropecuaria creado por la Ley 1876 de 2017.</v>
      </c>
      <c r="C58" s="692"/>
      <c r="D58" s="692"/>
      <c r="E58" s="692"/>
      <c r="F58" s="692"/>
      <c r="G58" s="692"/>
      <c r="H58" s="692"/>
    </row>
    <row r="59" spans="1:9" ht="35.1" customHeight="1" x14ac:dyDescent="0.25">
      <c r="B59" s="683" t="str">
        <f>Portafolio_PA_Papa!E99</f>
        <v>6.2.2. Promover acuerdos con instituciones educativas para fortalecer la formación en las áreas básicas del conocimiento y en las áreas temáticas, acordes con las necesidades de I+D+i y extensionismo agrícola e industrial de la cadena de la papa.</v>
      </c>
      <c r="C59" s="692"/>
      <c r="D59" s="692"/>
      <c r="E59" s="692"/>
      <c r="F59" s="692"/>
      <c r="G59" s="692"/>
      <c r="H59" s="692"/>
    </row>
    <row r="60" spans="1:9" ht="32.1" customHeight="1" x14ac:dyDescent="0.25">
      <c r="B60" s="683" t="str">
        <f>Portafolio_PA_Papa!E100</f>
        <v xml:space="preserve">6.2.3. Promover el diseño, mejora y/o actualización de los programas de formación integral y capacitación por competencias, y desarrollo de habilidades de los extensionistas y asistentes técnicos agrícolas e industriales, con enfoque regional, dirigidos a la adopción de los desarrollos tecnológicos generados para la cadena de la papa. </v>
      </c>
      <c r="C60" s="692"/>
      <c r="D60" s="692"/>
      <c r="E60" s="692"/>
      <c r="F60" s="692"/>
      <c r="G60" s="692"/>
      <c r="H60" s="692"/>
    </row>
    <row r="61" spans="1:9" ht="15" x14ac:dyDescent="0.25">
      <c r="B61" s="683" t="str">
        <f>Portafolio_PA_Papa!E101</f>
        <v>6.2.4. Formar capital humano en competencias, habilidades y destrezas para estructuración y gestión de proyectos de I+D+i para la cadena de la papa.</v>
      </c>
      <c r="C61" s="692"/>
      <c r="D61" s="692"/>
      <c r="E61" s="692"/>
      <c r="F61" s="692"/>
      <c r="G61" s="692"/>
      <c r="H61" s="692"/>
    </row>
    <row r="62" spans="1:9" ht="38.1" customHeight="1" x14ac:dyDescent="0.25">
      <c r="B62" s="683" t="str">
        <f>Portafolio_PA_Papa!E102</f>
        <v>6.2.5. Identificar, seleccionar y capacitar a los extensionistas y asistentes técnicos agrícolas e industriales, en manejo del cultivo, de suelos y agua, de plagas y enfermedades, en uso de semillas y bioinsumos, calidad e inocuidad, manejo ambiental y sostenibilidad, gestión climática, cosecha, poscosecha y transformación, entre otros.</v>
      </c>
      <c r="C62" s="692"/>
      <c r="D62" s="692"/>
      <c r="E62" s="692"/>
      <c r="F62" s="692"/>
      <c r="G62" s="692"/>
      <c r="H62" s="692"/>
    </row>
    <row r="63" spans="1:9" ht="32.1" customHeight="1" x14ac:dyDescent="0.25">
      <c r="B63" s="683" t="str">
        <f>Portafolio_PA_Papa!E103</f>
        <v xml:space="preserve">6.2.6.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armonizados con los Planes Departamentales de Extensión Agropecuaria – PDEA aprobados. </v>
      </c>
      <c r="C63" s="692"/>
      <c r="D63" s="692"/>
      <c r="E63" s="692"/>
      <c r="F63" s="692"/>
      <c r="G63" s="692"/>
      <c r="H63" s="692"/>
    </row>
    <row r="64" spans="1:9" ht="18.600000000000001" customHeight="1" x14ac:dyDescent="0.25">
      <c r="B64" s="683"/>
      <c r="C64" s="692"/>
      <c r="D64" s="692"/>
      <c r="E64" s="692"/>
      <c r="F64" s="692"/>
      <c r="G64" s="692"/>
      <c r="H64" s="692"/>
    </row>
    <row r="65" spans="1:10" ht="15" x14ac:dyDescent="0.25">
      <c r="B65" s="693" t="s">
        <v>1128</v>
      </c>
      <c r="C65" s="698"/>
      <c r="D65" s="698"/>
      <c r="E65" s="698"/>
      <c r="F65" s="698"/>
      <c r="G65" s="698"/>
      <c r="H65" s="698"/>
    </row>
    <row r="66" spans="1:10" ht="15" x14ac:dyDescent="0.25">
      <c r="B66" s="26" t="s">
        <v>5</v>
      </c>
      <c r="C66" s="26" t="s">
        <v>6</v>
      </c>
      <c r="D66" s="26" t="s">
        <v>7</v>
      </c>
      <c r="E66" s="26" t="s">
        <v>8</v>
      </c>
      <c r="F66" s="26" t="s">
        <v>48</v>
      </c>
      <c r="G66" s="26" t="s">
        <v>10</v>
      </c>
      <c r="H66" s="26" t="s">
        <v>11</v>
      </c>
    </row>
    <row r="67" spans="1:10" s="4" customFormat="1" x14ac:dyDescent="0.2">
      <c r="A67" s="48"/>
      <c r="B67" s="73" t="s">
        <v>192</v>
      </c>
      <c r="C67" s="33">
        <v>4</v>
      </c>
      <c r="D67" s="29" t="s">
        <v>13</v>
      </c>
      <c r="E67" s="30">
        <v>500000</v>
      </c>
      <c r="F67" s="29"/>
      <c r="G67" s="29"/>
      <c r="H67" s="31">
        <f>+C67*E67</f>
        <v>2000000</v>
      </c>
      <c r="I67" s="37"/>
    </row>
    <row r="68" spans="1:10" s="4" customFormat="1" x14ac:dyDescent="0.2">
      <c r="B68" s="110" t="s">
        <v>14</v>
      </c>
      <c r="C68" s="111">
        <v>24</v>
      </c>
      <c r="D68" s="101" t="s">
        <v>13</v>
      </c>
      <c r="E68" s="30">
        <v>100000</v>
      </c>
      <c r="F68" s="29"/>
      <c r="G68" s="29"/>
      <c r="H68" s="31">
        <f>+C68*E68</f>
        <v>2400000</v>
      </c>
      <c r="I68" s="37"/>
    </row>
    <row r="69" spans="1:10" x14ac:dyDescent="0.2">
      <c r="B69" s="72" t="s">
        <v>17</v>
      </c>
      <c r="C69" s="29">
        <v>12</v>
      </c>
      <c r="D69" s="101" t="s">
        <v>13</v>
      </c>
      <c r="E69" s="30">
        <v>1625000</v>
      </c>
      <c r="F69" s="29"/>
      <c r="G69" s="29"/>
      <c r="H69" s="31">
        <f>+C69*E69</f>
        <v>19500000</v>
      </c>
      <c r="I69" s="32"/>
      <c r="J69" s="4"/>
    </row>
    <row r="70" spans="1:10" x14ac:dyDescent="0.2">
      <c r="B70" s="29" t="s">
        <v>18</v>
      </c>
      <c r="C70" s="29">
        <v>12</v>
      </c>
      <c r="D70" s="101" t="s">
        <v>13</v>
      </c>
      <c r="E70" s="30">
        <v>325000</v>
      </c>
      <c r="F70" s="29"/>
      <c r="G70" s="29"/>
      <c r="H70" s="31">
        <f>+C70*E70</f>
        <v>3900000</v>
      </c>
    </row>
    <row r="71" spans="1:10" s="4" customFormat="1" x14ac:dyDescent="0.2">
      <c r="B71" s="110" t="s">
        <v>204</v>
      </c>
      <c r="C71" s="111">
        <v>1</v>
      </c>
      <c r="D71" s="101" t="s">
        <v>13</v>
      </c>
      <c r="E71" s="30">
        <v>10000000</v>
      </c>
      <c r="F71" s="29"/>
      <c r="G71" s="29"/>
      <c r="H71" s="31">
        <f>C71*E71</f>
        <v>10000000</v>
      </c>
      <c r="I71" s="37"/>
    </row>
    <row r="72" spans="1:10" s="4" customFormat="1" x14ac:dyDescent="0.2">
      <c r="B72" s="109" t="s">
        <v>205</v>
      </c>
      <c r="C72" s="111">
        <v>12</v>
      </c>
      <c r="D72" s="101" t="s">
        <v>13</v>
      </c>
      <c r="E72" s="102">
        <v>4120000</v>
      </c>
      <c r="F72" s="101"/>
      <c r="G72" s="101"/>
      <c r="H72" s="103">
        <f>+C72*E72</f>
        <v>49440000</v>
      </c>
      <c r="I72" s="114"/>
    </row>
    <row r="73" spans="1:10" x14ac:dyDescent="0.2">
      <c r="B73" s="117" t="s">
        <v>32</v>
      </c>
      <c r="C73" s="111">
        <v>12</v>
      </c>
      <c r="D73" s="101" t="s">
        <v>206</v>
      </c>
      <c r="E73" s="115">
        <v>5000000</v>
      </c>
      <c r="F73" s="101"/>
      <c r="G73" s="101"/>
      <c r="H73" s="103">
        <f>+C73*E73</f>
        <v>60000000</v>
      </c>
      <c r="I73" s="114"/>
    </row>
    <row r="74" spans="1:10" x14ac:dyDescent="0.2">
      <c r="B74" s="117" t="s">
        <v>34</v>
      </c>
      <c r="C74" s="111">
        <v>12</v>
      </c>
      <c r="D74" s="101" t="s">
        <v>13</v>
      </c>
      <c r="E74" s="115">
        <v>1500000</v>
      </c>
      <c r="F74" s="101"/>
      <c r="G74" s="101"/>
      <c r="H74" s="103">
        <f t="shared" ref="H74:H78" si="7">+C74*E74</f>
        <v>18000000</v>
      </c>
      <c r="I74" s="114"/>
    </row>
    <row r="75" spans="1:10" x14ac:dyDescent="0.2">
      <c r="B75" s="116" t="s">
        <v>137</v>
      </c>
      <c r="C75" s="101">
        <f>12*5</f>
        <v>60</v>
      </c>
      <c r="D75" s="101" t="s">
        <v>145</v>
      </c>
      <c r="E75" s="115">
        <v>1000000</v>
      </c>
      <c r="F75" s="51"/>
      <c r="G75" s="101"/>
      <c r="H75" s="103">
        <f t="shared" si="7"/>
        <v>60000000</v>
      </c>
      <c r="I75" s="114"/>
    </row>
    <row r="76" spans="1:10" x14ac:dyDescent="0.2">
      <c r="B76" s="116" t="s">
        <v>30</v>
      </c>
      <c r="C76" s="101">
        <f>12*5</f>
        <v>60</v>
      </c>
      <c r="D76" s="101" t="s">
        <v>13</v>
      </c>
      <c r="E76" s="115">
        <v>300000</v>
      </c>
      <c r="F76" s="53"/>
      <c r="G76" s="101"/>
      <c r="H76" s="103">
        <f t="shared" si="7"/>
        <v>18000000</v>
      </c>
      <c r="I76" s="114"/>
    </row>
    <row r="77" spans="1:10" x14ac:dyDescent="0.2">
      <c r="B77" s="116" t="s">
        <v>138</v>
      </c>
      <c r="C77" s="101">
        <v>12</v>
      </c>
      <c r="D77" s="101" t="s">
        <v>145</v>
      </c>
      <c r="E77" s="115">
        <v>3000000</v>
      </c>
      <c r="F77" s="53"/>
      <c r="G77" s="101"/>
      <c r="H77" s="103">
        <f t="shared" si="7"/>
        <v>36000000</v>
      </c>
      <c r="I77" s="114"/>
    </row>
    <row r="78" spans="1:10" x14ac:dyDescent="0.2">
      <c r="B78" s="116" t="s">
        <v>207</v>
      </c>
      <c r="C78" s="101">
        <v>12</v>
      </c>
      <c r="D78" s="101" t="s">
        <v>13</v>
      </c>
      <c r="E78" s="115">
        <v>900000</v>
      </c>
      <c r="F78" s="53"/>
      <c r="G78" s="101"/>
      <c r="H78" s="103">
        <f t="shared" si="7"/>
        <v>10800000</v>
      </c>
      <c r="I78" s="114"/>
    </row>
    <row r="79" spans="1:10" x14ac:dyDescent="0.2">
      <c r="B79" s="116" t="s">
        <v>208</v>
      </c>
      <c r="C79" s="101">
        <v>4</v>
      </c>
      <c r="D79" s="101" t="s">
        <v>145</v>
      </c>
      <c r="E79" s="115">
        <v>30000000</v>
      </c>
      <c r="F79" s="53">
        <v>0.3</v>
      </c>
      <c r="G79" s="101"/>
      <c r="H79" s="103">
        <f>+C79*E79*F79</f>
        <v>36000000</v>
      </c>
      <c r="I79" s="114"/>
    </row>
    <row r="80" spans="1:10" x14ac:dyDescent="0.2">
      <c r="B80" s="116" t="s">
        <v>281</v>
      </c>
      <c r="C80" s="101">
        <v>4</v>
      </c>
      <c r="D80" s="101" t="s">
        <v>145</v>
      </c>
      <c r="E80" s="115">
        <v>16000000</v>
      </c>
      <c r="F80" s="53">
        <v>0.3</v>
      </c>
      <c r="G80" s="101"/>
      <c r="H80" s="103">
        <f>+C80*E80*F80</f>
        <v>19200000</v>
      </c>
      <c r="I80" s="114"/>
    </row>
    <row r="81" spans="2:10" x14ac:dyDescent="0.2">
      <c r="B81" s="110" t="s">
        <v>259</v>
      </c>
      <c r="C81" s="29">
        <v>4</v>
      </c>
      <c r="D81" s="101" t="s">
        <v>145</v>
      </c>
      <c r="E81" s="30">
        <v>45000000</v>
      </c>
      <c r="F81" s="36">
        <v>0.3</v>
      </c>
      <c r="G81" s="29"/>
      <c r="H81" s="103">
        <f t="shared" ref="H81:H82" si="8">+C81*E81*F81</f>
        <v>54000000</v>
      </c>
    </row>
    <row r="82" spans="2:10" x14ac:dyDescent="0.2">
      <c r="B82" s="110" t="s">
        <v>209</v>
      </c>
      <c r="C82" s="29">
        <v>2</v>
      </c>
      <c r="D82" s="101" t="s">
        <v>145</v>
      </c>
      <c r="E82" s="30">
        <v>100000000</v>
      </c>
      <c r="F82" s="36">
        <v>0.3</v>
      </c>
      <c r="G82" s="29"/>
      <c r="H82" s="103">
        <f t="shared" si="8"/>
        <v>60000000</v>
      </c>
    </row>
    <row r="83" spans="2:10" x14ac:dyDescent="0.2">
      <c r="B83" s="110" t="s">
        <v>210</v>
      </c>
      <c r="C83" s="29">
        <v>2</v>
      </c>
      <c r="D83" s="101" t="s">
        <v>145</v>
      </c>
      <c r="E83" s="30">
        <v>7154654</v>
      </c>
      <c r="F83" s="36"/>
      <c r="G83" s="29"/>
      <c r="H83" s="71">
        <f>C83*E83</f>
        <v>14309308</v>
      </c>
    </row>
    <row r="84" spans="2:10" x14ac:dyDescent="0.2">
      <c r="B84" s="110" t="s">
        <v>211</v>
      </c>
      <c r="C84" s="29">
        <v>12</v>
      </c>
      <c r="D84" s="101" t="s">
        <v>13</v>
      </c>
      <c r="E84" s="30">
        <v>25484000</v>
      </c>
      <c r="F84" s="36"/>
      <c r="G84" s="29"/>
      <c r="H84" s="71">
        <f>C84*E84</f>
        <v>305808000</v>
      </c>
    </row>
    <row r="85" spans="2:10" x14ac:dyDescent="0.2">
      <c r="B85" s="110" t="s">
        <v>212</v>
      </c>
      <c r="C85" s="29">
        <v>2</v>
      </c>
      <c r="D85" s="101" t="s">
        <v>13</v>
      </c>
      <c r="E85" s="30">
        <v>6604729</v>
      </c>
      <c r="F85" s="36"/>
      <c r="G85" s="29">
        <v>5</v>
      </c>
      <c r="H85" s="71">
        <f>C85*E85*G85</f>
        <v>66047290</v>
      </c>
    </row>
    <row r="86" spans="2:10" x14ac:dyDescent="0.2">
      <c r="B86" s="109" t="s">
        <v>193</v>
      </c>
      <c r="C86" s="111">
        <v>3</v>
      </c>
      <c r="D86" s="101" t="s">
        <v>145</v>
      </c>
      <c r="E86" s="34">
        <v>9907096</v>
      </c>
      <c r="F86" s="53">
        <v>1</v>
      </c>
      <c r="G86" s="101">
        <v>12</v>
      </c>
      <c r="H86" s="31">
        <f>+C86*E86*F86*G86</f>
        <v>356655456</v>
      </c>
      <c r="I86" s="37"/>
    </row>
    <row r="87" spans="2:10" x14ac:dyDescent="0.2">
      <c r="B87" s="110" t="s">
        <v>100</v>
      </c>
      <c r="C87" s="29">
        <v>12</v>
      </c>
      <c r="D87" s="101" t="s">
        <v>145</v>
      </c>
      <c r="E87" s="30">
        <v>3931384</v>
      </c>
      <c r="F87" s="53">
        <v>1</v>
      </c>
      <c r="G87" s="101">
        <v>12</v>
      </c>
      <c r="H87" s="71">
        <f>+C87*E87*F87*G87</f>
        <v>566119296</v>
      </c>
      <c r="I87" s="37"/>
    </row>
    <row r="88" spans="2:10" x14ac:dyDescent="0.2">
      <c r="B88" s="110" t="s">
        <v>43</v>
      </c>
      <c r="C88" s="29">
        <v>12</v>
      </c>
      <c r="D88" s="101" t="s">
        <v>195</v>
      </c>
      <c r="E88" s="30">
        <v>1160000</v>
      </c>
      <c r="F88" s="36"/>
      <c r="G88" s="29">
        <v>12</v>
      </c>
      <c r="H88" s="71">
        <f>+C88*E88*G88</f>
        <v>167040000</v>
      </c>
      <c r="I88" s="37"/>
    </row>
    <row r="89" spans="2:10" x14ac:dyDescent="0.2">
      <c r="B89" s="110" t="s">
        <v>44</v>
      </c>
      <c r="C89" s="29">
        <v>12</v>
      </c>
      <c r="D89" s="101" t="s">
        <v>195</v>
      </c>
      <c r="E89" s="30">
        <v>120000</v>
      </c>
      <c r="F89" s="36"/>
      <c r="G89" s="29">
        <v>12</v>
      </c>
      <c r="H89" s="71">
        <f>+C89*E89*G89</f>
        <v>17280000</v>
      </c>
    </row>
    <row r="90" spans="2:10" ht="15" x14ac:dyDescent="0.25">
      <c r="B90" s="29" t="s">
        <v>202</v>
      </c>
      <c r="C90" s="29"/>
      <c r="D90" s="29"/>
      <c r="E90" s="29"/>
      <c r="F90" s="29"/>
      <c r="G90" s="29"/>
      <c r="H90" s="33" t="s">
        <v>46</v>
      </c>
      <c r="I90" s="57" t="s">
        <v>501</v>
      </c>
    </row>
    <row r="91" spans="2:10" ht="15" x14ac:dyDescent="0.25">
      <c r="B91" s="39" t="s">
        <v>1</v>
      </c>
      <c r="C91" s="41"/>
      <c r="D91" s="41"/>
      <c r="E91" s="42"/>
      <c r="F91" s="42"/>
      <c r="G91" s="41"/>
      <c r="H91" s="57">
        <f>SUM(H67:H90)</f>
        <v>1952499350</v>
      </c>
      <c r="I91" s="57">
        <f>H91/12</f>
        <v>162708279.16666666</v>
      </c>
    </row>
    <row r="92" spans="2:10" s="4" customFormat="1" ht="260.45" hidden="1" customHeight="1" x14ac:dyDescent="0.25">
      <c r="B92" s="58" t="s">
        <v>68</v>
      </c>
      <c r="C92" s="45"/>
      <c r="D92" s="45"/>
      <c r="E92" s="45"/>
      <c r="F92" s="45"/>
      <c r="G92" s="45"/>
      <c r="H92" s="57">
        <f>SUM(H68:H91)</f>
        <v>3902998700</v>
      </c>
      <c r="I92" s="2"/>
      <c r="J92" s="2"/>
    </row>
    <row r="93" spans="2:10" ht="216.75" x14ac:dyDescent="0.2">
      <c r="B93" s="285" t="s">
        <v>534</v>
      </c>
    </row>
  </sheetData>
  <sheetProtection algorithmName="SHA-512" hashValue="ymf1tjOO+yh6aWY/ALr7cYMjAuKJLt6AQtdt030cGUw5xkM4vWGk/i6MkBG/WsjkvWso+0/f/vx/OUj40rX85Q==" saltValue="4k87lzTNEyUfWxgj+wAYQg==" spinCount="100000" sheet="1" objects="1" scenarios="1"/>
  <mergeCells count="20">
    <mergeCell ref="B63:H63"/>
    <mergeCell ref="B64:H64"/>
    <mergeCell ref="B65:H65"/>
    <mergeCell ref="B58:H58"/>
    <mergeCell ref="B59:H59"/>
    <mergeCell ref="B60:H60"/>
    <mergeCell ref="B61:H61"/>
    <mergeCell ref="B62:H62"/>
    <mergeCell ref="B12:H13"/>
    <mergeCell ref="B56:H56"/>
    <mergeCell ref="B14:H14"/>
    <mergeCell ref="B15:H15"/>
    <mergeCell ref="B16:H16"/>
    <mergeCell ref="B17:H17"/>
    <mergeCell ref="B18:H18"/>
    <mergeCell ref="B19:H19"/>
    <mergeCell ref="B20:H20"/>
    <mergeCell ref="B21:H21"/>
    <mergeCell ref="B22:H22"/>
    <mergeCell ref="B24:H24"/>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Z86"/>
  <sheetViews>
    <sheetView showGridLines="0" zoomScale="60" zoomScaleNormal="60" workbookViewId="0">
      <selection activeCell="B2" sqref="B2"/>
    </sheetView>
  </sheetViews>
  <sheetFormatPr baseColWidth="10" defaultColWidth="10.7109375" defaultRowHeight="14.25" x14ac:dyDescent="0.2"/>
  <cols>
    <col min="1" max="1" width="13.42578125" style="2" customWidth="1"/>
    <col min="2" max="2" width="67.42578125" style="2" customWidth="1"/>
    <col min="3" max="3" width="26.42578125" style="2" customWidth="1"/>
    <col min="4" max="4" width="27.140625" style="2" customWidth="1"/>
    <col min="5" max="5" width="22.42578125" style="2" customWidth="1"/>
    <col min="6" max="7" width="19.7109375" style="2" bestFit="1" customWidth="1"/>
    <col min="8" max="8" width="21.42578125" style="2" customWidth="1"/>
    <col min="9" max="11" width="19.7109375" style="2" bestFit="1" customWidth="1"/>
    <col min="12" max="12" width="19.140625" style="2" bestFit="1" customWidth="1"/>
    <col min="13" max="22" width="19.7109375" style="2" bestFit="1" customWidth="1"/>
    <col min="23" max="23" width="20.42578125" style="2" bestFit="1" customWidth="1"/>
    <col min="24" max="24" width="25.42578125" style="2" customWidth="1"/>
    <col min="25" max="25" width="22.28515625" style="2" bestFit="1" customWidth="1"/>
    <col min="26" max="26" width="19.140625" style="2" bestFit="1" customWidth="1"/>
    <col min="27" max="27" width="17" style="2" bestFit="1" customWidth="1"/>
    <col min="28" max="28" width="17.85546875" style="2" customWidth="1"/>
    <col min="29" max="16384" width="10.7109375" style="2"/>
  </cols>
  <sheetData>
    <row r="2" spans="1:26" ht="15" x14ac:dyDescent="0.25">
      <c r="A2" s="1" t="s">
        <v>0</v>
      </c>
    </row>
    <row r="3" spans="1:26" s="4" customFormat="1" ht="15" x14ac:dyDescent="0.25">
      <c r="A3" s="3"/>
    </row>
    <row r="4" spans="1:26" ht="21.6" customHeight="1" x14ac:dyDescent="0.25">
      <c r="A4" s="5"/>
      <c r="B4" s="6" t="str">
        <f>Portafolio_PA_Papa!C104</f>
        <v>7. Mejora de la gestión institucional en la sanidad y calidad de la papa y sus derivados</v>
      </c>
      <c r="C4" s="7"/>
      <c r="D4" s="8"/>
    </row>
    <row r="6" spans="1:26" ht="15" x14ac:dyDescent="0.25">
      <c r="E6" s="9">
        <v>1</v>
      </c>
      <c r="F6" s="9">
        <v>2</v>
      </c>
      <c r="G6" s="9">
        <v>3</v>
      </c>
      <c r="H6" s="9">
        <v>4</v>
      </c>
      <c r="I6" s="9">
        <v>5</v>
      </c>
      <c r="J6" s="9">
        <v>6</v>
      </c>
      <c r="K6" s="9">
        <v>7</v>
      </c>
      <c r="L6" s="9">
        <v>8</v>
      </c>
      <c r="M6" s="9">
        <v>9</v>
      </c>
      <c r="N6" s="9">
        <v>10</v>
      </c>
      <c r="O6" s="9">
        <v>11</v>
      </c>
      <c r="P6" s="9">
        <v>12</v>
      </c>
      <c r="Q6" s="9">
        <v>13</v>
      </c>
      <c r="R6" s="9">
        <v>14</v>
      </c>
      <c r="S6" s="9">
        <v>15</v>
      </c>
      <c r="T6" s="9">
        <v>16</v>
      </c>
      <c r="U6" s="9">
        <v>17</v>
      </c>
      <c r="V6" s="9">
        <v>18</v>
      </c>
      <c r="W6" s="9">
        <v>19</v>
      </c>
      <c r="X6" s="9">
        <v>20</v>
      </c>
      <c r="Y6" s="9" t="s">
        <v>1</v>
      </c>
    </row>
    <row r="7" spans="1:26" s="13" customFormat="1" ht="15" x14ac:dyDescent="0.25">
      <c r="A7" s="2"/>
      <c r="B7" s="10" t="s">
        <v>2</v>
      </c>
      <c r="C7" s="11" t="s">
        <v>3</v>
      </c>
      <c r="D7" s="11" t="s">
        <v>4</v>
      </c>
      <c r="E7" s="12">
        <f>SUM(E8:E10)</f>
        <v>1683015899.1666665</v>
      </c>
      <c r="F7" s="12">
        <f t="shared" ref="F7:X7" si="0">SUM(F8:F10)</f>
        <v>484466226</v>
      </c>
      <c r="G7" s="12">
        <f t="shared" si="0"/>
        <v>484466226</v>
      </c>
      <c r="H7" s="12">
        <f t="shared" si="0"/>
        <v>242233113</v>
      </c>
      <c r="I7" s="12">
        <f t="shared" si="0"/>
        <v>1548611191</v>
      </c>
      <c r="J7" s="12">
        <f t="shared" si="0"/>
        <v>242233113</v>
      </c>
      <c r="K7" s="12">
        <f t="shared" si="0"/>
        <v>242233113</v>
      </c>
      <c r="L7" s="12">
        <f t="shared" si="0"/>
        <v>0</v>
      </c>
      <c r="M7" s="12">
        <f t="shared" si="0"/>
        <v>1790844304</v>
      </c>
      <c r="N7" s="12">
        <f t="shared" si="0"/>
        <v>0</v>
      </c>
      <c r="O7" s="12">
        <f t="shared" si="0"/>
        <v>242233113</v>
      </c>
      <c r="P7" s="12">
        <f t="shared" si="0"/>
        <v>242233113</v>
      </c>
      <c r="Q7" s="12">
        <f t="shared" si="0"/>
        <v>1548611191</v>
      </c>
      <c r="R7" s="12">
        <f t="shared" si="0"/>
        <v>0</v>
      </c>
      <c r="S7" s="12">
        <f t="shared" si="0"/>
        <v>484466226</v>
      </c>
      <c r="T7" s="12">
        <f t="shared" si="0"/>
        <v>0</v>
      </c>
      <c r="U7" s="12">
        <f t="shared" si="0"/>
        <v>1548611191</v>
      </c>
      <c r="V7" s="12">
        <f t="shared" si="0"/>
        <v>242233113</v>
      </c>
      <c r="W7" s="12">
        <f t="shared" si="0"/>
        <v>242233113</v>
      </c>
      <c r="X7" s="12">
        <f t="shared" si="0"/>
        <v>242233113</v>
      </c>
      <c r="Y7" s="12">
        <f>SUM(E7:X7)</f>
        <v>11510957358.166666</v>
      </c>
    </row>
    <row r="8" spans="1:26" s="18" customFormat="1" ht="60" customHeight="1" x14ac:dyDescent="0.2">
      <c r="A8" s="14"/>
      <c r="B8" s="65" t="str">
        <f>Portafolio_PA_Papa!D104</f>
        <v>7.1. Fortalecimiento del Sistema de Inspección, Vigilancia y Control a lo largo de la cadena</v>
      </c>
      <c r="C8" s="16" t="s">
        <v>506</v>
      </c>
      <c r="D8" s="16" t="s">
        <v>507</v>
      </c>
      <c r="E8" s="323">
        <f>I43*10</f>
        <v>1088648398.3333333</v>
      </c>
      <c r="F8" s="323" t="s">
        <v>46</v>
      </c>
      <c r="G8" s="323" t="str">
        <f>F8</f>
        <v>Por definir</v>
      </c>
      <c r="H8" s="323" t="str">
        <f>G8</f>
        <v>Por definir</v>
      </c>
      <c r="I8" s="323">
        <f>H43</f>
        <v>1306378078</v>
      </c>
      <c r="J8" s="323" t="s">
        <v>46</v>
      </c>
      <c r="K8" s="323" t="s">
        <v>46</v>
      </c>
      <c r="L8" s="323" t="str">
        <f>K8</f>
        <v>Por definir</v>
      </c>
      <c r="M8" s="323">
        <f>I8</f>
        <v>1306378078</v>
      </c>
      <c r="N8" s="323" t="s">
        <v>46</v>
      </c>
      <c r="O8" s="323" t="s">
        <v>46</v>
      </c>
      <c r="P8" s="323" t="s">
        <v>46</v>
      </c>
      <c r="Q8" s="323">
        <f>M8</f>
        <v>1306378078</v>
      </c>
      <c r="R8" s="323" t="s">
        <v>46</v>
      </c>
      <c r="S8" s="323" t="s">
        <v>46</v>
      </c>
      <c r="T8" s="323" t="s">
        <v>46</v>
      </c>
      <c r="U8" s="323">
        <f>Q8</f>
        <v>1306378078</v>
      </c>
      <c r="V8" s="323" t="s">
        <v>46</v>
      </c>
      <c r="W8" s="323" t="s">
        <v>46</v>
      </c>
      <c r="X8" s="323" t="s">
        <v>46</v>
      </c>
      <c r="Y8" s="17">
        <f>SUM(E8:X8)</f>
        <v>6314160710.333333</v>
      </c>
    </row>
    <row r="9" spans="1:26" s="18" customFormat="1" ht="76.5" customHeight="1" x14ac:dyDescent="0.2">
      <c r="A9" s="14"/>
      <c r="B9" s="65" t="str">
        <f>Portafolio_PA_Papa!D112</f>
        <v>7.2. Revisión y actualización de la normatividad de la cadena</v>
      </c>
      <c r="C9" s="16" t="s">
        <v>506</v>
      </c>
      <c r="D9" s="16" t="s">
        <v>507</v>
      </c>
      <c r="E9" s="323">
        <f>I64*10</f>
        <v>392506573.33333337</v>
      </c>
      <c r="F9" s="323">
        <f>H84</f>
        <v>242233113</v>
      </c>
      <c r="G9" s="323">
        <f>F9</f>
        <v>242233113</v>
      </c>
      <c r="H9" s="323" t="s">
        <v>46</v>
      </c>
      <c r="I9" s="323" t="s">
        <v>46</v>
      </c>
      <c r="J9" s="323">
        <f>G9</f>
        <v>242233113</v>
      </c>
      <c r="K9" s="323" t="s">
        <v>46</v>
      </c>
      <c r="L9" s="323" t="s">
        <v>46</v>
      </c>
      <c r="M9" s="323">
        <f>J9</f>
        <v>242233113</v>
      </c>
      <c r="N9" s="323" t="s">
        <v>46</v>
      </c>
      <c r="O9" s="323" t="s">
        <v>46</v>
      </c>
      <c r="P9" s="323">
        <f>M9</f>
        <v>242233113</v>
      </c>
      <c r="Q9" s="323" t="s">
        <v>46</v>
      </c>
      <c r="R9" s="323" t="s">
        <v>46</v>
      </c>
      <c r="S9" s="323">
        <f>P9</f>
        <v>242233113</v>
      </c>
      <c r="T9" s="323" t="s">
        <v>46</v>
      </c>
      <c r="U9" s="323" t="s">
        <v>46</v>
      </c>
      <c r="V9" s="323">
        <f>S9</f>
        <v>242233113</v>
      </c>
      <c r="W9" s="323" t="s">
        <v>46</v>
      </c>
      <c r="X9" s="323">
        <f>V9</f>
        <v>242233113</v>
      </c>
      <c r="Y9" s="17">
        <f t="shared" ref="Y9:Y10" si="1">SUM(E9:X9)</f>
        <v>2330371477.3333335</v>
      </c>
    </row>
    <row r="10" spans="1:26" s="18" customFormat="1" ht="76.5" customHeight="1" x14ac:dyDescent="0.2">
      <c r="A10" s="14"/>
      <c r="B10" s="65" t="str">
        <f>Portafolio_PA_Papa!D116</f>
        <v>7.3. Mejora de la admisibilidad sanitaria y las medidas de defensa comercial para la cadena</v>
      </c>
      <c r="C10" s="16" t="s">
        <v>506</v>
      </c>
      <c r="D10" s="16" t="s">
        <v>505</v>
      </c>
      <c r="E10" s="323">
        <f>I84*10</f>
        <v>201860927.5</v>
      </c>
      <c r="F10" s="323">
        <f>H84</f>
        <v>242233113</v>
      </c>
      <c r="G10" s="323">
        <f>F10</f>
        <v>242233113</v>
      </c>
      <c r="H10" s="323">
        <f>G10</f>
        <v>242233113</v>
      </c>
      <c r="I10" s="323">
        <f>H10</f>
        <v>242233113</v>
      </c>
      <c r="J10" s="323" t="s">
        <v>46</v>
      </c>
      <c r="K10" s="323">
        <f>I10</f>
        <v>242233113</v>
      </c>
      <c r="L10" s="323" t="s">
        <v>46</v>
      </c>
      <c r="M10" s="323">
        <f>K10</f>
        <v>242233113</v>
      </c>
      <c r="N10" s="323" t="s">
        <v>46</v>
      </c>
      <c r="O10" s="323">
        <f>K10</f>
        <v>242233113</v>
      </c>
      <c r="P10" s="323" t="s">
        <v>46</v>
      </c>
      <c r="Q10" s="323">
        <f>O10</f>
        <v>242233113</v>
      </c>
      <c r="R10" s="323" t="s">
        <v>46</v>
      </c>
      <c r="S10" s="323">
        <f>Q10</f>
        <v>242233113</v>
      </c>
      <c r="T10" s="323" t="s">
        <v>46</v>
      </c>
      <c r="U10" s="323">
        <f>S10</f>
        <v>242233113</v>
      </c>
      <c r="V10" s="323" t="s">
        <v>46</v>
      </c>
      <c r="W10" s="323">
        <f>U10</f>
        <v>242233113</v>
      </c>
      <c r="X10" s="323" t="s">
        <v>46</v>
      </c>
      <c r="Y10" s="17">
        <f t="shared" si="1"/>
        <v>2866425170.5</v>
      </c>
    </row>
    <row r="11" spans="1:26" s="13" customFormat="1" ht="24.6" customHeight="1" x14ac:dyDescent="0.25">
      <c r="A11" s="2"/>
      <c r="B11" s="10" t="s">
        <v>1</v>
      </c>
      <c r="C11" s="10"/>
      <c r="D11" s="10"/>
      <c r="E11" s="19">
        <f>SUM(E8:E10)</f>
        <v>1683015899.1666665</v>
      </c>
      <c r="F11" s="19">
        <f t="shared" ref="F11:X11" si="2">SUM(F8:F10)</f>
        <v>484466226</v>
      </c>
      <c r="G11" s="19">
        <f t="shared" si="2"/>
        <v>484466226</v>
      </c>
      <c r="H11" s="19">
        <f t="shared" si="2"/>
        <v>242233113</v>
      </c>
      <c r="I11" s="19">
        <f t="shared" si="2"/>
        <v>1548611191</v>
      </c>
      <c r="J11" s="19">
        <f t="shared" si="2"/>
        <v>242233113</v>
      </c>
      <c r="K11" s="19">
        <f t="shared" si="2"/>
        <v>242233113</v>
      </c>
      <c r="L11" s="19">
        <f t="shared" si="2"/>
        <v>0</v>
      </c>
      <c r="M11" s="19">
        <f t="shared" si="2"/>
        <v>1790844304</v>
      </c>
      <c r="N11" s="19">
        <f t="shared" si="2"/>
        <v>0</v>
      </c>
      <c r="O11" s="19">
        <f t="shared" si="2"/>
        <v>242233113</v>
      </c>
      <c r="P11" s="19">
        <f t="shared" si="2"/>
        <v>242233113</v>
      </c>
      <c r="Q11" s="19">
        <f t="shared" si="2"/>
        <v>1548611191</v>
      </c>
      <c r="R11" s="19">
        <f t="shared" si="2"/>
        <v>0</v>
      </c>
      <c r="S11" s="19">
        <f t="shared" si="2"/>
        <v>484466226</v>
      </c>
      <c r="T11" s="19">
        <f t="shared" si="2"/>
        <v>0</v>
      </c>
      <c r="U11" s="19">
        <f t="shared" si="2"/>
        <v>1548611191</v>
      </c>
      <c r="V11" s="19">
        <f t="shared" si="2"/>
        <v>242233113</v>
      </c>
      <c r="W11" s="19">
        <f t="shared" si="2"/>
        <v>242233113</v>
      </c>
      <c r="X11" s="19">
        <f t="shared" si="2"/>
        <v>242233113</v>
      </c>
      <c r="Y11" s="19">
        <f>SUM(E11:X11)</f>
        <v>11510957358.166666</v>
      </c>
    </row>
    <row r="12" spans="1:26" s="23" customFormat="1" ht="24.6" customHeight="1" x14ac:dyDescent="0.25">
      <c r="A12" s="4"/>
      <c r="B12" s="20"/>
      <c r="C12" s="20"/>
      <c r="D12" s="20"/>
      <c r="E12" s="20"/>
      <c r="F12" s="21"/>
      <c r="G12" s="22"/>
      <c r="H12" s="21"/>
      <c r="I12" s="21"/>
      <c r="J12" s="21"/>
      <c r="K12" s="21"/>
      <c r="L12" s="21"/>
      <c r="M12" s="21"/>
      <c r="N12" s="21"/>
      <c r="O12" s="21"/>
      <c r="P12" s="21"/>
      <c r="Q12" s="21"/>
      <c r="R12" s="21"/>
      <c r="S12" s="21"/>
      <c r="T12" s="21"/>
      <c r="U12" s="21"/>
      <c r="V12" s="21"/>
      <c r="W12" s="21"/>
      <c r="X12" s="21"/>
      <c r="Y12" s="21"/>
      <c r="Z12" s="21"/>
    </row>
    <row r="14" spans="1:26" s="4" customFormat="1" ht="14.45" customHeight="1" x14ac:dyDescent="0.25">
      <c r="B14" s="94" t="str">
        <f>B8</f>
        <v>7.1. Fortalecimiento del Sistema de Inspección, Vigilancia y Control a lo largo de la cadena</v>
      </c>
      <c r="C14" s="95"/>
      <c r="D14" s="95"/>
      <c r="E14" s="95"/>
      <c r="F14" s="95"/>
      <c r="G14" s="95"/>
      <c r="H14" s="95"/>
      <c r="I14" s="94"/>
      <c r="X14" s="25"/>
    </row>
    <row r="15" spans="1:26" ht="28.5" customHeight="1" x14ac:dyDescent="0.25">
      <c r="B15" s="683" t="str">
        <f>Portafolio_PA_Papa!E104</f>
        <v>7.1.1. Identificar las necesidades en aspectos técnicos, humanos, físicos y presupuestales, para el fortalecimiento de las autoridades sanitarias, en concordancia con los resultados esperados en materia de sanidad e inocuidad, del POP para la cadena de la papa.</v>
      </c>
      <c r="C15" s="692"/>
      <c r="D15" s="692"/>
      <c r="E15" s="692"/>
      <c r="F15" s="692"/>
      <c r="G15" s="692"/>
      <c r="H15" s="692"/>
    </row>
    <row r="16" spans="1:26" ht="15" x14ac:dyDescent="0.25">
      <c r="B16" s="683" t="str">
        <f>Portafolio_PA_Papa!E105</f>
        <v>7.1.2. Actualizar el plan estratégico de las autoridades sanitarias y de inocuidad, considerando las necesidades y particularidades regionales de la cadena de la papa y en concordancia con la normatividad vigente.</v>
      </c>
      <c r="C16" s="692"/>
      <c r="D16" s="692"/>
      <c r="E16" s="692"/>
      <c r="F16" s="692"/>
      <c r="G16" s="692"/>
      <c r="H16" s="692"/>
    </row>
    <row r="17" spans="2:24" ht="32.1" customHeight="1" x14ac:dyDescent="0.25">
      <c r="B17" s="683" t="str">
        <f>Portafolio_PA_Papa!E106</f>
        <v>7.1.3. Evaluar y mejorar los programas del ICA dirigidos al monitoreo y control integrado de plagas y enfermedades, considerando, medidas sobre el uso de plaguicidas en el cultivo y almacenamiento, registro, períodos de retiro y demás medidas oportunas, para la prevención de riesgos fitosanitarios y de inocuidad, en articulación con el Decreto 4765 de 2008 por el cual se modifica la estructura del ICA y sus Decretos modificatorios.</v>
      </c>
      <c r="C17" s="692"/>
      <c r="D17" s="692"/>
      <c r="E17" s="692"/>
      <c r="F17" s="692"/>
      <c r="G17" s="692"/>
      <c r="H17" s="692"/>
    </row>
    <row r="18" spans="2:24" ht="45.6" customHeight="1" x14ac:dyDescent="0.25">
      <c r="B18" s="683" t="str">
        <f>Portafolio_PA_Papa!E107</f>
        <v xml:space="preserve">7.1.4. Desarrollar una estrategia financiera para garantizar la disponibilidad de los recursos requeridos por el Sistema Nacional de IVC, en correcta articulación interinstitucional y bajo el amparo de estándares internacionales, que fortalezcan la capacidad operativa de las autoridades sanitarias y de inocuidad, teniendo en cuenta la Política Nacional de Laboratorios: Prioridades para Mejorar el Cumplimiento de Estándares de Calidad y otros instrumentos (CONPES 3957 de 2019). </v>
      </c>
      <c r="C18" s="692"/>
      <c r="D18" s="692"/>
      <c r="E18" s="692"/>
      <c r="F18" s="692"/>
      <c r="G18" s="692"/>
      <c r="H18" s="692"/>
    </row>
    <row r="19" spans="2:24" ht="34.5" customHeight="1" x14ac:dyDescent="0.25">
      <c r="B19" s="683" t="str">
        <f>Portafolio_PA_Papa!E108</f>
        <v>7.1.5. Desarrollar un sistema de alerta temprana, a nivel regional y con atención en frontera, para prevenir o atender las emergencias sanitarias y para adelantar programas de erradicación y declaración de zonas libres de algunas plagas y enfermedades, apoyando la toma de decisiones del productor de papa, para el manejo integrado de las mismas.</v>
      </c>
      <c r="C19" s="692"/>
      <c r="D19" s="692"/>
      <c r="E19" s="692"/>
      <c r="F19" s="692"/>
      <c r="G19" s="692"/>
      <c r="H19" s="692"/>
    </row>
    <row r="20" spans="2:24" ht="32.1" customHeight="1" x14ac:dyDescent="0.25">
      <c r="B20" s="683" t="str">
        <f>Portafolio_PA_Papa!E109</f>
        <v>7.1.6. Desarrollar un sistema de monitoreo y análisis permanente, a nivel regional, que permita determinar la presencia de contaminantes en papa en fresco y en productos procesados, contribuyendo a enfocar las medidas normativas para su control en todos los eslabones de la cadena, y recomendando los ajustes necesarios, en las prácticas agrícolas, de cosecha, transporte y almacenamiento, así como en el procesamiento industrial.</v>
      </c>
      <c r="C20" s="692"/>
      <c r="D20" s="692"/>
      <c r="E20" s="692"/>
      <c r="F20" s="692"/>
      <c r="G20" s="692"/>
      <c r="H20" s="692"/>
    </row>
    <row r="21" spans="2:24" ht="59.1" customHeight="1" x14ac:dyDescent="0.25">
      <c r="B21" s="683" t="str">
        <f>Portafolio_PA_Papa!E110</f>
        <v>7.1.7. Fortalecer la capacidad operativa del Sistema de IVC, tanto en infraestructura de laboratorios e instalaciones, como en talento humano, para el efectivo control de calidad e inocuidad y poder contar con la trazabilidad, que favorezca tanto la seguridad  en el consumo de papa en fresco y de procesados, con criterios como los contemplados en el Codex Alimentarius, en el Sistema de Trazabilidad Vegetal (Resolución 329 de 2021 del Minagricultura), así como el cumplimiento de las normas sobre etiquetado para protección de los consumidores frente a contenidos de grasas, azúcares, sodio y otros componentes controlados, y las certificaciones de inocuidad para acceder a mercados de exportación requeridas según el país de destino.</v>
      </c>
      <c r="C21" s="692"/>
      <c r="D21" s="692"/>
      <c r="E21" s="692"/>
      <c r="F21" s="692"/>
      <c r="G21" s="692"/>
      <c r="H21" s="692"/>
    </row>
    <row r="22" spans="2:24" ht="15" x14ac:dyDescent="0.25">
      <c r="B22" s="534"/>
      <c r="C22" s="547"/>
      <c r="D22" s="547"/>
      <c r="E22" s="547"/>
      <c r="F22" s="547"/>
      <c r="G22" s="547"/>
      <c r="H22" s="547"/>
    </row>
    <row r="23" spans="2:24" s="99" customFormat="1" ht="14.45" customHeight="1" x14ac:dyDescent="0.25">
      <c r="B23" s="693" t="s">
        <v>1128</v>
      </c>
      <c r="C23" s="698"/>
      <c r="D23" s="698"/>
      <c r="E23" s="698"/>
      <c r="F23" s="698"/>
      <c r="G23" s="698"/>
      <c r="H23" s="698"/>
      <c r="I23" s="94"/>
      <c r="X23" s="100"/>
    </row>
    <row r="24" spans="2:24" ht="15" x14ac:dyDescent="0.25">
      <c r="B24" s="26" t="s">
        <v>5</v>
      </c>
      <c r="C24" s="26" t="s">
        <v>6</v>
      </c>
      <c r="D24" s="26" t="s">
        <v>7</v>
      </c>
      <c r="E24" s="26" t="s">
        <v>8</v>
      </c>
      <c r="F24" s="27" t="s">
        <v>9</v>
      </c>
      <c r="G24" s="26" t="s">
        <v>10</v>
      </c>
      <c r="H24" s="26" t="s">
        <v>11</v>
      </c>
      <c r="X24" s="28"/>
    </row>
    <row r="25" spans="2:24" x14ac:dyDescent="0.2">
      <c r="B25" s="33" t="s">
        <v>17</v>
      </c>
      <c r="C25" s="66">
        <v>13</v>
      </c>
      <c r="D25" s="50" t="s">
        <v>82</v>
      </c>
      <c r="E25" s="67">
        <v>1625000</v>
      </c>
      <c r="F25" s="29"/>
      <c r="G25" s="29"/>
      <c r="H25" s="31">
        <f>+E25*C25</f>
        <v>21125000</v>
      </c>
    </row>
    <row r="26" spans="2:24" x14ac:dyDescent="0.2">
      <c r="B26" s="33" t="s">
        <v>12</v>
      </c>
      <c r="C26" s="66">
        <v>12</v>
      </c>
      <c r="D26" s="50" t="s">
        <v>82</v>
      </c>
      <c r="E26" s="30">
        <v>500000</v>
      </c>
      <c r="F26" s="29"/>
      <c r="G26" s="29"/>
      <c r="H26" s="31">
        <f>+C26*E26</f>
        <v>6000000</v>
      </c>
      <c r="I26" s="32"/>
      <c r="J26" s="4"/>
    </row>
    <row r="27" spans="2:24" x14ac:dyDescent="0.2">
      <c r="B27" s="33" t="s">
        <v>14</v>
      </c>
      <c r="C27" s="66">
        <v>24</v>
      </c>
      <c r="D27" s="50" t="s">
        <v>82</v>
      </c>
      <c r="E27" s="30">
        <v>100000</v>
      </c>
      <c r="F27" s="29"/>
      <c r="G27" s="29"/>
      <c r="H27" s="31">
        <f>+C27*E27</f>
        <v>2400000</v>
      </c>
    </row>
    <row r="28" spans="2:24" x14ac:dyDescent="0.2">
      <c r="B28" s="33" t="s">
        <v>83</v>
      </c>
      <c r="C28" s="66">
        <v>4</v>
      </c>
      <c r="D28" s="50" t="s">
        <v>82</v>
      </c>
      <c r="E28" s="30">
        <v>7862772</v>
      </c>
      <c r="F28" s="29"/>
      <c r="G28" s="29">
        <v>5</v>
      </c>
      <c r="H28" s="31">
        <f>C28*E28*G28</f>
        <v>157255440</v>
      </c>
    </row>
    <row r="29" spans="2:24" x14ac:dyDescent="0.2">
      <c r="B29" s="33" t="s">
        <v>24</v>
      </c>
      <c r="C29" s="66">
        <v>12</v>
      </c>
      <c r="D29" s="50" t="s">
        <v>82</v>
      </c>
      <c r="E29" s="34">
        <v>25484000</v>
      </c>
      <c r="F29" s="29"/>
      <c r="G29" s="29"/>
      <c r="H29" s="31">
        <f>+C29*E29</f>
        <v>305808000</v>
      </c>
    </row>
    <row r="30" spans="2:24" x14ac:dyDescent="0.2">
      <c r="B30" s="33" t="s">
        <v>84</v>
      </c>
      <c r="C30" s="66">
        <v>12</v>
      </c>
      <c r="D30" s="50" t="s">
        <v>82</v>
      </c>
      <c r="E30" s="34">
        <v>3000000</v>
      </c>
      <c r="F30" s="29"/>
      <c r="G30" s="29"/>
      <c r="H30" s="31">
        <f>+C30*E30</f>
        <v>36000000</v>
      </c>
    </row>
    <row r="31" spans="2:24" x14ac:dyDescent="0.2">
      <c r="B31" s="29" t="s">
        <v>536</v>
      </c>
      <c r="C31" s="66">
        <v>12</v>
      </c>
      <c r="D31" s="50" t="s">
        <v>82</v>
      </c>
      <c r="E31" s="30">
        <v>4120000</v>
      </c>
      <c r="F31" s="29"/>
      <c r="G31" s="29"/>
      <c r="H31" s="31">
        <f>+C31*E31</f>
        <v>49440000</v>
      </c>
      <c r="I31" s="35"/>
      <c r="J31" s="4"/>
    </row>
    <row r="32" spans="2:24" x14ac:dyDescent="0.2">
      <c r="B32" s="33" t="s">
        <v>85</v>
      </c>
      <c r="C32" s="66">
        <v>2</v>
      </c>
      <c r="D32" s="50" t="s">
        <v>82</v>
      </c>
      <c r="E32" s="30">
        <v>3182805</v>
      </c>
      <c r="F32" s="29"/>
      <c r="G32" s="29"/>
      <c r="H32" s="31">
        <f>+C32*E32</f>
        <v>6365610</v>
      </c>
      <c r="I32" s="35"/>
      <c r="J32" s="4"/>
    </row>
    <row r="33" spans="2:24" x14ac:dyDescent="0.2">
      <c r="B33" s="33" t="s">
        <v>86</v>
      </c>
      <c r="C33" s="66">
        <v>4</v>
      </c>
      <c r="D33" s="68" t="s">
        <v>87</v>
      </c>
      <c r="E33" s="34">
        <v>8963563</v>
      </c>
      <c r="F33" s="36">
        <v>0.5</v>
      </c>
      <c r="G33" s="29">
        <v>10</v>
      </c>
      <c r="H33" s="31">
        <f>+C33*E33*G33*F33</f>
        <v>179271260</v>
      </c>
    </row>
    <row r="34" spans="2:24" x14ac:dyDescent="0.2">
      <c r="B34" s="33" t="s">
        <v>88</v>
      </c>
      <c r="C34" s="66">
        <f>8*2</f>
        <v>16</v>
      </c>
      <c r="D34" s="50" t="s">
        <v>87</v>
      </c>
      <c r="E34" s="34">
        <v>1213122</v>
      </c>
      <c r="F34" s="29"/>
      <c r="G34" s="29"/>
      <c r="H34" s="31">
        <f>+C34*E34</f>
        <v>19409952</v>
      </c>
    </row>
    <row r="35" spans="2:24" x14ac:dyDescent="0.2">
      <c r="B35" s="33" t="s">
        <v>89</v>
      </c>
      <c r="C35" s="66">
        <f>4*4</f>
        <v>16</v>
      </c>
      <c r="D35" s="50" t="s">
        <v>87</v>
      </c>
      <c r="E35" s="34">
        <v>1438122</v>
      </c>
      <c r="F35" s="29"/>
      <c r="G35" s="29"/>
      <c r="H35" s="31">
        <f>+E35*C35</f>
        <v>23009952</v>
      </c>
    </row>
    <row r="36" spans="2:24" x14ac:dyDescent="0.2">
      <c r="B36" s="33" t="s">
        <v>90</v>
      </c>
      <c r="C36" s="66">
        <v>12</v>
      </c>
      <c r="D36" s="50" t="s">
        <v>87</v>
      </c>
      <c r="E36" s="34">
        <v>3931384</v>
      </c>
      <c r="F36" s="36"/>
      <c r="G36" s="29">
        <v>8</v>
      </c>
      <c r="H36" s="31">
        <f>+E36*C36*G36</f>
        <v>377412864</v>
      </c>
    </row>
    <row r="37" spans="2:24" x14ac:dyDescent="0.2">
      <c r="B37" s="33" t="s">
        <v>43</v>
      </c>
      <c r="C37" s="66">
        <v>12</v>
      </c>
      <c r="D37" s="50" t="s">
        <v>87</v>
      </c>
      <c r="E37" s="34">
        <v>1160000</v>
      </c>
      <c r="F37" s="36"/>
      <c r="G37" s="29">
        <v>8</v>
      </c>
      <c r="H37" s="31">
        <f>+C37*E37*G37</f>
        <v>111360000</v>
      </c>
    </row>
    <row r="38" spans="2:24" x14ac:dyDescent="0.2">
      <c r="B38" s="33" t="s">
        <v>91</v>
      </c>
      <c r="C38" s="66">
        <v>12</v>
      </c>
      <c r="D38" s="50" t="s">
        <v>82</v>
      </c>
      <c r="E38" s="30">
        <v>120000</v>
      </c>
      <c r="F38" s="29"/>
      <c r="G38" s="29">
        <v>8</v>
      </c>
      <c r="H38" s="31">
        <f>+C38*E38*G38</f>
        <v>11520000</v>
      </c>
      <c r="I38" s="35"/>
      <c r="J38" s="4"/>
    </row>
    <row r="39" spans="2:24" x14ac:dyDescent="0.2">
      <c r="B39" s="33" t="s">
        <v>92</v>
      </c>
      <c r="C39" s="69"/>
      <c r="D39" s="29"/>
      <c r="E39" s="30"/>
      <c r="F39" s="29"/>
      <c r="G39" s="29"/>
      <c r="H39" s="31" t="s">
        <v>93</v>
      </c>
      <c r="I39" s="32"/>
      <c r="J39" s="4"/>
    </row>
    <row r="40" spans="2:24" ht="28.5" x14ac:dyDescent="0.2">
      <c r="B40" s="59" t="s">
        <v>537</v>
      </c>
      <c r="C40" s="69"/>
      <c r="D40" s="29"/>
      <c r="E40" s="30"/>
      <c r="F40" s="29"/>
      <c r="G40" s="29"/>
      <c r="H40" s="31" t="s">
        <v>93</v>
      </c>
      <c r="I40" s="32"/>
      <c r="J40" s="4"/>
    </row>
    <row r="41" spans="2:24" x14ac:dyDescent="0.2">
      <c r="B41" s="33" t="s">
        <v>94</v>
      </c>
      <c r="C41" s="29"/>
      <c r="D41" s="29"/>
      <c r="E41" s="30"/>
      <c r="F41" s="36"/>
      <c r="G41" s="29"/>
      <c r="H41" s="31" t="s">
        <v>93</v>
      </c>
      <c r="I41" s="37"/>
    </row>
    <row r="42" spans="2:24" ht="15" x14ac:dyDescent="0.25">
      <c r="B42" s="33"/>
      <c r="C42" s="29"/>
      <c r="D42" s="29"/>
      <c r="E42" s="30"/>
      <c r="F42" s="36"/>
      <c r="G42" s="29"/>
      <c r="H42" s="31"/>
      <c r="I42" s="43" t="s">
        <v>501</v>
      </c>
    </row>
    <row r="43" spans="2:24" ht="15" x14ac:dyDescent="0.25">
      <c r="B43" s="39" t="s">
        <v>1</v>
      </c>
      <c r="C43" s="41"/>
      <c r="D43" s="41"/>
      <c r="E43" s="41"/>
      <c r="F43" s="42"/>
      <c r="G43" s="42"/>
      <c r="H43" s="43">
        <f>SUM(H25:H41)</f>
        <v>1306378078</v>
      </c>
      <c r="I43" s="43">
        <f>H43/12</f>
        <v>108864839.83333333</v>
      </c>
    </row>
    <row r="44" spans="2:24" ht="368.1" customHeight="1" x14ac:dyDescent="0.2">
      <c r="B44" s="70" t="s">
        <v>538</v>
      </c>
      <c r="C44" s="45"/>
      <c r="D44" s="45"/>
      <c r="E44" s="45"/>
      <c r="F44" s="45"/>
      <c r="G44" s="45"/>
      <c r="H44" s="45"/>
    </row>
    <row r="45" spans="2:24" s="4" customFormat="1" x14ac:dyDescent="0.2">
      <c r="B45" s="44"/>
      <c r="C45" s="45"/>
      <c r="D45" s="45"/>
      <c r="E45" s="45"/>
      <c r="F45" s="45"/>
      <c r="G45" s="45"/>
      <c r="H45" s="45"/>
      <c r="I45" s="2"/>
      <c r="J45" s="2"/>
    </row>
    <row r="46" spans="2:24" ht="15" x14ac:dyDescent="0.25">
      <c r="B46" s="45"/>
      <c r="C46" s="45"/>
      <c r="D46" s="45"/>
      <c r="E46" s="45"/>
      <c r="F46" s="45"/>
      <c r="G46" s="45"/>
      <c r="H46" s="45"/>
      <c r="I46" s="46"/>
    </row>
    <row r="47" spans="2:24" s="4" customFormat="1" ht="14.45" customHeight="1" x14ac:dyDescent="0.25">
      <c r="B47" s="94" t="str">
        <f>B9</f>
        <v>7.2. Revisión y actualización de la normatividad de la cadena</v>
      </c>
      <c r="C47" s="95"/>
      <c r="D47" s="95"/>
      <c r="E47" s="95"/>
      <c r="F47" s="95"/>
      <c r="G47" s="95"/>
      <c r="H47" s="95"/>
      <c r="I47" s="94"/>
      <c r="X47" s="25"/>
    </row>
    <row r="48" spans="2:24" ht="28.5" customHeight="1" x14ac:dyDescent="0.25">
      <c r="B48" s="683" t="str">
        <f>Portafolio_PA_Papa!E112</f>
        <v>7.2.1. Realizar un análisis y evaluación de la normatividad vigente a lo largo de la cadena de papa, identificando los requerimientos de actualización y/o nueva reglamentación, estableciendo un plan de actividades y tiempos para realizar su seguimiento y ajuste oportuno.</v>
      </c>
      <c r="C48" s="692"/>
      <c r="D48" s="692"/>
      <c r="E48" s="692"/>
      <c r="F48" s="692"/>
      <c r="G48" s="692"/>
      <c r="H48" s="692"/>
    </row>
    <row r="49" spans="1:10" ht="14.45" customHeight="1" x14ac:dyDescent="0.25">
      <c r="B49" s="683" t="str">
        <f>Portafolio_PA_Papa!E113</f>
        <v>7.2.2. Realizar seguimiento a la reglamentación del sistema de autorización a terceros  (Acuerdo 005 de 2020 del ICA) en cuanto a los servicios de certificación oficial de semilla.</v>
      </c>
      <c r="C49" s="692"/>
      <c r="D49" s="692"/>
      <c r="E49" s="692"/>
      <c r="F49" s="692"/>
      <c r="G49" s="692"/>
      <c r="H49" s="692"/>
    </row>
    <row r="50" spans="1:10" ht="15" x14ac:dyDescent="0.25">
      <c r="B50" s="683" t="str">
        <f>Portafolio_PA_Papa!E114</f>
        <v xml:space="preserve">7.2.3. Diseñar las normas técnicas para la comercialización de la papa fresca y procesada, y promover su aplicación entre los actores de la cadena. </v>
      </c>
      <c r="C50" s="692"/>
      <c r="D50" s="692"/>
      <c r="E50" s="692"/>
      <c r="F50" s="692"/>
      <c r="G50" s="692"/>
      <c r="H50" s="692"/>
    </row>
    <row r="51" spans="1:10" ht="15" x14ac:dyDescent="0.25">
      <c r="B51" s="683" t="str">
        <f>Portafolio_PA_Papa!E115</f>
        <v>7.2.4. Capacitar, socializar, y brindar acompañamiento técnico para la implementación de las normas técnicas y/o la normatividad, a los actores la cadena de la papa.</v>
      </c>
      <c r="C51" s="692"/>
      <c r="D51" s="692"/>
      <c r="E51" s="692"/>
      <c r="F51" s="692"/>
      <c r="G51" s="692"/>
      <c r="H51" s="692"/>
    </row>
    <row r="52" spans="1:10" ht="15" x14ac:dyDescent="0.25">
      <c r="B52" s="683"/>
      <c r="C52" s="692"/>
      <c r="D52" s="692"/>
      <c r="E52" s="692"/>
      <c r="F52" s="692"/>
      <c r="G52" s="692"/>
      <c r="H52" s="692"/>
    </row>
    <row r="53" spans="1:10" s="4" customFormat="1" ht="15" x14ac:dyDescent="0.25">
      <c r="B53" s="693" t="s">
        <v>1128</v>
      </c>
      <c r="C53" s="698"/>
      <c r="D53" s="698"/>
      <c r="E53" s="698"/>
      <c r="F53" s="698"/>
      <c r="G53" s="698"/>
      <c r="H53" s="698"/>
    </row>
    <row r="54" spans="1:10" ht="15" x14ac:dyDescent="0.25">
      <c r="B54" s="26" t="s">
        <v>5</v>
      </c>
      <c r="C54" s="26" t="s">
        <v>6</v>
      </c>
      <c r="D54" s="26" t="s">
        <v>7</v>
      </c>
      <c r="E54" s="26" t="s">
        <v>8</v>
      </c>
      <c r="F54" s="26" t="s">
        <v>48</v>
      </c>
      <c r="G54" s="26" t="s">
        <v>10</v>
      </c>
      <c r="H54" s="26" t="s">
        <v>11</v>
      </c>
    </row>
    <row r="55" spans="1:10" s="4" customFormat="1" x14ac:dyDescent="0.2">
      <c r="A55" s="48"/>
      <c r="B55" s="29" t="s">
        <v>96</v>
      </c>
      <c r="C55" s="66">
        <v>5</v>
      </c>
      <c r="D55" s="29" t="s">
        <v>13</v>
      </c>
      <c r="E55" s="69">
        <v>1625000</v>
      </c>
      <c r="F55" s="29"/>
      <c r="G55" s="29"/>
      <c r="H55" s="31">
        <f>+C55*E55</f>
        <v>8125000</v>
      </c>
      <c r="I55" s="37"/>
    </row>
    <row r="56" spans="1:10" s="4" customFormat="1" x14ac:dyDescent="0.2">
      <c r="B56" s="29" t="s">
        <v>147</v>
      </c>
      <c r="C56" s="66">
        <v>4</v>
      </c>
      <c r="D56" s="29" t="s">
        <v>13</v>
      </c>
      <c r="E56" s="69">
        <v>500000</v>
      </c>
      <c r="F56" s="29"/>
      <c r="G56" s="29"/>
      <c r="H56" s="31">
        <f t="shared" ref="H56:H57" si="3">+C56*E56</f>
        <v>2000000</v>
      </c>
      <c r="I56" s="37"/>
    </row>
    <row r="57" spans="1:10" s="4" customFormat="1" x14ac:dyDescent="0.2">
      <c r="B57" s="29" t="s">
        <v>148</v>
      </c>
      <c r="C57" s="66">
        <v>4</v>
      </c>
      <c r="D57" s="29" t="s">
        <v>13</v>
      </c>
      <c r="E57" s="69">
        <v>100000</v>
      </c>
      <c r="F57" s="29"/>
      <c r="G57" s="29"/>
      <c r="H57" s="31">
        <f t="shared" si="3"/>
        <v>400000</v>
      </c>
      <c r="I57" s="37"/>
    </row>
    <row r="58" spans="1:10" s="4" customFormat="1" x14ac:dyDescent="0.2">
      <c r="B58" s="29" t="s">
        <v>149</v>
      </c>
      <c r="C58" s="66">
        <v>4</v>
      </c>
      <c r="D58" s="29" t="s">
        <v>13</v>
      </c>
      <c r="E58" s="69">
        <v>25484000</v>
      </c>
      <c r="F58" s="29"/>
      <c r="G58" s="29"/>
      <c r="H58" s="31">
        <f>+C58*E58</f>
        <v>101936000</v>
      </c>
      <c r="I58" s="37"/>
    </row>
    <row r="59" spans="1:10" s="4" customFormat="1" x14ac:dyDescent="0.2">
      <c r="B59" s="29" t="s">
        <v>152</v>
      </c>
      <c r="C59" s="66">
        <v>4</v>
      </c>
      <c r="D59" s="29" t="s">
        <v>13</v>
      </c>
      <c r="E59" s="69">
        <v>3000000</v>
      </c>
      <c r="F59" s="29"/>
      <c r="G59" s="29"/>
      <c r="H59" s="31">
        <f>E59*C59</f>
        <v>12000000</v>
      </c>
      <c r="I59" s="37"/>
    </row>
    <row r="60" spans="1:10" x14ac:dyDescent="0.2">
      <c r="B60" s="29" t="s">
        <v>86</v>
      </c>
      <c r="C60" s="66">
        <v>3</v>
      </c>
      <c r="D60" s="29" t="s">
        <v>87</v>
      </c>
      <c r="E60" s="69">
        <v>8963563</v>
      </c>
      <c r="F60" s="29"/>
      <c r="G60" s="29">
        <v>10</v>
      </c>
      <c r="H60" s="31">
        <f>+C60*E60*G60</f>
        <v>268906890</v>
      </c>
      <c r="I60" s="32"/>
      <c r="J60" s="4"/>
    </row>
    <row r="61" spans="1:10" x14ac:dyDescent="0.2">
      <c r="B61" s="33" t="s">
        <v>88</v>
      </c>
      <c r="C61" s="66">
        <v>2</v>
      </c>
      <c r="D61" s="29" t="s">
        <v>87</v>
      </c>
      <c r="E61" s="69">
        <v>1213122</v>
      </c>
      <c r="F61" s="29"/>
      <c r="G61" s="29"/>
      <c r="H61" s="31">
        <f>+C61*E61</f>
        <v>2426244</v>
      </c>
      <c r="I61" s="32"/>
      <c r="J61" s="4"/>
    </row>
    <row r="62" spans="1:10" x14ac:dyDescent="0.2">
      <c r="B62" s="33" t="s">
        <v>89</v>
      </c>
      <c r="C62" s="66">
        <v>2</v>
      </c>
      <c r="D62" s="29" t="s">
        <v>13</v>
      </c>
      <c r="E62" s="69">
        <v>1438122</v>
      </c>
      <c r="F62" s="29"/>
      <c r="G62" s="29"/>
      <c r="H62" s="31">
        <f>+C62*E62</f>
        <v>2876244</v>
      </c>
      <c r="I62" s="32"/>
      <c r="J62" s="4"/>
    </row>
    <row r="63" spans="1:10" ht="15" x14ac:dyDescent="0.25">
      <c r="B63" s="87" t="s">
        <v>150</v>
      </c>
      <c r="C63" s="66">
        <v>1</v>
      </c>
      <c r="D63" s="29" t="s">
        <v>87</v>
      </c>
      <c r="E63" s="69">
        <v>7233751</v>
      </c>
      <c r="F63" s="36">
        <v>1</v>
      </c>
      <c r="G63" s="29">
        <v>10</v>
      </c>
      <c r="H63" s="31">
        <f>+C63*E63*F63*G63</f>
        <v>72337510</v>
      </c>
      <c r="I63" s="57" t="s">
        <v>501</v>
      </c>
      <c r="J63" s="4"/>
    </row>
    <row r="64" spans="1:10" ht="15" x14ac:dyDescent="0.25">
      <c r="B64" s="39"/>
      <c r="C64" s="41"/>
      <c r="D64" s="41"/>
      <c r="E64" s="42"/>
      <c r="F64" s="42"/>
      <c r="G64" s="41"/>
      <c r="H64" s="57">
        <f>SUM(H55:H63)</f>
        <v>471007888</v>
      </c>
      <c r="I64" s="57">
        <f>H64/12</f>
        <v>39250657.333333336</v>
      </c>
    </row>
    <row r="65" spans="2:24" s="4" customFormat="1" ht="260.45" hidden="1" customHeight="1" x14ac:dyDescent="0.25">
      <c r="B65" s="58" t="s">
        <v>68</v>
      </c>
      <c r="C65" s="45"/>
      <c r="D65" s="45"/>
      <c r="E65" s="45"/>
      <c r="F65" s="45"/>
      <c r="G65" s="45"/>
      <c r="H65" s="57">
        <f>SUM(H56:H64)</f>
        <v>933890776</v>
      </c>
      <c r="I65" s="2"/>
      <c r="J65" s="2"/>
    </row>
    <row r="66" spans="2:24" ht="206.45" customHeight="1" x14ac:dyDescent="0.2">
      <c r="B66" s="70" t="s">
        <v>423</v>
      </c>
      <c r="C66" s="4"/>
      <c r="D66" s="4"/>
      <c r="E66" s="4"/>
      <c r="F66" s="25"/>
      <c r="G66" s="25"/>
    </row>
    <row r="67" spans="2:24" s="4" customFormat="1" ht="15.95" customHeight="1" x14ac:dyDescent="0.25">
      <c r="B67" s="94"/>
      <c r="C67" s="98"/>
      <c r="D67" s="98"/>
      <c r="E67" s="98"/>
      <c r="F67" s="98"/>
      <c r="G67" s="98"/>
      <c r="H67" s="98"/>
      <c r="I67" s="94"/>
      <c r="X67" s="25"/>
    </row>
    <row r="68" spans="2:24" s="4" customFormat="1" ht="14.45" customHeight="1" x14ac:dyDescent="0.25">
      <c r="B68" s="680" t="str">
        <f>B10</f>
        <v>7.3. Mejora de la admisibilidad sanitaria y las medidas de defensa comercial para la cadena</v>
      </c>
      <c r="C68" s="699"/>
      <c r="D68" s="699"/>
      <c r="E68" s="699"/>
      <c r="F68" s="699"/>
      <c r="G68" s="699"/>
      <c r="H68" s="699"/>
      <c r="I68" s="94"/>
      <c r="X68" s="25"/>
    </row>
    <row r="69" spans="2:24" ht="15" x14ac:dyDescent="0.25">
      <c r="B69" s="683" t="str">
        <f>Portafolio_PA_Papa!E116</f>
        <v>7.3.1. Analizar las condiciones de admisibilidad a mercados externos para la papa colombiana y sus derivados, a través de estudios y mesas técnicas con las autoridades sanitarias de los mercados objetivo.</v>
      </c>
      <c r="C69" s="692"/>
      <c r="D69" s="692"/>
      <c r="E69" s="692"/>
      <c r="F69" s="692"/>
      <c r="G69" s="692"/>
      <c r="H69" s="692"/>
    </row>
    <row r="70" spans="2:24" ht="15" x14ac:dyDescent="0.25">
      <c r="B70" s="683" t="str">
        <f>Portafolio_PA_Papa!E117</f>
        <v>7.3.2. Formular el Plan de Admisibilidad Sanitaria (PAS) para la papa fresca, como instrumento para acceder a los mercados de exportación que se prioricen.</v>
      </c>
      <c r="C70" s="692"/>
      <c r="D70" s="692"/>
      <c r="E70" s="692"/>
      <c r="F70" s="692"/>
      <c r="G70" s="692"/>
      <c r="H70" s="692"/>
    </row>
    <row r="71" spans="2:24" ht="30.6" customHeight="1" x14ac:dyDescent="0.25">
      <c r="B71" s="683" t="str">
        <f>Portafolio_PA_Papa!E118</f>
        <v>7.3.3. Fortalecer la implementación de medidas de defensa comercial, por parte de Mincomercio, en el marco de los procedimientos y determinantes adelantados sobre prácticas comerciales irregulares, al ingreso de papa procesada a Colombia.</v>
      </c>
      <c r="C71" s="692"/>
      <c r="D71" s="692"/>
      <c r="E71" s="692"/>
      <c r="F71" s="692"/>
      <c r="G71" s="692"/>
      <c r="H71" s="692"/>
    </row>
    <row r="72" spans="2:24" ht="15" x14ac:dyDescent="0.25">
      <c r="B72" s="534"/>
      <c r="C72" s="547"/>
      <c r="D72" s="547"/>
      <c r="E72" s="547"/>
      <c r="F72" s="547"/>
      <c r="G72" s="547"/>
      <c r="H72" s="547"/>
    </row>
    <row r="73" spans="2:24" ht="15" x14ac:dyDescent="0.25">
      <c r="B73" s="683"/>
      <c r="C73" s="692"/>
      <c r="D73" s="692"/>
      <c r="E73" s="692"/>
      <c r="F73" s="692"/>
      <c r="G73" s="692"/>
      <c r="H73" s="692"/>
    </row>
    <row r="74" spans="2:24" s="4" customFormat="1" ht="15" x14ac:dyDescent="0.25">
      <c r="B74" s="693" t="s">
        <v>1128</v>
      </c>
      <c r="C74" s="698"/>
      <c r="D74" s="698"/>
      <c r="E74" s="698"/>
      <c r="F74" s="698"/>
      <c r="G74" s="698"/>
      <c r="H74" s="698"/>
    </row>
    <row r="75" spans="2:24" ht="15" x14ac:dyDescent="0.25">
      <c r="B75" s="26" t="s">
        <v>5</v>
      </c>
      <c r="C75" s="26" t="s">
        <v>6</v>
      </c>
      <c r="D75" s="26" t="s">
        <v>7</v>
      </c>
      <c r="E75" s="26" t="s">
        <v>8</v>
      </c>
      <c r="F75" s="27" t="s">
        <v>9</v>
      </c>
      <c r="G75" s="26" t="s">
        <v>10</v>
      </c>
      <c r="H75" s="26" t="s">
        <v>11</v>
      </c>
      <c r="X75" s="28"/>
    </row>
    <row r="76" spans="2:24" x14ac:dyDescent="0.2">
      <c r="B76" s="29" t="s">
        <v>96</v>
      </c>
      <c r="C76" s="66">
        <v>5</v>
      </c>
      <c r="D76" s="29" t="s">
        <v>13</v>
      </c>
      <c r="E76" s="30">
        <v>1625000</v>
      </c>
      <c r="F76" s="29"/>
      <c r="G76" s="29"/>
      <c r="H76" s="31">
        <f>+C76*E76</f>
        <v>8125000</v>
      </c>
    </row>
    <row r="77" spans="2:24" x14ac:dyDescent="0.2">
      <c r="B77" s="29" t="s">
        <v>147</v>
      </c>
      <c r="C77" s="66">
        <v>4</v>
      </c>
      <c r="D77" s="29" t="s">
        <v>13</v>
      </c>
      <c r="E77" s="30">
        <v>500000</v>
      </c>
      <c r="F77" s="29"/>
      <c r="G77" s="29"/>
      <c r="H77" s="31">
        <f t="shared" ref="H77:H82" si="4">+C77*E77</f>
        <v>2000000</v>
      </c>
      <c r="I77" s="32"/>
      <c r="J77" s="4"/>
    </row>
    <row r="78" spans="2:24" x14ac:dyDescent="0.2">
      <c r="B78" s="29" t="s">
        <v>148</v>
      </c>
      <c r="C78" s="66">
        <v>8</v>
      </c>
      <c r="D78" s="29" t="s">
        <v>13</v>
      </c>
      <c r="E78" s="30">
        <v>100000</v>
      </c>
      <c r="F78" s="29"/>
      <c r="G78" s="29"/>
      <c r="H78" s="31">
        <f t="shared" si="4"/>
        <v>800000</v>
      </c>
    </row>
    <row r="79" spans="2:24" x14ac:dyDescent="0.2">
      <c r="B79" s="29" t="s">
        <v>86</v>
      </c>
      <c r="C79" s="66">
        <v>2</v>
      </c>
      <c r="D79" s="29" t="s">
        <v>87</v>
      </c>
      <c r="E79" s="30">
        <v>8963563</v>
      </c>
      <c r="F79" s="29"/>
      <c r="G79" s="29">
        <v>10</v>
      </c>
      <c r="H79" s="31">
        <f>+C79*E79*G79</f>
        <v>179271260</v>
      </c>
    </row>
    <row r="80" spans="2:24" x14ac:dyDescent="0.2">
      <c r="B80" s="33" t="s">
        <v>88</v>
      </c>
      <c r="C80" s="66">
        <v>2</v>
      </c>
      <c r="D80" s="29" t="s">
        <v>13</v>
      </c>
      <c r="E80" s="30">
        <v>1213122</v>
      </c>
      <c r="F80" s="29"/>
      <c r="G80" s="29"/>
      <c r="H80" s="31">
        <f t="shared" si="4"/>
        <v>2426244</v>
      </c>
      <c r="I80" s="35"/>
      <c r="J80" s="4"/>
    </row>
    <row r="81" spans="2:10" x14ac:dyDescent="0.2">
      <c r="B81" s="33" t="s">
        <v>89</v>
      </c>
      <c r="C81" s="66">
        <v>2</v>
      </c>
      <c r="D81" s="29" t="s">
        <v>13</v>
      </c>
      <c r="E81" s="30">
        <v>1438122</v>
      </c>
      <c r="F81" s="29"/>
      <c r="G81" s="29"/>
      <c r="H81" s="31">
        <f t="shared" si="4"/>
        <v>2876244</v>
      </c>
      <c r="I81" s="35"/>
      <c r="J81" s="4"/>
    </row>
    <row r="82" spans="2:10" x14ac:dyDescent="0.2">
      <c r="B82" s="188" t="s">
        <v>153</v>
      </c>
      <c r="C82" s="189">
        <v>2</v>
      </c>
      <c r="D82" s="111" t="s">
        <v>13</v>
      </c>
      <c r="E82" s="103">
        <v>5282805</v>
      </c>
      <c r="F82" s="111"/>
      <c r="G82" s="111"/>
      <c r="H82" s="103">
        <f t="shared" si="4"/>
        <v>10565610</v>
      </c>
    </row>
    <row r="83" spans="2:10" ht="15" x14ac:dyDescent="0.25">
      <c r="B83" s="87" t="s">
        <v>151</v>
      </c>
      <c r="C83" s="97">
        <v>1</v>
      </c>
      <c r="D83" s="29" t="s">
        <v>87</v>
      </c>
      <c r="E83" s="30">
        <v>7233751</v>
      </c>
      <c r="F83" s="36">
        <v>0.5</v>
      </c>
      <c r="G83" s="29">
        <v>10</v>
      </c>
      <c r="H83" s="31">
        <f>+C83*E83*F83*G83</f>
        <v>36168755</v>
      </c>
      <c r="I83" s="57" t="s">
        <v>501</v>
      </c>
    </row>
    <row r="84" spans="2:10" ht="15" x14ac:dyDescent="0.25">
      <c r="B84" s="39" t="s">
        <v>508</v>
      </c>
      <c r="C84" s="41"/>
      <c r="D84" s="41"/>
      <c r="E84" s="42"/>
      <c r="F84" s="42"/>
      <c r="G84" s="41"/>
      <c r="H84" s="57">
        <f>SUM(H76:H83)</f>
        <v>242233113</v>
      </c>
      <c r="I84" s="289">
        <f>H84/12</f>
        <v>20186092.75</v>
      </c>
    </row>
    <row r="85" spans="2:10" ht="15" x14ac:dyDescent="0.25">
      <c r="B85" s="39" t="s">
        <v>509</v>
      </c>
      <c r="C85" s="41"/>
      <c r="D85" s="41"/>
      <c r="E85" s="42"/>
      <c r="F85" s="42"/>
      <c r="G85" s="41"/>
      <c r="H85" s="57">
        <f>H83</f>
        <v>36168755</v>
      </c>
      <c r="I85" s="191"/>
    </row>
    <row r="86" spans="2:10" ht="168" customHeight="1" x14ac:dyDescent="0.2">
      <c r="B86" s="290" t="s">
        <v>535</v>
      </c>
    </row>
  </sheetData>
  <sheetProtection algorithmName="SHA-512" hashValue="+Kk8RsqSlRT+u8j9TOHMMaDz65oUIDCje8OhZnIBSSohpBVd/eN6Zzj7pfKrV/7k+9RhNUmtOmCb9jhmqWXOew==" saltValue="tacjSIq/Op2HiP7xitFHDQ==" spinCount="100000" sheet="1" objects="1" scenarios="1"/>
  <mergeCells count="20">
    <mergeCell ref="B74:H74"/>
    <mergeCell ref="B69:H69"/>
    <mergeCell ref="B70:H70"/>
    <mergeCell ref="B71:H71"/>
    <mergeCell ref="B73:H73"/>
    <mergeCell ref="B68:H68"/>
    <mergeCell ref="B15:H15"/>
    <mergeCell ref="B16:H16"/>
    <mergeCell ref="B17:H17"/>
    <mergeCell ref="B18:H18"/>
    <mergeCell ref="B19:H19"/>
    <mergeCell ref="B20:H20"/>
    <mergeCell ref="B21:H21"/>
    <mergeCell ref="B23:H23"/>
    <mergeCell ref="B48:H48"/>
    <mergeCell ref="B49:H49"/>
    <mergeCell ref="B50:H50"/>
    <mergeCell ref="B51:H51"/>
    <mergeCell ref="B53:H53"/>
    <mergeCell ref="B52:H52"/>
  </mergeCells>
  <phoneticPr fontId="35" type="noConversion"/>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Z107"/>
  <sheetViews>
    <sheetView showGridLines="0" zoomScale="70" zoomScaleNormal="70" workbookViewId="0">
      <selection activeCell="B2" sqref="B2"/>
    </sheetView>
  </sheetViews>
  <sheetFormatPr baseColWidth="10" defaultColWidth="10.7109375" defaultRowHeight="14.25" x14ac:dyDescent="0.2"/>
  <cols>
    <col min="1" max="1" width="13.42578125" style="2" customWidth="1"/>
    <col min="2" max="2" width="67.42578125" style="2" customWidth="1"/>
    <col min="3" max="3" width="26.42578125" style="2" customWidth="1"/>
    <col min="4" max="4" width="27.140625" style="2" customWidth="1"/>
    <col min="5" max="5" width="22.42578125" style="2" customWidth="1"/>
    <col min="6" max="7" width="19.7109375" style="2" bestFit="1" customWidth="1"/>
    <col min="8" max="8" width="21.42578125" style="2" customWidth="1"/>
    <col min="9" max="11" width="19.7109375" style="2" bestFit="1" customWidth="1"/>
    <col min="12" max="12" width="19.140625" style="2" bestFit="1" customWidth="1"/>
    <col min="13" max="22" width="19.7109375" style="2" bestFit="1" customWidth="1"/>
    <col min="23" max="23" width="20.42578125" style="2" bestFit="1" customWidth="1"/>
    <col min="24" max="24" width="25.42578125" style="2" customWidth="1"/>
    <col min="25" max="25" width="22.28515625" style="2" bestFit="1" customWidth="1"/>
    <col min="26" max="26" width="19.140625" style="2" bestFit="1" customWidth="1"/>
    <col min="27" max="27" width="17" style="2" bestFit="1" customWidth="1"/>
    <col min="28" max="28" width="17.85546875" style="2" customWidth="1"/>
    <col min="29" max="16384" width="10.7109375" style="2"/>
  </cols>
  <sheetData>
    <row r="2" spans="1:26" ht="15" x14ac:dyDescent="0.25">
      <c r="A2" s="1" t="s">
        <v>0</v>
      </c>
    </row>
    <row r="3" spans="1:26" s="4" customFormat="1" ht="15" x14ac:dyDescent="0.25">
      <c r="A3" s="3"/>
    </row>
    <row r="4" spans="1:26" ht="21.6" customHeight="1" x14ac:dyDescent="0.25">
      <c r="A4" s="5"/>
      <c r="B4" s="6" t="str">
        <f>Portafolio_PA_Papa!C119</f>
        <v>8. Articulación de los agentes de la cadena</v>
      </c>
      <c r="C4" s="7"/>
      <c r="D4" s="8"/>
    </row>
    <row r="5" spans="1:26" ht="26.1" customHeight="1" x14ac:dyDescent="0.2"/>
    <row r="6" spans="1:26" ht="15" x14ac:dyDescent="0.25">
      <c r="E6" s="9">
        <v>1</v>
      </c>
      <c r="F6" s="9">
        <v>2</v>
      </c>
      <c r="G6" s="9">
        <v>3</v>
      </c>
      <c r="H6" s="9">
        <v>4</v>
      </c>
      <c r="I6" s="9">
        <v>5</v>
      </c>
      <c r="J6" s="9">
        <v>6</v>
      </c>
      <c r="K6" s="9">
        <v>7</v>
      </c>
      <c r="L6" s="9">
        <v>8</v>
      </c>
      <c r="M6" s="9">
        <v>9</v>
      </c>
      <c r="N6" s="9">
        <v>10</v>
      </c>
      <c r="O6" s="9">
        <v>11</v>
      </c>
      <c r="P6" s="9">
        <v>12</v>
      </c>
      <c r="Q6" s="9">
        <v>13</v>
      </c>
      <c r="R6" s="9">
        <v>14</v>
      </c>
      <c r="S6" s="9">
        <v>15</v>
      </c>
      <c r="T6" s="9">
        <v>16</v>
      </c>
      <c r="U6" s="9">
        <v>17</v>
      </c>
      <c r="V6" s="9">
        <v>18</v>
      </c>
      <c r="W6" s="9">
        <v>19</v>
      </c>
      <c r="X6" s="9">
        <v>20</v>
      </c>
      <c r="Y6" s="9" t="s">
        <v>1</v>
      </c>
    </row>
    <row r="7" spans="1:26" s="13" customFormat="1" ht="15" x14ac:dyDescent="0.25">
      <c r="A7" s="2"/>
      <c r="B7" s="10" t="s">
        <v>2</v>
      </c>
      <c r="C7" s="11" t="s">
        <v>3</v>
      </c>
      <c r="D7" s="11" t="s">
        <v>4</v>
      </c>
      <c r="E7" s="12">
        <f>SUM(E8:E11)</f>
        <v>1851842063.6666665</v>
      </c>
      <c r="F7" s="12">
        <f t="shared" ref="F7:Y7" si="0">SUM(F8:F11)</f>
        <v>441625272</v>
      </c>
      <c r="G7" s="12">
        <f t="shared" si="0"/>
        <v>441625272</v>
      </c>
      <c r="H7" s="12">
        <f t="shared" si="0"/>
        <v>441625272</v>
      </c>
      <c r="I7" s="12">
        <f t="shared" si="0"/>
        <v>441625272</v>
      </c>
      <c r="J7" s="12">
        <f t="shared" si="0"/>
        <v>441625272</v>
      </c>
      <c r="K7" s="12">
        <f t="shared" si="0"/>
        <v>441625272</v>
      </c>
      <c r="L7" s="12">
        <f t="shared" si="0"/>
        <v>441625272</v>
      </c>
      <c r="M7" s="12">
        <f t="shared" si="0"/>
        <v>441625272</v>
      </c>
      <c r="N7" s="12">
        <f t="shared" si="0"/>
        <v>441625272</v>
      </c>
      <c r="O7" s="12">
        <f t="shared" si="0"/>
        <v>441625272</v>
      </c>
      <c r="P7" s="12">
        <f t="shared" si="0"/>
        <v>441625272</v>
      </c>
      <c r="Q7" s="12">
        <f t="shared" si="0"/>
        <v>441625272</v>
      </c>
      <c r="R7" s="12">
        <f t="shared" si="0"/>
        <v>441625272</v>
      </c>
      <c r="S7" s="12">
        <f t="shared" si="0"/>
        <v>441625272</v>
      </c>
      <c r="T7" s="12">
        <f t="shared" si="0"/>
        <v>441625272</v>
      </c>
      <c r="U7" s="12">
        <f t="shared" si="0"/>
        <v>441625272</v>
      </c>
      <c r="V7" s="12">
        <f t="shared" si="0"/>
        <v>441625272</v>
      </c>
      <c r="W7" s="12">
        <f t="shared" si="0"/>
        <v>441625272</v>
      </c>
      <c r="X7" s="12">
        <f t="shared" si="0"/>
        <v>441625272</v>
      </c>
      <c r="Y7" s="12">
        <f t="shared" si="0"/>
        <v>10242722231.666666</v>
      </c>
    </row>
    <row r="8" spans="1:26" s="18" customFormat="1" ht="28.5" x14ac:dyDescent="0.2">
      <c r="A8" s="14"/>
      <c r="B8" s="65" t="str">
        <f>Portafolio_PA_Papa!D119</f>
        <v>8.1. Adopción, promoción y monitoreo de la política pública para la cadena de la papa</v>
      </c>
      <c r="C8" s="16" t="s">
        <v>510</v>
      </c>
      <c r="D8" s="16" t="s">
        <v>507</v>
      </c>
      <c r="E8" s="17">
        <f>H37</f>
        <v>547370652</v>
      </c>
      <c r="F8" s="17">
        <f>H38</f>
        <v>71708504</v>
      </c>
      <c r="G8" s="17">
        <f>H38</f>
        <v>71708504</v>
      </c>
      <c r="H8" s="17">
        <f t="shared" ref="H8:X8" si="1">G8</f>
        <v>71708504</v>
      </c>
      <c r="I8" s="17">
        <f t="shared" si="1"/>
        <v>71708504</v>
      </c>
      <c r="J8" s="17">
        <f t="shared" si="1"/>
        <v>71708504</v>
      </c>
      <c r="K8" s="17">
        <f t="shared" si="1"/>
        <v>71708504</v>
      </c>
      <c r="L8" s="17">
        <f t="shared" si="1"/>
        <v>71708504</v>
      </c>
      <c r="M8" s="17">
        <f t="shared" si="1"/>
        <v>71708504</v>
      </c>
      <c r="N8" s="17">
        <f t="shared" si="1"/>
        <v>71708504</v>
      </c>
      <c r="O8" s="17">
        <f t="shared" si="1"/>
        <v>71708504</v>
      </c>
      <c r="P8" s="17">
        <f t="shared" si="1"/>
        <v>71708504</v>
      </c>
      <c r="Q8" s="17">
        <f t="shared" si="1"/>
        <v>71708504</v>
      </c>
      <c r="R8" s="17">
        <f t="shared" si="1"/>
        <v>71708504</v>
      </c>
      <c r="S8" s="17">
        <f t="shared" si="1"/>
        <v>71708504</v>
      </c>
      <c r="T8" s="17">
        <f t="shared" si="1"/>
        <v>71708504</v>
      </c>
      <c r="U8" s="17">
        <f t="shared" si="1"/>
        <v>71708504</v>
      </c>
      <c r="V8" s="17">
        <f t="shared" si="1"/>
        <v>71708504</v>
      </c>
      <c r="W8" s="17">
        <f t="shared" si="1"/>
        <v>71708504</v>
      </c>
      <c r="X8" s="17">
        <f t="shared" si="1"/>
        <v>71708504</v>
      </c>
      <c r="Y8" s="17">
        <f>SUM(E8:X8)</f>
        <v>1909832228</v>
      </c>
    </row>
    <row r="9" spans="1:26" s="18" customFormat="1" x14ac:dyDescent="0.2">
      <c r="A9" s="14"/>
      <c r="B9" s="65" t="str">
        <f>Portafolio_PA_Papa!D124</f>
        <v>8.2. Fortalecimiento de la Organización de Cadena de la papa</v>
      </c>
      <c r="C9" s="16" t="s">
        <v>511</v>
      </c>
      <c r="D9" s="16" t="s">
        <v>507</v>
      </c>
      <c r="E9" s="17">
        <f>I59*10</f>
        <v>308263973.33333331</v>
      </c>
      <c r="F9" s="17">
        <f>H59</f>
        <v>369916768</v>
      </c>
      <c r="G9" s="17">
        <f>F9</f>
        <v>369916768</v>
      </c>
      <c r="H9" s="17">
        <f t="shared" ref="H9:X9" si="2">G9</f>
        <v>369916768</v>
      </c>
      <c r="I9" s="17">
        <f t="shared" si="2"/>
        <v>369916768</v>
      </c>
      <c r="J9" s="17">
        <f t="shared" si="2"/>
        <v>369916768</v>
      </c>
      <c r="K9" s="17">
        <f t="shared" si="2"/>
        <v>369916768</v>
      </c>
      <c r="L9" s="17">
        <f t="shared" si="2"/>
        <v>369916768</v>
      </c>
      <c r="M9" s="17">
        <f t="shared" si="2"/>
        <v>369916768</v>
      </c>
      <c r="N9" s="17">
        <f t="shared" si="2"/>
        <v>369916768</v>
      </c>
      <c r="O9" s="17">
        <f t="shared" si="2"/>
        <v>369916768</v>
      </c>
      <c r="P9" s="17">
        <f t="shared" si="2"/>
        <v>369916768</v>
      </c>
      <c r="Q9" s="17">
        <f t="shared" si="2"/>
        <v>369916768</v>
      </c>
      <c r="R9" s="17">
        <f t="shared" si="2"/>
        <v>369916768</v>
      </c>
      <c r="S9" s="17">
        <f t="shared" si="2"/>
        <v>369916768</v>
      </c>
      <c r="T9" s="17">
        <f t="shared" si="2"/>
        <v>369916768</v>
      </c>
      <c r="U9" s="17">
        <f t="shared" si="2"/>
        <v>369916768</v>
      </c>
      <c r="V9" s="17">
        <f t="shared" si="2"/>
        <v>369916768</v>
      </c>
      <c r="W9" s="17">
        <f t="shared" si="2"/>
        <v>369916768</v>
      </c>
      <c r="X9" s="17">
        <f t="shared" si="2"/>
        <v>369916768</v>
      </c>
      <c r="Y9" s="17">
        <f t="shared" ref="Y9:Y11" si="3">SUM(E9:X9)</f>
        <v>7336682565.333333</v>
      </c>
    </row>
    <row r="10" spans="1:26" s="18" customFormat="1" ht="28.5" x14ac:dyDescent="0.2">
      <c r="A10" s="14"/>
      <c r="B10" s="65" t="str">
        <f>Portafolio_PA_Papa!D127</f>
        <v>8.3. Desarrollo de un Sistema integral de información para la cadena de la papa</v>
      </c>
      <c r="C10" s="16" t="s">
        <v>511</v>
      </c>
      <c r="D10" s="16" t="s">
        <v>507</v>
      </c>
      <c r="E10" s="17">
        <f>I59*10</f>
        <v>308263973.33333331</v>
      </c>
      <c r="F10" s="17" t="s">
        <v>46</v>
      </c>
      <c r="G10" s="17" t="s">
        <v>46</v>
      </c>
      <c r="H10" s="17" t="s">
        <v>46</v>
      </c>
      <c r="I10" s="17" t="s">
        <v>46</v>
      </c>
      <c r="J10" s="17" t="s">
        <v>46</v>
      </c>
      <c r="K10" s="17" t="s">
        <v>46</v>
      </c>
      <c r="L10" s="17" t="s">
        <v>46</v>
      </c>
      <c r="M10" s="17" t="s">
        <v>46</v>
      </c>
      <c r="N10" s="17" t="s">
        <v>46</v>
      </c>
      <c r="O10" s="17" t="s">
        <v>46</v>
      </c>
      <c r="P10" s="17" t="s">
        <v>46</v>
      </c>
      <c r="Q10" s="17" t="s">
        <v>46</v>
      </c>
      <c r="R10" s="17" t="s">
        <v>46</v>
      </c>
      <c r="S10" s="17" t="s">
        <v>46</v>
      </c>
      <c r="T10" s="17" t="s">
        <v>46</v>
      </c>
      <c r="U10" s="17" t="s">
        <v>46</v>
      </c>
      <c r="V10" s="17" t="s">
        <v>46</v>
      </c>
      <c r="W10" s="17" t="s">
        <v>46</v>
      </c>
      <c r="X10" s="17" t="s">
        <v>46</v>
      </c>
      <c r="Y10" s="17">
        <f t="shared" si="3"/>
        <v>308263973.33333331</v>
      </c>
    </row>
    <row r="11" spans="1:26" s="18" customFormat="1" ht="42.75" x14ac:dyDescent="0.2">
      <c r="A11" s="14"/>
      <c r="B11" s="65" t="str">
        <f>Portafolio_PA_Papa!D131</f>
        <v>8.4. Fortalecimiento y creación de instrumentos de financiamiento, comercialización, gestión de riesgos y empresarización para la cadena de la papa</v>
      </c>
      <c r="C11" s="16" t="s">
        <v>511</v>
      </c>
      <c r="D11" s="16" t="s">
        <v>507</v>
      </c>
      <c r="E11" s="17">
        <f>I82*10</f>
        <v>687943465</v>
      </c>
      <c r="F11" s="17" t="s">
        <v>46</v>
      </c>
      <c r="G11" s="17" t="s">
        <v>46</v>
      </c>
      <c r="H11" s="17" t="s">
        <v>46</v>
      </c>
      <c r="I11" s="17" t="s">
        <v>46</v>
      </c>
      <c r="J11" s="17" t="s">
        <v>46</v>
      </c>
      <c r="K11" s="17" t="s">
        <v>46</v>
      </c>
      <c r="L11" s="17" t="s">
        <v>46</v>
      </c>
      <c r="M11" s="17" t="s">
        <v>46</v>
      </c>
      <c r="N11" s="17" t="s">
        <v>46</v>
      </c>
      <c r="O11" s="17" t="s">
        <v>46</v>
      </c>
      <c r="P11" s="17" t="s">
        <v>46</v>
      </c>
      <c r="Q11" s="17" t="s">
        <v>46</v>
      </c>
      <c r="R11" s="17" t="s">
        <v>46</v>
      </c>
      <c r="S11" s="17" t="s">
        <v>46</v>
      </c>
      <c r="T11" s="17" t="s">
        <v>46</v>
      </c>
      <c r="U11" s="17" t="s">
        <v>46</v>
      </c>
      <c r="V11" s="17" t="s">
        <v>46</v>
      </c>
      <c r="W11" s="17" t="s">
        <v>46</v>
      </c>
      <c r="X11" s="17" t="s">
        <v>46</v>
      </c>
      <c r="Y11" s="17">
        <f t="shared" si="3"/>
        <v>687943465</v>
      </c>
    </row>
    <row r="12" spans="1:26" s="13" customFormat="1" ht="24.6" customHeight="1" x14ac:dyDescent="0.25">
      <c r="A12" s="2"/>
      <c r="B12" s="10" t="s">
        <v>1</v>
      </c>
      <c r="C12" s="10"/>
      <c r="D12" s="10"/>
      <c r="E12" s="19">
        <f>SUM(E8:E11)</f>
        <v>1851842063.6666665</v>
      </c>
      <c r="F12" s="19">
        <f t="shared" ref="F12:Y12" si="4">SUM(F8:F11)</f>
        <v>441625272</v>
      </c>
      <c r="G12" s="19">
        <f t="shared" si="4"/>
        <v>441625272</v>
      </c>
      <c r="H12" s="19">
        <f t="shared" si="4"/>
        <v>441625272</v>
      </c>
      <c r="I12" s="19">
        <f t="shared" si="4"/>
        <v>441625272</v>
      </c>
      <c r="J12" s="19">
        <f t="shared" si="4"/>
        <v>441625272</v>
      </c>
      <c r="K12" s="19">
        <f t="shared" si="4"/>
        <v>441625272</v>
      </c>
      <c r="L12" s="19">
        <f t="shared" si="4"/>
        <v>441625272</v>
      </c>
      <c r="M12" s="19">
        <f t="shared" si="4"/>
        <v>441625272</v>
      </c>
      <c r="N12" s="19">
        <f t="shared" si="4"/>
        <v>441625272</v>
      </c>
      <c r="O12" s="19">
        <f t="shared" si="4"/>
        <v>441625272</v>
      </c>
      <c r="P12" s="19">
        <f t="shared" si="4"/>
        <v>441625272</v>
      </c>
      <c r="Q12" s="19">
        <f t="shared" si="4"/>
        <v>441625272</v>
      </c>
      <c r="R12" s="19">
        <f t="shared" si="4"/>
        <v>441625272</v>
      </c>
      <c r="S12" s="19">
        <f t="shared" si="4"/>
        <v>441625272</v>
      </c>
      <c r="T12" s="19">
        <f t="shared" si="4"/>
        <v>441625272</v>
      </c>
      <c r="U12" s="19">
        <f t="shared" si="4"/>
        <v>441625272</v>
      </c>
      <c r="V12" s="19">
        <f t="shared" si="4"/>
        <v>441625272</v>
      </c>
      <c r="W12" s="19">
        <f t="shared" si="4"/>
        <v>441625272</v>
      </c>
      <c r="X12" s="19">
        <f t="shared" si="4"/>
        <v>441625272</v>
      </c>
      <c r="Y12" s="19">
        <f t="shared" si="4"/>
        <v>10242722231.666666</v>
      </c>
    </row>
    <row r="13" spans="1:26" s="23" customFormat="1" ht="24.6" customHeight="1" x14ac:dyDescent="0.25">
      <c r="A13" s="4"/>
      <c r="B13" s="20"/>
      <c r="C13" s="20"/>
      <c r="D13" s="20"/>
      <c r="E13" s="20"/>
      <c r="F13" s="21"/>
      <c r="G13" s="22"/>
      <c r="H13" s="21"/>
      <c r="I13" s="21"/>
      <c r="J13" s="21"/>
      <c r="K13" s="21"/>
      <c r="L13" s="21"/>
      <c r="M13" s="21"/>
      <c r="N13" s="21"/>
      <c r="O13" s="21"/>
      <c r="P13" s="21"/>
      <c r="Q13" s="21"/>
      <c r="R13" s="21"/>
      <c r="S13" s="21"/>
      <c r="T13" s="21"/>
      <c r="U13" s="21"/>
      <c r="V13" s="21"/>
      <c r="W13" s="21"/>
      <c r="X13" s="21"/>
      <c r="Y13" s="21"/>
      <c r="Z13" s="21"/>
    </row>
    <row r="15" spans="1:26" s="4" customFormat="1" ht="14.45" customHeight="1" x14ac:dyDescent="0.25">
      <c r="B15" s="686" t="str">
        <f>B8</f>
        <v>8.1. Adopción, promoción y monitoreo de la política pública para la cadena de la papa</v>
      </c>
      <c r="C15" s="682"/>
      <c r="D15" s="682"/>
      <c r="E15" s="682"/>
      <c r="F15" s="682"/>
      <c r="G15" s="682"/>
      <c r="H15" s="682"/>
      <c r="I15" s="24"/>
      <c r="X15" s="25"/>
    </row>
    <row r="16" spans="1:26" s="4" customFormat="1" ht="14.45" customHeight="1" x14ac:dyDescent="0.25">
      <c r="B16" s="682"/>
      <c r="C16" s="682"/>
      <c r="D16" s="682"/>
      <c r="E16" s="682"/>
      <c r="F16" s="682"/>
      <c r="G16" s="682"/>
      <c r="H16" s="682"/>
      <c r="I16" s="24"/>
      <c r="X16" s="25"/>
    </row>
    <row r="17" spans="2:24" ht="15" x14ac:dyDescent="0.25">
      <c r="B17" s="683" t="str">
        <f>Portafolio_PA_Papa!E119</f>
        <v xml:space="preserve">8.1.1. Adoptar como política pública el Plan de Ordenamiento Productivo para la cadena de la papa, mediante resolución expedida por el Minagricultura. </v>
      </c>
      <c r="C17" s="692"/>
      <c r="D17" s="692"/>
      <c r="E17" s="692"/>
      <c r="F17" s="692"/>
      <c r="G17" s="692"/>
      <c r="H17" s="692"/>
    </row>
    <row r="18" spans="2:24" ht="15" x14ac:dyDescent="0.25">
      <c r="B18" s="683" t="str">
        <f>Portafolio_PA_Papa!E120</f>
        <v>8.1.2. Establecer el cronograma anual detallado, para la implementación del Plan de Ordenamiento Productivo de la cadena de la papa.</v>
      </c>
      <c r="C18" s="692"/>
      <c r="D18" s="692"/>
      <c r="E18" s="692"/>
      <c r="F18" s="692"/>
      <c r="G18" s="692"/>
      <c r="H18" s="692"/>
    </row>
    <row r="19" spans="2:24" ht="15" x14ac:dyDescent="0.25">
      <c r="B19" s="683" t="str">
        <f>Portafolio_PA_Papa!E121</f>
        <v>8.1.3. Socializar y divulgar el Plan de Ordenamiento Productivo para la cadena de la papa, a nivel nacional y regional, con énfasis en departamentos y municipios con alta importancia para la cadena de la papa.</v>
      </c>
      <c r="C19" s="692"/>
      <c r="D19" s="692"/>
      <c r="E19" s="692"/>
      <c r="F19" s="692"/>
      <c r="G19" s="692"/>
      <c r="H19" s="692"/>
    </row>
    <row r="20" spans="2:24" ht="29.1" customHeight="1" x14ac:dyDescent="0.25">
      <c r="B20" s="683" t="str">
        <f>Portafolio_PA_Papa!E122</f>
        <v xml:space="preserve">8.1.4. Estructurar el presupuesto para cada uno de los proyectos de este Plan de Acción, teniendo en cuenta la estimación de costos del portafolio de programas y proyectos, los actores líderes y aliados, y los instrumentos de política identificados en el entorno político y gestionar ante las entidades pertinentes, tanto nacionales como locales, los recursos requeridos su implementación. </v>
      </c>
      <c r="C20" s="692"/>
      <c r="D20" s="692"/>
      <c r="E20" s="692"/>
      <c r="F20" s="692"/>
      <c r="G20" s="692"/>
      <c r="H20" s="692"/>
    </row>
    <row r="21" spans="2:24" ht="17.45" customHeight="1" x14ac:dyDescent="0.25">
      <c r="B21" s="683" t="str">
        <f>Portafolio_PA_Papa!E123</f>
        <v xml:space="preserve">8.1.5. Diseñar e implementar, por parte de la UPRA, el sistema de seguimiento y evaluación del Plan de Ordenamiento Productivo para la cadena de la papa, </v>
      </c>
      <c r="C21" s="692"/>
      <c r="D21" s="692"/>
      <c r="E21" s="692"/>
      <c r="F21" s="692"/>
      <c r="G21" s="692"/>
      <c r="H21" s="692"/>
    </row>
    <row r="22" spans="2:24" ht="15" x14ac:dyDescent="0.25">
      <c r="B22" s="534"/>
      <c r="C22" s="547"/>
      <c r="D22" s="547"/>
      <c r="E22" s="547"/>
      <c r="F22" s="547"/>
      <c r="G22" s="547"/>
      <c r="H22" s="547"/>
    </row>
    <row r="23" spans="2:24" s="99" customFormat="1" ht="14.45" customHeight="1" x14ac:dyDescent="0.25">
      <c r="B23" s="693" t="s">
        <v>1128</v>
      </c>
      <c r="C23" s="698"/>
      <c r="D23" s="698"/>
      <c r="E23" s="698"/>
      <c r="F23" s="698"/>
      <c r="G23" s="698"/>
      <c r="H23" s="698"/>
      <c r="I23" s="318"/>
      <c r="X23" s="100"/>
    </row>
    <row r="24" spans="2:24" ht="15" x14ac:dyDescent="0.25">
      <c r="B24" s="26" t="s">
        <v>5</v>
      </c>
      <c r="C24" s="26" t="s">
        <v>6</v>
      </c>
      <c r="D24" s="26" t="s">
        <v>7</v>
      </c>
      <c r="E24" s="26" t="s">
        <v>8</v>
      </c>
      <c r="F24" s="27" t="s">
        <v>9</v>
      </c>
      <c r="G24" s="26" t="s">
        <v>10</v>
      </c>
      <c r="H24" s="26" t="s">
        <v>11</v>
      </c>
      <c r="X24" s="28"/>
    </row>
    <row r="25" spans="2:24" x14ac:dyDescent="0.2">
      <c r="B25" s="33" t="s">
        <v>12</v>
      </c>
      <c r="C25" s="29">
        <v>12</v>
      </c>
      <c r="D25" s="29" t="s">
        <v>13</v>
      </c>
      <c r="E25" s="30">
        <v>500000</v>
      </c>
      <c r="F25" s="66"/>
      <c r="G25" s="66"/>
      <c r="H25" s="31">
        <f>+C25*E25</f>
        <v>6000000</v>
      </c>
    </row>
    <row r="26" spans="2:24" x14ac:dyDescent="0.2">
      <c r="B26" s="33" t="s">
        <v>95</v>
      </c>
      <c r="C26" s="29">
        <v>24</v>
      </c>
      <c r="D26" s="29" t="s">
        <v>13</v>
      </c>
      <c r="E26" s="30">
        <v>100000</v>
      </c>
      <c r="F26" s="66"/>
      <c r="G26" s="66"/>
      <c r="H26" s="31">
        <f t="shared" ref="H26:H28" si="5">+C26*E26</f>
        <v>2400000</v>
      </c>
    </row>
    <row r="27" spans="2:24" x14ac:dyDescent="0.2">
      <c r="B27" s="72" t="s">
        <v>96</v>
      </c>
      <c r="C27" s="29">
        <v>13</v>
      </c>
      <c r="D27" s="29" t="s">
        <v>13</v>
      </c>
      <c r="E27" s="30">
        <v>1625000</v>
      </c>
      <c r="F27" s="66"/>
      <c r="G27" s="66"/>
      <c r="H27" s="31">
        <f t="shared" si="5"/>
        <v>21125000</v>
      </c>
      <c r="I27" s="32"/>
      <c r="J27" s="4"/>
    </row>
    <row r="28" spans="2:24" x14ac:dyDescent="0.2">
      <c r="B28" s="73" t="s">
        <v>97</v>
      </c>
      <c r="C28" s="29">
        <v>12</v>
      </c>
      <c r="D28" s="29" t="s">
        <v>13</v>
      </c>
      <c r="E28" s="30">
        <v>3000000</v>
      </c>
      <c r="F28" s="66"/>
      <c r="G28" s="66"/>
      <c r="H28" s="31">
        <f t="shared" si="5"/>
        <v>36000000</v>
      </c>
    </row>
    <row r="29" spans="2:24" x14ac:dyDescent="0.2">
      <c r="B29" s="73" t="s">
        <v>35</v>
      </c>
      <c r="C29" s="29">
        <v>4</v>
      </c>
      <c r="D29" s="29" t="s">
        <v>87</v>
      </c>
      <c r="E29" s="30">
        <v>8963563</v>
      </c>
      <c r="F29" s="74">
        <v>0.5</v>
      </c>
      <c r="G29" s="66">
        <v>10</v>
      </c>
      <c r="H29" s="31">
        <f>C29*E29*G29*F29</f>
        <v>179271260</v>
      </c>
    </row>
    <row r="30" spans="2:24" x14ac:dyDescent="0.2">
      <c r="B30" s="73" t="s">
        <v>98</v>
      </c>
      <c r="C30" s="29">
        <v>8</v>
      </c>
      <c r="D30" s="29" t="s">
        <v>13</v>
      </c>
      <c r="E30" s="30">
        <v>1213122</v>
      </c>
      <c r="F30" s="74"/>
      <c r="G30" s="66"/>
      <c r="H30" s="31">
        <f>+C30*E30</f>
        <v>9704976</v>
      </c>
    </row>
    <row r="31" spans="2:24" x14ac:dyDescent="0.2">
      <c r="B31" s="73" t="s">
        <v>99</v>
      </c>
      <c r="C31" s="29">
        <v>4</v>
      </c>
      <c r="D31" s="29" t="s">
        <v>13</v>
      </c>
      <c r="E31" s="30">
        <v>18452126</v>
      </c>
      <c r="F31" s="74"/>
      <c r="G31" s="66"/>
      <c r="H31" s="31">
        <f>+C31*E31</f>
        <v>73808504</v>
      </c>
    </row>
    <row r="32" spans="2:24" x14ac:dyDescent="0.2">
      <c r="B32" s="72" t="s">
        <v>83</v>
      </c>
      <c r="C32" s="29">
        <v>1</v>
      </c>
      <c r="D32" s="29" t="s">
        <v>87</v>
      </c>
      <c r="E32" s="30">
        <v>7862772</v>
      </c>
      <c r="F32" s="66"/>
      <c r="G32" s="66">
        <v>4</v>
      </c>
      <c r="H32" s="31">
        <f>+C32*E32*G32</f>
        <v>31451088</v>
      </c>
      <c r="I32" s="35"/>
      <c r="J32" s="4"/>
    </row>
    <row r="33" spans="1:10" x14ac:dyDescent="0.2">
      <c r="B33" s="72" t="s">
        <v>100</v>
      </c>
      <c r="C33" s="29">
        <v>9</v>
      </c>
      <c r="D33" s="29" t="s">
        <v>87</v>
      </c>
      <c r="E33" s="30">
        <v>3931384</v>
      </c>
      <c r="F33" s="75"/>
      <c r="G33" s="66">
        <v>4</v>
      </c>
      <c r="H33" s="31">
        <f t="shared" ref="H33:H35" si="6">+C33*E33*G33</f>
        <v>141529824</v>
      </c>
      <c r="I33" s="35"/>
      <c r="J33" s="4"/>
    </row>
    <row r="34" spans="1:10" x14ac:dyDescent="0.2">
      <c r="B34" s="72" t="s">
        <v>43</v>
      </c>
      <c r="C34" s="29">
        <v>9</v>
      </c>
      <c r="D34" s="29" t="s">
        <v>82</v>
      </c>
      <c r="E34" s="30">
        <v>1160000</v>
      </c>
      <c r="F34" s="75"/>
      <c r="G34" s="66">
        <v>4</v>
      </c>
      <c r="H34" s="31">
        <f t="shared" si="6"/>
        <v>41760000</v>
      </c>
      <c r="I34" s="35"/>
      <c r="J34" s="4"/>
    </row>
    <row r="35" spans="1:10" x14ac:dyDescent="0.2">
      <c r="B35" s="72" t="s">
        <v>44</v>
      </c>
      <c r="C35" s="29">
        <v>9</v>
      </c>
      <c r="D35" s="29" t="s">
        <v>13</v>
      </c>
      <c r="E35" s="30">
        <v>120000</v>
      </c>
      <c r="F35" s="75"/>
      <c r="G35" s="66">
        <v>4</v>
      </c>
      <c r="H35" s="31">
        <f t="shared" si="6"/>
        <v>4320000</v>
      </c>
      <c r="I35" s="35"/>
      <c r="J35" s="4"/>
    </row>
    <row r="36" spans="1:10" x14ac:dyDescent="0.2">
      <c r="B36" s="73" t="s">
        <v>512</v>
      </c>
      <c r="C36" s="29">
        <v>2</v>
      </c>
      <c r="D36" s="29" t="s">
        <v>13</v>
      </c>
      <c r="E36" s="34">
        <v>8963563</v>
      </c>
      <c r="F36" s="66"/>
      <c r="G36" s="66">
        <v>4</v>
      </c>
      <c r="H36" s="31">
        <f>C36*E36*G36</f>
        <v>71708504</v>
      </c>
      <c r="I36" s="35"/>
    </row>
    <row r="37" spans="1:10" ht="15" x14ac:dyDescent="0.25">
      <c r="B37" s="39" t="s">
        <v>1</v>
      </c>
      <c r="C37" s="41"/>
      <c r="D37" s="41"/>
      <c r="E37" s="41"/>
      <c r="F37" s="42"/>
      <c r="G37" s="42"/>
      <c r="H37" s="43">
        <f>SUM(H25:H36)-H36</f>
        <v>547370652</v>
      </c>
      <c r="I37" s="35"/>
    </row>
    <row r="38" spans="1:10" ht="15" x14ac:dyDescent="0.25">
      <c r="B38" s="76" t="s">
        <v>513</v>
      </c>
      <c r="C38" s="77"/>
      <c r="D38" s="77"/>
      <c r="E38" s="77"/>
      <c r="F38" s="78"/>
      <c r="G38" s="78"/>
      <c r="H38" s="79">
        <f>H36</f>
        <v>71708504</v>
      </c>
      <c r="I38" s="35"/>
    </row>
    <row r="39" spans="1:10" ht="152.1" customHeight="1" x14ac:dyDescent="0.2">
      <c r="B39" s="176" t="s">
        <v>539</v>
      </c>
      <c r="C39" s="230"/>
      <c r="D39" s="45"/>
      <c r="E39" s="45"/>
      <c r="F39" s="80"/>
      <c r="G39" s="45"/>
      <c r="H39" s="45"/>
      <c r="I39" s="35"/>
    </row>
    <row r="40" spans="1:10" s="4" customFormat="1" ht="23.25" customHeight="1" x14ac:dyDescent="0.2">
      <c r="B40" s="44"/>
      <c r="C40" s="45"/>
      <c r="D40" s="45"/>
      <c r="E40" s="45"/>
      <c r="F40" s="45"/>
      <c r="G40" s="45"/>
      <c r="H40" s="45"/>
      <c r="I40" s="2"/>
      <c r="J40" s="2"/>
    </row>
    <row r="41" spans="1:10" ht="15" x14ac:dyDescent="0.25">
      <c r="B41" s="45"/>
      <c r="C41" s="45"/>
      <c r="D41" s="45"/>
      <c r="E41" s="45"/>
      <c r="F41" s="45"/>
      <c r="G41" s="45"/>
      <c r="H41" s="45"/>
      <c r="I41" s="46"/>
    </row>
    <row r="42" spans="1:10" s="4" customFormat="1" ht="14.45" customHeight="1" x14ac:dyDescent="0.25">
      <c r="A42" s="47"/>
      <c r="B42" s="680" t="str">
        <f>B9</f>
        <v>8.2. Fortalecimiento de la Organización de Cadena de la papa</v>
      </c>
      <c r="C42" s="681"/>
      <c r="D42" s="681"/>
      <c r="E42" s="681"/>
      <c r="F42" s="681"/>
      <c r="G42" s="681"/>
      <c r="H42" s="681"/>
    </row>
    <row r="43" spans="1:10" ht="41.1" customHeight="1" x14ac:dyDescent="0.25">
      <c r="B43" s="683" t="str">
        <f>Portafolio_PA_Papa!E124</f>
        <v>8.2.1. Realizar un análisis de alternativas orientadas a que el Consejo Nacional de la Papa, fortalezca su capacidad ejecutiva, técnica y operativa, con participación representativa de los actores de la cadena tanto en el ámbito nacional como regional, así como para crear y fortalecer los comités regionales; seleccionando la alternativa óptima que cuente con factibilidad técnica, financiera y jurídica para su desarrollo, acorde con lo establecido sobre la creación y funcionamiento de organizaciones de cadena en el sector agropecuario (Ley 811 de 2003) y la Resolución 81 de 2011 de Minagricultura que reconoce la Organización de la Cadena Agroalimentaria de la Papa y su Industria.</v>
      </c>
      <c r="C43" s="692"/>
      <c r="D43" s="692"/>
      <c r="E43" s="692"/>
      <c r="F43" s="692"/>
      <c r="G43" s="692"/>
      <c r="H43" s="692"/>
    </row>
    <row r="44" spans="1:10" ht="15" x14ac:dyDescent="0.25">
      <c r="B44" s="683" t="str">
        <f>Portafolio_PA_Papa!E125</f>
        <v>8.2.2. Fortalecer el Consejo Nacional de la Papa y sus Comités Regionales, de acuerdo con la alternativa óptima seleccionada, mediante un proceso concertado y participativo entre los miembros de este Consejo.</v>
      </c>
      <c r="C44" s="692"/>
      <c r="D44" s="692"/>
      <c r="E44" s="692"/>
      <c r="F44" s="692"/>
      <c r="G44" s="692"/>
      <c r="H44" s="692"/>
    </row>
    <row r="45" spans="1:10" ht="30.95" customHeight="1" x14ac:dyDescent="0.25">
      <c r="B45" s="683" t="str">
        <f>Portafolio_PA_Papa!E126</f>
        <v>8.2.3. Consolidar la gestión del Consejo Nacional de la Papa, a través de la gestión gradual del Plan de Ordenamiento Productivo para la cadena la papa y los Planes Maestros de Reconversión Productiva - PMRP, en articulación con los diferentes instrumentos de política relacionados con el sector.</v>
      </c>
      <c r="C45" s="692"/>
      <c r="D45" s="692"/>
      <c r="E45" s="692"/>
      <c r="F45" s="692"/>
      <c r="G45" s="692"/>
      <c r="H45" s="692"/>
    </row>
    <row r="46" spans="1:10" ht="29.1" customHeight="1" x14ac:dyDescent="0.25">
      <c r="B46" s="683"/>
      <c r="C46" s="692"/>
      <c r="D46" s="692"/>
      <c r="E46" s="692"/>
      <c r="F46" s="692"/>
      <c r="G46" s="692"/>
      <c r="H46" s="692"/>
    </row>
    <row r="47" spans="1:10" ht="17.45" customHeight="1" x14ac:dyDescent="0.25">
      <c r="B47" s="693" t="s">
        <v>1128</v>
      </c>
      <c r="C47" s="698"/>
      <c r="D47" s="698"/>
      <c r="E47" s="698"/>
      <c r="F47" s="698"/>
      <c r="G47" s="698"/>
      <c r="H47" s="698"/>
    </row>
    <row r="48" spans="1:10" ht="15" x14ac:dyDescent="0.25">
      <c r="B48" s="26" t="s">
        <v>5</v>
      </c>
      <c r="C48" s="26" t="s">
        <v>6</v>
      </c>
      <c r="D48" s="26" t="s">
        <v>7</v>
      </c>
      <c r="E48" s="26" t="s">
        <v>8</v>
      </c>
      <c r="F48" s="26" t="s">
        <v>48</v>
      </c>
      <c r="G48" s="26" t="s">
        <v>10</v>
      </c>
      <c r="H48" s="26" t="s">
        <v>11</v>
      </c>
    </row>
    <row r="49" spans="1:10" s="4" customFormat="1" x14ac:dyDescent="0.2">
      <c r="A49" s="48"/>
      <c r="B49" s="29" t="s">
        <v>12</v>
      </c>
      <c r="C49" s="81">
        <v>8</v>
      </c>
      <c r="D49" s="29" t="s">
        <v>13</v>
      </c>
      <c r="E49" s="30">
        <v>500000</v>
      </c>
      <c r="F49" s="29"/>
      <c r="G49" s="29"/>
      <c r="H49" s="31">
        <f>+C49*E49</f>
        <v>4000000</v>
      </c>
      <c r="I49" s="37"/>
    </row>
    <row r="50" spans="1:10" s="4" customFormat="1" x14ac:dyDescent="0.2">
      <c r="B50" s="29" t="s">
        <v>101</v>
      </c>
      <c r="C50" s="81">
        <v>8</v>
      </c>
      <c r="D50" s="29" t="s">
        <v>13</v>
      </c>
      <c r="E50" s="30">
        <v>100000</v>
      </c>
      <c r="F50" s="29"/>
      <c r="G50" s="29"/>
      <c r="H50" s="31">
        <f>+C50*E50</f>
        <v>800000</v>
      </c>
      <c r="I50" s="37"/>
    </row>
    <row r="51" spans="1:10" s="4" customFormat="1" x14ac:dyDescent="0.2">
      <c r="B51" s="29" t="s">
        <v>96</v>
      </c>
      <c r="C51" s="81">
        <v>4</v>
      </c>
      <c r="D51" s="29" t="s">
        <v>13</v>
      </c>
      <c r="E51" s="30">
        <v>1625000</v>
      </c>
      <c r="F51" s="29"/>
      <c r="G51" s="29"/>
      <c r="H51" s="31">
        <f>+C51*E51</f>
        <v>6500000</v>
      </c>
      <c r="I51" s="37"/>
    </row>
    <row r="52" spans="1:10" x14ac:dyDescent="0.2">
      <c r="B52" s="73" t="s">
        <v>35</v>
      </c>
      <c r="C52" s="81">
        <v>4</v>
      </c>
      <c r="D52" s="29" t="s">
        <v>87</v>
      </c>
      <c r="E52" s="30">
        <v>8963563</v>
      </c>
      <c r="F52" s="36">
        <v>0.5</v>
      </c>
      <c r="G52" s="29">
        <v>10</v>
      </c>
      <c r="H52" s="31">
        <f>+C52*E52*G52*F52</f>
        <v>179271260</v>
      </c>
      <c r="I52" s="32"/>
      <c r="J52" s="4"/>
    </row>
    <row r="53" spans="1:10" x14ac:dyDescent="0.2">
      <c r="B53" s="73" t="s">
        <v>98</v>
      </c>
      <c r="C53" s="73">
        <v>8</v>
      </c>
      <c r="D53" s="73" t="s">
        <v>82</v>
      </c>
      <c r="E53" s="82">
        <v>1213122</v>
      </c>
      <c r="F53" s="73"/>
      <c r="G53" s="73"/>
      <c r="H53" s="83">
        <f>+C53*E53</f>
        <v>9704976</v>
      </c>
      <c r="I53" s="32"/>
      <c r="J53" s="4"/>
    </row>
    <row r="54" spans="1:10" x14ac:dyDescent="0.2">
      <c r="B54" s="73" t="s">
        <v>99</v>
      </c>
      <c r="C54" s="73">
        <v>2</v>
      </c>
      <c r="D54" s="73" t="s">
        <v>82</v>
      </c>
      <c r="E54" s="82">
        <v>1438122</v>
      </c>
      <c r="F54" s="73"/>
      <c r="G54" s="73"/>
      <c r="H54" s="83">
        <f>+C54*E54</f>
        <v>2876244</v>
      </c>
      <c r="I54" s="32"/>
      <c r="J54" s="4"/>
    </row>
    <row r="55" spans="1:10" x14ac:dyDescent="0.2">
      <c r="B55" s="72" t="s">
        <v>100</v>
      </c>
      <c r="C55" s="81">
        <v>4</v>
      </c>
      <c r="D55" s="29" t="s">
        <v>87</v>
      </c>
      <c r="E55" s="30">
        <v>3931384</v>
      </c>
      <c r="F55" s="29"/>
      <c r="G55" s="29">
        <v>8</v>
      </c>
      <c r="H55" s="31">
        <f>C55*E55*G55</f>
        <v>125804288</v>
      </c>
      <c r="I55" s="32"/>
      <c r="J55" s="4"/>
    </row>
    <row r="56" spans="1:10" s="4" customFormat="1" x14ac:dyDescent="0.2">
      <c r="A56" s="48"/>
      <c r="B56" s="72" t="s">
        <v>43</v>
      </c>
      <c r="C56" s="84">
        <v>4</v>
      </c>
      <c r="D56" s="29" t="s">
        <v>87</v>
      </c>
      <c r="E56" s="30">
        <v>1160000</v>
      </c>
      <c r="F56" s="29"/>
      <c r="G56" s="29">
        <v>8</v>
      </c>
      <c r="H56" s="31">
        <f t="shared" ref="H56:H57" si="7">C56*E56*G56</f>
        <v>37120000</v>
      </c>
      <c r="I56" s="35"/>
    </row>
    <row r="57" spans="1:10" s="4" customFormat="1" x14ac:dyDescent="0.2">
      <c r="A57" s="48"/>
      <c r="B57" s="73" t="s">
        <v>44</v>
      </c>
      <c r="C57" s="84">
        <v>4</v>
      </c>
      <c r="D57" s="29" t="s">
        <v>87</v>
      </c>
      <c r="E57" s="30">
        <v>120000</v>
      </c>
      <c r="F57" s="29"/>
      <c r="G57" s="29">
        <v>8</v>
      </c>
      <c r="H57" s="31">
        <f t="shared" si="7"/>
        <v>3840000</v>
      </c>
      <c r="I57" s="49"/>
    </row>
    <row r="58" spans="1:10" s="4" customFormat="1" ht="15" x14ac:dyDescent="0.25">
      <c r="B58" s="73" t="s">
        <v>104</v>
      </c>
      <c r="C58" s="84"/>
      <c r="E58" s="30"/>
      <c r="F58" s="29"/>
      <c r="G58" s="29"/>
      <c r="H58" s="85" t="s">
        <v>93</v>
      </c>
      <c r="I58" s="57" t="s">
        <v>501</v>
      </c>
    </row>
    <row r="59" spans="1:10" ht="15" x14ac:dyDescent="0.25">
      <c r="B59" s="39"/>
      <c r="C59" s="41"/>
      <c r="D59" s="41"/>
      <c r="E59" s="42"/>
      <c r="F59" s="42"/>
      <c r="G59" s="41"/>
      <c r="H59" s="57">
        <f>SUM(H49:H58)</f>
        <v>369916768</v>
      </c>
      <c r="I59" s="57">
        <f>H59/12</f>
        <v>30826397.333333332</v>
      </c>
    </row>
    <row r="60" spans="1:10" s="4" customFormat="1" ht="260.45" hidden="1" customHeight="1" x14ac:dyDescent="0.25">
      <c r="B60" s="58" t="s">
        <v>68</v>
      </c>
      <c r="C60" s="45"/>
      <c r="D60" s="45"/>
      <c r="E60" s="45"/>
      <c r="F60" s="45"/>
      <c r="G60" s="45"/>
      <c r="H60" s="57">
        <f>SUM(H50:H59)</f>
        <v>735833536</v>
      </c>
      <c r="I60" s="2"/>
      <c r="J60" s="2"/>
    </row>
    <row r="61" spans="1:10" ht="120" customHeight="1" x14ac:dyDescent="0.2">
      <c r="B61" s="175" t="s">
        <v>424</v>
      </c>
      <c r="C61" s="4"/>
      <c r="D61" s="4"/>
      <c r="E61" s="4"/>
      <c r="F61" s="25"/>
      <c r="G61" s="25"/>
    </row>
    <row r="62" spans="1:10" x14ac:dyDescent="0.2">
      <c r="B62" s="4"/>
      <c r="C62" s="4"/>
      <c r="D62" s="4"/>
      <c r="E62" s="4"/>
      <c r="F62" s="4"/>
      <c r="G62" s="4"/>
    </row>
    <row r="63" spans="1:10" ht="15" x14ac:dyDescent="0.25">
      <c r="B63" s="680" t="str">
        <f>+B10</f>
        <v>8.3. Desarrollo de un Sistema integral de información para la cadena de la papa</v>
      </c>
      <c r="C63" s="681"/>
      <c r="D63" s="681"/>
      <c r="E63" s="681"/>
      <c r="F63" s="681"/>
      <c r="G63" s="681"/>
      <c r="H63" s="681"/>
    </row>
    <row r="64" spans="1:10" ht="60" customHeight="1" x14ac:dyDescent="0.25">
      <c r="B64" s="683" t="str">
        <f>Portafolio_PA_Papa!E127</f>
        <v xml:space="preserve">8.3.1. Elaborar un estudio técnico, financiero, jurídico y operativo para el desarrollo de un Sistema integral de Información para la cadena de la papa,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y seleccionando la mejor alternativa para la gestión de la información sectorial a nivel nacional y regional, articulada con el Plan Estadístico Sectorial Agropecuario - PES Agropecuario  2022-2026 y el Sistema Nacional Unificado de Información Rural y Agropecuaria - SNUIRA. </v>
      </c>
      <c r="C64" s="692"/>
      <c r="D64" s="692"/>
      <c r="E64" s="692"/>
      <c r="F64" s="692"/>
      <c r="G64" s="692"/>
      <c r="H64" s="692"/>
    </row>
    <row r="65" spans="2:8" ht="15" x14ac:dyDescent="0.25">
      <c r="B65" s="683" t="str">
        <f>Portafolio_PA_Papa!E128</f>
        <v xml:space="preserve">8.3.2. Poner en funcionamiento el sistema de información para la cadena de la papa, a partir del establecimiento de acuerdos con los actores generadores de información, en articulación con el Plan estratégico estadístico del sector y con los subsistemas interoperables del Sistema Nacional Unificado de Información Rural y Agropecuaria (SNUIRA), realizando el levantamiento, procesamiento, análisis, monitoreo, actualización, publicación y divulgación de la información requerida por los diferentes actores, estableciendo con un registro de productores y área sembrada, dirigidos al monitoreo de la competitividad y sostenibilidad de la cadena estableciendo:  reportes y análisis de precio y calidad de la papa y sus derivados, indicadores de costos y eficiencia productiva y de desempeño (área, producción y rendimiento), consumo aparente, monitoreo y reporte del clima basado en escenarios de variabilidad climática y cambio climático, así como de afectación y riesgo agroclimático, a nivel nacional, regional y local, entre otros. </v>
      </c>
      <c r="C65" s="692"/>
      <c r="D65" s="692"/>
      <c r="E65" s="692"/>
      <c r="F65" s="692"/>
      <c r="G65" s="692"/>
      <c r="H65" s="692"/>
    </row>
    <row r="66" spans="2:8" ht="30.95" customHeight="1" x14ac:dyDescent="0.25">
      <c r="B66" s="683" t="str">
        <f>Portafolio_PA_Papa!E129</f>
        <v>8.3.3. Caracterizar la producción, comercialización y procesamiento de la papa, a nivel regional, identificando productores, empresas, esquemas asociativos, y de integración vertical y horizontal, actuales y potenciales, y su oferta de productos y desempeño, modelos de negocio exitosos a lo largo de la cadena, inventario de la infraestructura y equipos para almacenamiento, adecuación y transformación, e identificación de productores de semilla certificada, necesidades de formación básica y técnica de productores, procesadores, y comercializadores, entre otros aspectos.</v>
      </c>
      <c r="C66" s="692"/>
      <c r="D66" s="692"/>
      <c r="E66" s="692"/>
      <c r="F66" s="692"/>
      <c r="G66" s="692"/>
      <c r="H66" s="692"/>
    </row>
    <row r="67" spans="2:8" ht="30.95" customHeight="1" x14ac:dyDescent="0.25">
      <c r="B67" s="683" t="str">
        <f>Portafolio_PA_Papa!E130</f>
        <v>8.3.4. Realizar un estudio del mercado nacional e internacional de la papa y sus derivados, incluidos los diferenciados, actualizando permanentemente la información sobre el comportamiento de la demanda de estos, así como caracterizar el consumo nacional de la papa y sus derivados, en sus diferentes segmentos de mercado, escalas de producción y tipos de industria.</v>
      </c>
      <c r="C67" s="692"/>
      <c r="D67" s="692"/>
      <c r="E67" s="692"/>
      <c r="F67" s="692"/>
      <c r="G67" s="692"/>
      <c r="H67" s="692"/>
    </row>
    <row r="68" spans="2:8" ht="12.95" customHeight="1" x14ac:dyDescent="0.25">
      <c r="B68" s="534"/>
      <c r="C68" s="547"/>
      <c r="D68" s="547"/>
      <c r="E68" s="547"/>
      <c r="F68" s="547"/>
      <c r="G68" s="547"/>
      <c r="H68" s="547"/>
    </row>
    <row r="69" spans="2:8" ht="17.45" customHeight="1" x14ac:dyDescent="0.25">
      <c r="B69" s="693" t="s">
        <v>1128</v>
      </c>
      <c r="C69" s="698"/>
      <c r="D69" s="698"/>
      <c r="E69" s="698"/>
      <c r="F69" s="698"/>
      <c r="G69" s="698"/>
      <c r="H69" s="698"/>
    </row>
    <row r="70" spans="2:8" ht="15" x14ac:dyDescent="0.25">
      <c r="B70" s="26" t="s">
        <v>5</v>
      </c>
      <c r="C70" s="26" t="s">
        <v>6</v>
      </c>
      <c r="D70" s="26" t="s">
        <v>7</v>
      </c>
      <c r="E70" s="26" t="s">
        <v>8</v>
      </c>
      <c r="F70" s="26" t="s">
        <v>48</v>
      </c>
      <c r="G70" s="26" t="s">
        <v>10</v>
      </c>
      <c r="H70" s="26" t="s">
        <v>11</v>
      </c>
    </row>
    <row r="71" spans="2:8" x14ac:dyDescent="0.2">
      <c r="B71" s="86" t="s">
        <v>58</v>
      </c>
      <c r="C71" s="29">
        <v>13</v>
      </c>
      <c r="D71" s="29"/>
      <c r="E71" s="30">
        <v>1625000</v>
      </c>
      <c r="F71" s="29"/>
      <c r="G71" s="29"/>
      <c r="H71" s="31">
        <f>+C71*E71</f>
        <v>21125000</v>
      </c>
    </row>
    <row r="72" spans="2:8" x14ac:dyDescent="0.2">
      <c r="B72" s="87" t="s">
        <v>12</v>
      </c>
      <c r="C72" s="29">
        <v>12</v>
      </c>
      <c r="D72" s="29"/>
      <c r="E72" s="30">
        <v>500000</v>
      </c>
      <c r="F72" s="29"/>
      <c r="G72" s="29"/>
      <c r="H72" s="31">
        <f>+C72*E72</f>
        <v>6000000</v>
      </c>
    </row>
    <row r="73" spans="2:8" x14ac:dyDescent="0.2">
      <c r="B73" s="86" t="s">
        <v>14</v>
      </c>
      <c r="C73" s="29">
        <v>24</v>
      </c>
      <c r="D73" s="29"/>
      <c r="E73" s="30">
        <v>100000</v>
      </c>
      <c r="F73" s="29"/>
      <c r="G73" s="29"/>
      <c r="H73" s="31">
        <f>+C73*E73</f>
        <v>2400000</v>
      </c>
    </row>
    <row r="74" spans="2:8" x14ac:dyDescent="0.2">
      <c r="B74" s="86" t="s">
        <v>15</v>
      </c>
      <c r="C74" s="29">
        <v>1</v>
      </c>
      <c r="D74" s="29"/>
      <c r="E74" s="30">
        <v>11349940</v>
      </c>
      <c r="F74" s="29"/>
      <c r="G74" s="29"/>
      <c r="H74" s="31">
        <f>+C74*E74</f>
        <v>11349940</v>
      </c>
    </row>
    <row r="75" spans="2:8" x14ac:dyDescent="0.2">
      <c r="B75" s="87" t="s">
        <v>86</v>
      </c>
      <c r="C75" s="29">
        <v>3</v>
      </c>
      <c r="D75" s="29"/>
      <c r="E75" s="30">
        <v>8963563</v>
      </c>
      <c r="F75" s="29"/>
      <c r="G75" s="29">
        <v>10</v>
      </c>
      <c r="H75" s="31">
        <f>+C75*E75*G75</f>
        <v>268906890</v>
      </c>
    </row>
    <row r="76" spans="2:8" x14ac:dyDescent="0.2">
      <c r="B76" s="87" t="s">
        <v>98</v>
      </c>
      <c r="C76" s="29">
        <v>8</v>
      </c>
      <c r="D76" s="29"/>
      <c r="E76" s="30">
        <v>1213122</v>
      </c>
      <c r="F76" s="29"/>
      <c r="G76" s="29"/>
      <c r="H76" s="31">
        <f>+C76*E76</f>
        <v>9704976</v>
      </c>
    </row>
    <row r="77" spans="2:8" x14ac:dyDescent="0.2">
      <c r="B77" s="87" t="s">
        <v>99</v>
      </c>
      <c r="C77" s="29">
        <v>4</v>
      </c>
      <c r="D77" s="29"/>
      <c r="E77" s="30">
        <v>1438122</v>
      </c>
      <c r="F77" s="29"/>
      <c r="G77" s="29"/>
      <c r="H77" s="31">
        <f>+C77*E77</f>
        <v>5752488</v>
      </c>
    </row>
    <row r="78" spans="2:8" x14ac:dyDescent="0.2">
      <c r="B78" s="87" t="s">
        <v>90</v>
      </c>
      <c r="C78" s="29">
        <v>12</v>
      </c>
      <c r="D78" s="29"/>
      <c r="E78" s="30">
        <v>3931384</v>
      </c>
      <c r="F78" s="29"/>
      <c r="G78" s="29">
        <v>8</v>
      </c>
      <c r="H78" s="31">
        <f>+C78*E78*G78</f>
        <v>377412864</v>
      </c>
    </row>
    <row r="79" spans="2:8" x14ac:dyDescent="0.2">
      <c r="B79" s="87" t="s">
        <v>43</v>
      </c>
      <c r="C79" s="29">
        <v>12</v>
      </c>
      <c r="D79" s="29"/>
      <c r="E79" s="30">
        <v>1160000</v>
      </c>
      <c r="F79" s="29"/>
      <c r="G79" s="29">
        <v>8</v>
      </c>
      <c r="H79" s="31">
        <f>+C79*E79*G79</f>
        <v>111360000</v>
      </c>
    </row>
    <row r="80" spans="2:8" x14ac:dyDescent="0.2">
      <c r="B80" s="73" t="s">
        <v>44</v>
      </c>
      <c r="C80" s="33">
        <v>12</v>
      </c>
      <c r="D80" s="29"/>
      <c r="E80" s="30">
        <v>120000</v>
      </c>
      <c r="F80" s="29"/>
      <c r="G80" s="29">
        <v>8</v>
      </c>
      <c r="H80" s="31">
        <f>+C80*E80*G80</f>
        <v>11520000</v>
      </c>
    </row>
    <row r="81" spans="2:9" ht="15" x14ac:dyDescent="0.25">
      <c r="B81" s="88" t="s">
        <v>102</v>
      </c>
      <c r="C81" s="33"/>
      <c r="D81" s="4"/>
      <c r="E81" s="30"/>
      <c r="F81" s="29"/>
      <c r="G81" s="29"/>
      <c r="H81" s="89" t="s">
        <v>46</v>
      </c>
      <c r="I81" s="57" t="s">
        <v>501</v>
      </c>
    </row>
    <row r="82" spans="2:9" ht="15" x14ac:dyDescent="0.25">
      <c r="B82" s="39"/>
      <c r="C82" s="41"/>
      <c r="D82" s="41"/>
      <c r="E82" s="42"/>
      <c r="F82" s="42"/>
      <c r="G82" s="41"/>
      <c r="H82" s="57">
        <f>SUM(H71:H81)</f>
        <v>825532158</v>
      </c>
      <c r="I82" s="57">
        <f>H82/12</f>
        <v>68794346.5</v>
      </c>
    </row>
    <row r="83" spans="2:9" ht="214.5" customHeight="1" x14ac:dyDescent="0.2">
      <c r="B83" s="108" t="s">
        <v>425</v>
      </c>
    </row>
    <row r="85" spans="2:9" ht="15" x14ac:dyDescent="0.25">
      <c r="B85" s="680" t="str">
        <f>+B11</f>
        <v>8.4. Fortalecimiento y creación de instrumentos de financiamiento, comercialización, gestión de riesgos y empresarización para la cadena de la papa</v>
      </c>
      <c r="C85" s="681"/>
      <c r="D85" s="681"/>
      <c r="E85" s="681"/>
      <c r="F85" s="681"/>
      <c r="G85" s="681"/>
      <c r="H85" s="681"/>
    </row>
    <row r="86" spans="2:9" ht="27.6" customHeight="1" x14ac:dyDescent="0.25">
      <c r="B86" s="683" t="str">
        <f>Portafolio_PA_Papa!E131</f>
        <v xml:space="preserve">8.4.1.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v>
      </c>
      <c r="C86" s="692"/>
      <c r="D86" s="692"/>
      <c r="E86" s="692"/>
      <c r="F86" s="692"/>
      <c r="G86" s="692"/>
      <c r="H86" s="692"/>
    </row>
    <row r="87" spans="2:9" ht="30.95" customHeight="1" x14ac:dyDescent="0.25">
      <c r="B87" s="683" t="str">
        <f>Portafolio_PA_Papa!E132</f>
        <v>8.4.2.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v>
      </c>
      <c r="C87" s="692"/>
      <c r="D87" s="692"/>
      <c r="E87" s="692"/>
      <c r="F87" s="692"/>
      <c r="G87" s="692"/>
      <c r="H87" s="692"/>
    </row>
    <row r="88" spans="2:9" ht="30.95" customHeight="1" x14ac:dyDescent="0.25">
      <c r="B88" s="683" t="str">
        <f>Portafolio_PA_Papa!E133</f>
        <v xml:space="preserve">8.4.3. Diseñar y/o mejorar programas que permitan la inclusión financiera de pequeños y medianos productores de papa y MiPymes relacionadas con la cadena, que redunden en la mejora en el acceso y cobertura tanto al crédito de fomento como al comercial, articulado con la Ley de fortalecimiento al financiamiento de los pequeños y medianos productores agropecuarios (Ley 2186 del 2022). </v>
      </c>
      <c r="C88" s="692"/>
      <c r="D88" s="692"/>
      <c r="E88" s="692"/>
      <c r="F88" s="692"/>
      <c r="G88" s="692"/>
      <c r="H88" s="692"/>
    </row>
    <row r="89" spans="2:9" ht="15" x14ac:dyDescent="0.25">
      <c r="B89" s="683" t="str">
        <f>Portafolio_PA_Papa!E134</f>
        <v xml:space="preserve">8.4.4. Diseñar y/o mejorar instrumentos de comercialización y financiación no bancaria a lo largo de la cadena de la papa, tales como contratos a futuro, con anticipo financiero y garantía FAG, entre otros. </v>
      </c>
      <c r="C89" s="692"/>
      <c r="D89" s="692"/>
      <c r="E89" s="692"/>
      <c r="F89" s="692"/>
      <c r="G89" s="692"/>
      <c r="H89" s="692"/>
    </row>
    <row r="90" spans="2:9" ht="27.6" customHeight="1" x14ac:dyDescent="0.25">
      <c r="B90" s="683" t="str">
        <f>Portafolio_PA_Papa!E135</f>
        <v xml:space="preserve">8.4.5. Diseñar y/o mejorar los instrumentos para la gestión de riesgos climáticos, biológicos y de mercados, fortaleciendo e incrementando el uso de seguros agrícolas, los contratos de futuro y las coberturas de precios y tasa de cambio, entre otros, relacionados con la cadena de la papa, en articulación con la Ley de seguridad jurídica y financiera del seguro agropecuario (Ley 2178 de 2021). </v>
      </c>
      <c r="C90" s="692"/>
      <c r="D90" s="692"/>
      <c r="E90" s="692"/>
      <c r="F90" s="692"/>
      <c r="G90" s="692"/>
      <c r="H90" s="692"/>
    </row>
    <row r="91" spans="2:9" ht="30.95" customHeight="1" x14ac:dyDescent="0.25">
      <c r="B91" s="683" t="str">
        <f>Portafolio_PA_Papa!E136</f>
        <v xml:space="preserve">8.4.6. Diseñar y/o mejorar instrumentos de política, para promover la asociatividad y la integración, a lo largo de la cadena de la papa, articulado con los lineamientos de Política Pública para la asociatividad Rural Productiva (Resolución 161 de 2021). </v>
      </c>
      <c r="C91" s="692"/>
      <c r="D91" s="692"/>
      <c r="E91" s="692"/>
      <c r="F91" s="692"/>
      <c r="G91" s="692"/>
      <c r="H91" s="692"/>
    </row>
    <row r="92" spans="2:9" ht="15" x14ac:dyDescent="0.25">
      <c r="B92" s="683" t="str">
        <f>Portafolio_PA_Papa!E137</f>
        <v>8.4.7. Diseñar y/o mejorar instrumentos de política para promover la formalización y empresarización, a lo largo de la cadena de la papa, teniendo en cuenta, entre otros, la Política de formalización empresarial (CONPES 3956 de 2019).</v>
      </c>
      <c r="C92" s="692"/>
      <c r="D92" s="692"/>
      <c r="E92" s="692"/>
      <c r="F92" s="692"/>
      <c r="G92" s="692"/>
      <c r="H92" s="692"/>
    </row>
    <row r="93" spans="2:9" ht="29.45" customHeight="1" x14ac:dyDescent="0.25">
      <c r="B93" s="683" t="str">
        <f>Portafolio_PA_Papa!E138</f>
        <v>8.4.8. Promover la evaluación y actualización periódica de los beneficios tributarios para las inversiones, acordes con las necesidades de la cadena de la papa, valorando las condiciones de acceso a estos y su aplicación a las particularidades de la actividad productiva, así como su impacto en la inversión, empleo, avance tecnológico y competitividad en la cadena.</v>
      </c>
      <c r="C93" s="692"/>
      <c r="D93" s="692"/>
      <c r="E93" s="692"/>
      <c r="F93" s="692"/>
      <c r="G93" s="692"/>
      <c r="H93" s="692"/>
    </row>
    <row r="94" spans="2:9" ht="29.45" customHeight="1" x14ac:dyDescent="0.25">
      <c r="B94" s="683" t="str">
        <f>Portafolio_PA_Papa!E139</f>
        <v xml:space="preserve">8.4.9. Contribuir en el desarrollo de acciones que mejoren la gestión y el recaudo de la cuota de fomento de la papa, acordes con lo establecido en la Ley 1707 de 2014, por medio de la cual se crea el Fondo de Fomento y se establecen las normas para el recaudo y administración de la cuota de fomento. </v>
      </c>
      <c r="C94" s="692"/>
      <c r="D94" s="692"/>
      <c r="E94" s="692"/>
      <c r="F94" s="692"/>
      <c r="G94" s="692"/>
      <c r="H94" s="692"/>
    </row>
    <row r="95" spans="2:9" ht="15" x14ac:dyDescent="0.25">
      <c r="B95" s="683" t="str">
        <f>Portafolio_PA_Papa!E140</f>
        <v xml:space="preserve">8.4.10. Evaluar técnica y jurídicamente la creación de instrumentos y/o mecanismos de estabilización de precios para la papa fresca. </v>
      </c>
      <c r="C95" s="692"/>
      <c r="D95" s="692"/>
      <c r="E95" s="692"/>
      <c r="F95" s="692"/>
      <c r="G95" s="692"/>
      <c r="H95" s="692"/>
    </row>
    <row r="96" spans="2:9" ht="15" x14ac:dyDescent="0.25">
      <c r="B96" s="534"/>
      <c r="C96" s="547"/>
      <c r="D96" s="547"/>
      <c r="E96" s="547"/>
      <c r="F96" s="547"/>
      <c r="G96" s="547"/>
      <c r="H96" s="547"/>
    </row>
    <row r="97" spans="2:9" ht="15" x14ac:dyDescent="0.25">
      <c r="B97" s="693" t="s">
        <v>1128</v>
      </c>
      <c r="C97" s="698"/>
      <c r="D97" s="698"/>
      <c r="E97" s="698"/>
      <c r="F97" s="698"/>
      <c r="G97" s="698"/>
      <c r="H97" s="698"/>
    </row>
    <row r="98" spans="2:9" ht="15" x14ac:dyDescent="0.25">
      <c r="B98" s="26" t="s">
        <v>5</v>
      </c>
      <c r="C98" s="26" t="s">
        <v>6</v>
      </c>
      <c r="D98" s="26" t="s">
        <v>7</v>
      </c>
      <c r="E98" s="26" t="s">
        <v>8</v>
      </c>
      <c r="F98" s="26" t="s">
        <v>48</v>
      </c>
      <c r="G98" s="26" t="s">
        <v>10</v>
      </c>
      <c r="H98" s="26" t="s">
        <v>11</v>
      </c>
    </row>
    <row r="99" spans="2:9" x14ac:dyDescent="0.2">
      <c r="B99" s="86" t="s">
        <v>58</v>
      </c>
      <c r="C99" s="29">
        <v>13</v>
      </c>
      <c r="D99" s="29"/>
      <c r="E99" s="30">
        <v>1625000</v>
      </c>
      <c r="F99" s="29"/>
      <c r="G99" s="29"/>
      <c r="H99" s="31">
        <f>+C99*E99</f>
        <v>21125000</v>
      </c>
    </row>
    <row r="100" spans="2:9" x14ac:dyDescent="0.2">
      <c r="B100" s="29" t="s">
        <v>12</v>
      </c>
      <c r="C100" s="29">
        <v>4</v>
      </c>
      <c r="D100" s="29"/>
      <c r="E100" s="30">
        <v>500000</v>
      </c>
      <c r="F100" s="29"/>
      <c r="G100" s="29"/>
      <c r="H100" s="31">
        <f>+C100*E100</f>
        <v>2000000</v>
      </c>
    </row>
    <row r="101" spans="2:9" x14ac:dyDescent="0.2">
      <c r="B101" s="29" t="s">
        <v>95</v>
      </c>
      <c r="C101" s="29">
        <v>10</v>
      </c>
      <c r="D101" s="29"/>
      <c r="E101" s="30">
        <v>100000</v>
      </c>
      <c r="F101" s="29"/>
      <c r="G101" s="29"/>
      <c r="H101" s="31">
        <f>+C101*E101</f>
        <v>1000000</v>
      </c>
    </row>
    <row r="102" spans="2:9" x14ac:dyDescent="0.2">
      <c r="B102" s="29" t="s">
        <v>86</v>
      </c>
      <c r="C102" s="29">
        <v>3</v>
      </c>
      <c r="D102" s="29"/>
      <c r="E102" s="30">
        <v>8963563</v>
      </c>
      <c r="F102" s="29"/>
      <c r="G102" s="29">
        <v>10</v>
      </c>
      <c r="H102" s="31">
        <f>+C102*E102*G102</f>
        <v>268906890</v>
      </c>
    </row>
    <row r="103" spans="2:9" x14ac:dyDescent="0.2">
      <c r="B103" s="87" t="s">
        <v>98</v>
      </c>
      <c r="C103" s="29">
        <v>3</v>
      </c>
      <c r="D103" s="29"/>
      <c r="E103" s="30">
        <v>1213122</v>
      </c>
      <c r="F103" s="29"/>
      <c r="G103" s="29">
        <v>10</v>
      </c>
      <c r="H103" s="31">
        <f>+C103*E103*G103</f>
        <v>36393660</v>
      </c>
    </row>
    <row r="104" spans="2:9" x14ac:dyDescent="0.2">
      <c r="B104" s="73" t="s">
        <v>104</v>
      </c>
      <c r="C104" s="29"/>
      <c r="D104" s="29"/>
      <c r="E104" s="30"/>
      <c r="F104" s="29"/>
      <c r="G104" s="29"/>
      <c r="H104" s="31" t="s">
        <v>93</v>
      </c>
    </row>
    <row r="105" spans="2:9" ht="15" x14ac:dyDescent="0.25">
      <c r="B105" s="73" t="s">
        <v>94</v>
      </c>
      <c r="C105" s="29"/>
      <c r="D105" s="29"/>
      <c r="E105" s="30"/>
      <c r="F105" s="29"/>
      <c r="G105" s="29"/>
      <c r="H105" s="31" t="s">
        <v>93</v>
      </c>
      <c r="I105" s="57" t="s">
        <v>501</v>
      </c>
    </row>
    <row r="106" spans="2:9" ht="15" x14ac:dyDescent="0.25">
      <c r="B106" s="39"/>
      <c r="C106" s="41"/>
      <c r="D106" s="41"/>
      <c r="E106" s="42"/>
      <c r="F106" s="42"/>
      <c r="G106" s="41"/>
      <c r="H106" s="57">
        <f>SUM(H99:H104)</f>
        <v>329425550</v>
      </c>
      <c r="I106" s="57">
        <f>H106/12</f>
        <v>27452129.166666668</v>
      </c>
    </row>
    <row r="107" spans="2:9" ht="173.1" customHeight="1" x14ac:dyDescent="0.2">
      <c r="B107" s="177" t="s">
        <v>103</v>
      </c>
    </row>
  </sheetData>
  <sheetProtection algorithmName="SHA-512" hashValue="Q+YHTNirTnKcPESBaLxFbbrPA2tWvFKULEyFryw1ZwvU+DxJuBHqjuKlQIS9y+zDD4RvKIIIzwKLt9tAfpRazg==" saltValue="UInJBnkUiki4yIqfVdOwlQ==" spinCount="100000" sheet="1" objects="1" scenarios="1"/>
  <mergeCells count="31">
    <mergeCell ref="B87:H87"/>
    <mergeCell ref="B88:H88"/>
    <mergeCell ref="B89:H89"/>
    <mergeCell ref="B95:H95"/>
    <mergeCell ref="B97:H97"/>
    <mergeCell ref="B90:H90"/>
    <mergeCell ref="B91:H91"/>
    <mergeCell ref="B92:H92"/>
    <mergeCell ref="B93:H93"/>
    <mergeCell ref="B94:H94"/>
    <mergeCell ref="B65:H65"/>
    <mergeCell ref="B66:H66"/>
    <mergeCell ref="B67:H67"/>
    <mergeCell ref="B69:H69"/>
    <mergeCell ref="B86:H86"/>
    <mergeCell ref="B15:H16"/>
    <mergeCell ref="B42:H42"/>
    <mergeCell ref="B63:H63"/>
    <mergeCell ref="B85:H85"/>
    <mergeCell ref="B17:H17"/>
    <mergeCell ref="B18:H18"/>
    <mergeCell ref="B19:H19"/>
    <mergeCell ref="B20:H20"/>
    <mergeCell ref="B21:H21"/>
    <mergeCell ref="B23:H23"/>
    <mergeCell ref="B43:H43"/>
    <mergeCell ref="B44:H44"/>
    <mergeCell ref="B45:H45"/>
    <mergeCell ref="B46:H46"/>
    <mergeCell ref="B47:H47"/>
    <mergeCell ref="B64:H6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Z23"/>
  <sheetViews>
    <sheetView showGridLines="0" tabSelected="1" zoomScale="80" zoomScaleNormal="80" workbookViewId="0">
      <selection activeCell="E5" sqref="E5:O5"/>
    </sheetView>
  </sheetViews>
  <sheetFormatPr baseColWidth="10" defaultColWidth="10.85546875" defaultRowHeight="14.25" x14ac:dyDescent="0.2"/>
  <cols>
    <col min="1" max="1" width="0.85546875" style="256" customWidth="1"/>
    <col min="2" max="2" width="23" style="256" customWidth="1"/>
    <col min="3" max="3" width="18.42578125" style="256" customWidth="1"/>
    <col min="4" max="4" width="12.42578125" style="256" customWidth="1"/>
    <col min="5" max="5" width="11.28515625" style="584" customWidth="1"/>
    <col min="6" max="6" width="13.7109375" style="584" customWidth="1"/>
    <col min="7" max="8" width="13.140625" style="584" customWidth="1"/>
    <col min="9" max="9" width="12.28515625" style="584" customWidth="1"/>
    <col min="10" max="14" width="8.28515625" style="584" customWidth="1"/>
    <col min="15" max="15" width="12.140625" style="584" customWidth="1"/>
    <col min="16" max="16" width="16.42578125" style="256" customWidth="1"/>
    <col min="17" max="17" width="19.140625" style="256" customWidth="1"/>
    <col min="18" max="18" width="3" style="257" customWidth="1"/>
    <col min="19" max="19" width="5.42578125" style="257" bestFit="1" customWidth="1"/>
    <col min="20" max="22" width="2.85546875" style="257" customWidth="1"/>
    <col min="23" max="26" width="11.140625" style="257" bestFit="1" customWidth="1"/>
    <col min="27" max="16384" width="10.85546875" style="257"/>
  </cols>
  <sheetData>
    <row r="1" spans="1:26" ht="15" customHeight="1" x14ac:dyDescent="0.2">
      <c r="B1" s="639"/>
      <c r="C1" s="640"/>
      <c r="D1" s="640"/>
      <c r="E1" s="645" t="s">
        <v>458</v>
      </c>
      <c r="F1" s="646"/>
      <c r="G1" s="646"/>
      <c r="H1" s="646"/>
      <c r="I1" s="646"/>
      <c r="J1" s="646"/>
      <c r="K1" s="646"/>
      <c r="L1" s="646"/>
      <c r="M1" s="646"/>
      <c r="N1" s="646"/>
      <c r="O1" s="646"/>
      <c r="P1" s="647"/>
      <c r="Q1" s="648"/>
    </row>
    <row r="2" spans="1:26" x14ac:dyDescent="0.2">
      <c r="B2" s="641"/>
      <c r="C2" s="642"/>
      <c r="D2" s="642"/>
      <c r="E2" s="646"/>
      <c r="F2" s="646"/>
      <c r="G2" s="646"/>
      <c r="H2" s="646"/>
      <c r="I2" s="646"/>
      <c r="J2" s="646"/>
      <c r="K2" s="646"/>
      <c r="L2" s="646"/>
      <c r="M2" s="646"/>
      <c r="N2" s="646"/>
      <c r="O2" s="646"/>
      <c r="P2" s="647"/>
      <c r="Q2" s="648"/>
    </row>
    <row r="3" spans="1:26" ht="28.5" customHeight="1" x14ac:dyDescent="0.2">
      <c r="B3" s="643"/>
      <c r="C3" s="644"/>
      <c r="D3" s="644"/>
      <c r="E3" s="646"/>
      <c r="F3" s="646"/>
      <c r="G3" s="646"/>
      <c r="H3" s="646"/>
      <c r="I3" s="646"/>
      <c r="J3" s="646"/>
      <c r="K3" s="646"/>
      <c r="L3" s="646"/>
      <c r="M3" s="646"/>
      <c r="N3" s="646"/>
      <c r="O3" s="646"/>
      <c r="P3" s="647"/>
      <c r="Q3" s="648"/>
    </row>
    <row r="4" spans="1:26" ht="28.5" customHeight="1" x14ac:dyDescent="0.2">
      <c r="B4" s="258"/>
      <c r="C4" s="258"/>
      <c r="D4" s="258"/>
      <c r="E4" s="259"/>
      <c r="F4" s="259"/>
      <c r="G4" s="259"/>
      <c r="H4" s="259"/>
      <c r="I4" s="259"/>
      <c r="J4" s="259"/>
      <c r="K4" s="259"/>
      <c r="L4" s="259"/>
      <c r="M4" s="259"/>
      <c r="N4" s="259"/>
      <c r="O4" s="259"/>
      <c r="P4" s="258"/>
      <c r="Q4" s="258"/>
    </row>
    <row r="5" spans="1:26" ht="50.1" customHeight="1" x14ac:dyDescent="0.2">
      <c r="B5" s="629" t="s">
        <v>427</v>
      </c>
      <c r="C5" s="630"/>
      <c r="D5" s="630"/>
      <c r="E5" s="631" t="s">
        <v>459</v>
      </c>
      <c r="F5" s="632"/>
      <c r="G5" s="632"/>
      <c r="H5" s="632"/>
      <c r="I5" s="632"/>
      <c r="J5" s="632"/>
      <c r="K5" s="632"/>
      <c r="L5" s="632"/>
      <c r="M5" s="632"/>
      <c r="N5" s="632"/>
      <c r="O5" s="632"/>
      <c r="P5" s="258"/>
      <c r="Q5" s="258"/>
    </row>
    <row r="6" spans="1:26" ht="69" customHeight="1" x14ac:dyDescent="0.2">
      <c r="B6" s="629" t="s">
        <v>460</v>
      </c>
      <c r="C6" s="630"/>
      <c r="D6" s="630"/>
      <c r="E6" s="631" t="s">
        <v>461</v>
      </c>
      <c r="F6" s="632"/>
      <c r="G6" s="632"/>
      <c r="H6" s="632"/>
      <c r="I6" s="632"/>
      <c r="J6" s="632"/>
      <c r="K6" s="632"/>
      <c r="L6" s="632"/>
      <c r="M6" s="632"/>
      <c r="N6" s="632"/>
      <c r="O6" s="632"/>
      <c r="P6" s="258"/>
      <c r="Q6" s="258"/>
    </row>
    <row r="7" spans="1:26" ht="78.599999999999994" customHeight="1" x14ac:dyDescent="0.2">
      <c r="B7" s="629" t="s">
        <v>462</v>
      </c>
      <c r="C7" s="630"/>
      <c r="D7" s="630"/>
      <c r="E7" s="631" t="s">
        <v>463</v>
      </c>
      <c r="F7" s="632"/>
      <c r="G7" s="632"/>
      <c r="H7" s="632"/>
      <c r="I7" s="632"/>
      <c r="J7" s="632"/>
      <c r="K7" s="632"/>
      <c r="L7" s="632"/>
      <c r="M7" s="632"/>
      <c r="N7" s="632"/>
      <c r="O7" s="632"/>
      <c r="P7" s="258"/>
      <c r="Q7" s="258"/>
    </row>
    <row r="8" spans="1:26" ht="105" customHeight="1" x14ac:dyDescent="0.2">
      <c r="B8" s="629" t="s">
        <v>464</v>
      </c>
      <c r="C8" s="630"/>
      <c r="D8" s="630"/>
      <c r="E8" s="631" t="s">
        <v>465</v>
      </c>
      <c r="F8" s="632"/>
      <c r="G8" s="632"/>
      <c r="H8" s="632"/>
      <c r="I8" s="632"/>
      <c r="J8" s="632"/>
      <c r="K8" s="632"/>
      <c r="L8" s="632"/>
      <c r="M8" s="632"/>
      <c r="N8" s="632"/>
      <c r="O8" s="632"/>
      <c r="P8" s="258"/>
      <c r="Q8" s="258"/>
    </row>
    <row r="9" spans="1:26" ht="280.5" customHeight="1" x14ac:dyDescent="0.2">
      <c r="B9" s="629" t="s">
        <v>466</v>
      </c>
      <c r="C9" s="630"/>
      <c r="D9" s="630"/>
      <c r="E9" s="631" t="s">
        <v>1149</v>
      </c>
      <c r="F9" s="632"/>
      <c r="G9" s="632"/>
      <c r="H9" s="632"/>
      <c r="I9" s="632"/>
      <c r="J9" s="632"/>
      <c r="K9" s="632"/>
      <c r="L9" s="632"/>
      <c r="M9" s="632"/>
      <c r="N9" s="632"/>
      <c r="O9" s="632"/>
      <c r="P9" s="258"/>
      <c r="Q9" s="258"/>
    </row>
    <row r="10" spans="1:26" s="232" customFormat="1" ht="124.5" customHeight="1" x14ac:dyDescent="0.2">
      <c r="A10" s="260"/>
      <c r="B10" s="629" t="s">
        <v>467</v>
      </c>
      <c r="C10" s="630"/>
      <c r="D10" s="630"/>
      <c r="E10" s="631" t="s">
        <v>468</v>
      </c>
      <c r="F10" s="632"/>
      <c r="G10" s="632"/>
      <c r="H10" s="632"/>
      <c r="I10" s="632"/>
      <c r="J10" s="632"/>
      <c r="K10" s="632"/>
      <c r="L10" s="632"/>
      <c r="M10" s="632"/>
      <c r="N10" s="632"/>
      <c r="O10" s="632"/>
      <c r="P10" s="261"/>
      <c r="Q10" s="261"/>
    </row>
    <row r="11" spans="1:26" ht="39.6" customHeight="1" x14ac:dyDescent="0.2">
      <c r="B11" s="258"/>
      <c r="C11" s="258"/>
      <c r="D11" s="258"/>
      <c r="E11" s="262"/>
      <c r="F11" s="262"/>
      <c r="G11" s="262"/>
      <c r="H11" s="262"/>
      <c r="I11" s="262"/>
      <c r="J11" s="262"/>
      <c r="K11" s="262"/>
      <c r="L11" s="262"/>
      <c r="M11" s="262"/>
      <c r="N11" s="262"/>
      <c r="O11" s="262"/>
      <c r="P11" s="258"/>
      <c r="Q11" s="258"/>
    </row>
    <row r="12" spans="1:26" ht="20.100000000000001" customHeight="1" x14ac:dyDescent="0.25">
      <c r="B12" s="633" t="s">
        <v>469</v>
      </c>
      <c r="C12" s="634"/>
      <c r="D12" s="634"/>
      <c r="E12" s="634"/>
      <c r="F12" s="634"/>
      <c r="G12" s="634"/>
      <c r="H12" s="634"/>
      <c r="I12" s="634"/>
      <c r="J12" s="634"/>
      <c r="K12" s="634"/>
      <c r="L12" s="634"/>
      <c r="M12" s="634"/>
      <c r="N12" s="634"/>
      <c r="O12" s="634"/>
      <c r="P12" s="258"/>
      <c r="Q12" s="258"/>
    </row>
    <row r="14" spans="1:26" ht="66" customHeight="1" x14ac:dyDescent="0.2">
      <c r="B14" s="635" t="s">
        <v>470</v>
      </c>
      <c r="C14" s="636"/>
      <c r="D14" s="636"/>
      <c r="E14" s="637" t="s">
        <v>515</v>
      </c>
      <c r="F14" s="638"/>
      <c r="G14" s="638"/>
      <c r="H14" s="638"/>
      <c r="I14" s="638"/>
      <c r="J14" s="638"/>
      <c r="K14" s="638"/>
      <c r="L14" s="638"/>
      <c r="M14" s="638"/>
      <c r="N14" s="638"/>
      <c r="O14" s="603"/>
      <c r="P14" s="257"/>
      <c r="Q14" s="257"/>
    </row>
    <row r="15" spans="1:26" ht="26.1" customHeight="1" x14ac:dyDescent="0.2">
      <c r="B15" s="620" t="s">
        <v>471</v>
      </c>
      <c r="C15" s="621"/>
      <c r="D15" s="621"/>
      <c r="E15" s="637" t="s">
        <v>472</v>
      </c>
      <c r="F15" s="638"/>
      <c r="G15" s="638"/>
      <c r="H15" s="638"/>
      <c r="I15" s="638"/>
      <c r="J15" s="638"/>
      <c r="K15" s="638"/>
      <c r="L15" s="638"/>
      <c r="M15" s="638"/>
      <c r="N15" s="638"/>
      <c r="O15" s="603"/>
      <c r="P15" s="257"/>
      <c r="Q15" s="257"/>
    </row>
    <row r="16" spans="1:26" ht="183" customHeight="1" x14ac:dyDescent="0.2">
      <c r="A16" s="260"/>
      <c r="B16" s="620" t="s">
        <v>473</v>
      </c>
      <c r="C16" s="621"/>
      <c r="D16" s="621"/>
      <c r="E16" s="622" t="s">
        <v>474</v>
      </c>
      <c r="F16" s="623"/>
      <c r="G16" s="623"/>
      <c r="H16" s="623"/>
      <c r="I16" s="623"/>
      <c r="J16" s="623"/>
      <c r="K16" s="623"/>
      <c r="L16" s="623"/>
      <c r="M16" s="623"/>
      <c r="N16" s="623"/>
      <c r="O16" s="607"/>
      <c r="P16" s="257"/>
      <c r="Q16" s="257"/>
      <c r="Y16" s="263"/>
      <c r="Z16" s="263"/>
    </row>
    <row r="17" spans="1:17" x14ac:dyDescent="0.2">
      <c r="A17" s="260"/>
      <c r="B17" s="624"/>
      <c r="C17" s="625"/>
      <c r="D17" s="625"/>
      <c r="E17" s="625"/>
      <c r="F17" s="625"/>
      <c r="G17" s="625"/>
      <c r="H17" s="625"/>
      <c r="I17" s="625"/>
      <c r="J17" s="625"/>
      <c r="K17" s="625"/>
      <c r="L17" s="625"/>
      <c r="M17" s="625"/>
      <c r="N17" s="625"/>
      <c r="O17" s="626"/>
      <c r="P17" s="257"/>
      <c r="Q17" s="257"/>
    </row>
    <row r="18" spans="1:17" x14ac:dyDescent="0.2">
      <c r="A18" s="260"/>
      <c r="B18" s="264"/>
      <c r="G18" s="143"/>
      <c r="H18" s="143"/>
      <c r="I18" s="143"/>
      <c r="J18" s="143"/>
      <c r="K18" s="143"/>
      <c r="L18" s="143"/>
      <c r="M18" s="143"/>
      <c r="N18" s="143"/>
      <c r="O18" s="586"/>
      <c r="P18" s="257"/>
      <c r="Q18" s="257"/>
    </row>
    <row r="19" spans="1:17" x14ac:dyDescent="0.2">
      <c r="A19" s="260"/>
      <c r="B19" s="627"/>
      <c r="C19" s="628"/>
      <c r="D19" s="628"/>
      <c r="E19" s="628"/>
      <c r="F19" s="628"/>
      <c r="G19" s="628"/>
      <c r="H19" s="628"/>
      <c r="I19" s="628"/>
      <c r="J19" s="628"/>
      <c r="K19" s="628"/>
      <c r="L19" s="628"/>
      <c r="M19" s="628"/>
      <c r="N19" s="628"/>
      <c r="O19" s="628"/>
      <c r="P19" s="257"/>
      <c r="Q19" s="257"/>
    </row>
    <row r="20" spans="1:17" x14ac:dyDescent="0.2">
      <c r="A20" s="260"/>
      <c r="B20" s="628"/>
      <c r="C20" s="628"/>
      <c r="D20" s="628"/>
      <c r="E20" s="628"/>
      <c r="F20" s="628"/>
      <c r="G20" s="628"/>
      <c r="H20" s="628"/>
      <c r="I20" s="628"/>
      <c r="J20" s="628"/>
      <c r="K20" s="628"/>
      <c r="L20" s="628"/>
      <c r="M20" s="628"/>
      <c r="N20" s="628"/>
      <c r="O20" s="628"/>
      <c r="P20" s="257"/>
      <c r="Q20" s="257"/>
    </row>
    <row r="21" spans="1:17" x14ac:dyDescent="0.2">
      <c r="A21" s="260"/>
      <c r="B21" s="628"/>
      <c r="C21" s="628"/>
      <c r="D21" s="628"/>
      <c r="E21" s="628"/>
      <c r="F21" s="628"/>
      <c r="G21" s="628"/>
      <c r="H21" s="628"/>
      <c r="I21" s="628"/>
      <c r="J21" s="628"/>
      <c r="K21" s="628"/>
      <c r="L21" s="628"/>
      <c r="M21" s="628"/>
      <c r="N21" s="628"/>
      <c r="O21" s="628"/>
      <c r="P21" s="257"/>
      <c r="Q21" s="257"/>
    </row>
    <row r="22" spans="1:17" x14ac:dyDescent="0.2">
      <c r="A22" s="260"/>
      <c r="B22" s="265"/>
      <c r="C22" s="265"/>
      <c r="D22" s="265"/>
      <c r="E22" s="585"/>
      <c r="F22" s="585"/>
      <c r="G22" s="585"/>
      <c r="H22" s="585"/>
      <c r="I22" s="585"/>
      <c r="J22" s="585"/>
      <c r="K22" s="585"/>
      <c r="L22" s="585"/>
      <c r="M22" s="585"/>
      <c r="N22" s="585"/>
      <c r="O22" s="585"/>
      <c r="P22" s="257"/>
      <c r="Q22" s="257"/>
    </row>
    <row r="23" spans="1:17" x14ac:dyDescent="0.2">
      <c r="A23" s="260"/>
      <c r="B23" s="266"/>
      <c r="G23" s="143"/>
      <c r="H23" s="143"/>
      <c r="I23" s="143"/>
      <c r="J23" s="143"/>
      <c r="K23" s="143"/>
      <c r="L23" s="143"/>
      <c r="M23" s="143"/>
      <c r="N23" s="143"/>
      <c r="O23" s="143"/>
      <c r="P23" s="257"/>
      <c r="Q23" s="257"/>
    </row>
  </sheetData>
  <sheetProtection algorithmName="SHA-512" hashValue="exb21nu1e8I2g7SQscNbhK+oChWPpVS45mvkSQOXyzLmKkyRivtKayN2RE6ccDMKi2Ly7Eh7M+X/OocfRoSaeA==" saltValue="rSdNXaAaCkaqme+mRIWoOQ==" spinCount="100000" sheet="1" objects="1" scenarios="1"/>
  <mergeCells count="24">
    <mergeCell ref="B6:D6"/>
    <mergeCell ref="E6:O6"/>
    <mergeCell ref="B1:D3"/>
    <mergeCell ref="E1:O3"/>
    <mergeCell ref="P1:Q3"/>
    <mergeCell ref="B5:D5"/>
    <mergeCell ref="E5:O5"/>
    <mergeCell ref="B7:D7"/>
    <mergeCell ref="E7:O7"/>
    <mergeCell ref="B8:D8"/>
    <mergeCell ref="E8:O8"/>
    <mergeCell ref="B9:D9"/>
    <mergeCell ref="E9:O9"/>
    <mergeCell ref="B16:D16"/>
    <mergeCell ref="E16:O16"/>
    <mergeCell ref="B17:O17"/>
    <mergeCell ref="B19:O21"/>
    <mergeCell ref="B10:D10"/>
    <mergeCell ref="E10:O10"/>
    <mergeCell ref="B12:O12"/>
    <mergeCell ref="B14:D14"/>
    <mergeCell ref="E14:O14"/>
    <mergeCell ref="B15:D15"/>
    <mergeCell ref="E15:O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4"/>
  <sheetViews>
    <sheetView showGridLines="0" topLeftCell="B1" zoomScale="70" zoomScaleNormal="70" workbookViewId="0">
      <selection activeCell="B1" sqref="B1:J1"/>
    </sheetView>
  </sheetViews>
  <sheetFormatPr baseColWidth="10" defaultColWidth="11.42578125" defaultRowHeight="14.25" x14ac:dyDescent="0.2"/>
  <cols>
    <col min="1" max="1" width="11.42578125" style="2"/>
    <col min="2" max="2" width="80" style="2" customWidth="1"/>
    <col min="3" max="3" width="47.85546875" style="2" customWidth="1"/>
    <col min="4" max="4" width="21.140625" style="2" customWidth="1"/>
    <col min="5" max="5" width="19.85546875" style="2" customWidth="1"/>
    <col min="6" max="6" width="21" style="2" customWidth="1"/>
    <col min="7" max="7" width="24.140625" style="2" customWidth="1"/>
    <col min="8" max="8" width="29.28515625" style="2" customWidth="1"/>
    <col min="9" max="9" width="17.42578125" style="2" bestFit="1" customWidth="1"/>
    <col min="10" max="10" width="16.140625" style="2" customWidth="1"/>
    <col min="11" max="11" width="19.140625" style="2" customWidth="1"/>
    <col min="12" max="12" width="17.28515625" style="2" customWidth="1"/>
    <col min="13" max="13" width="15.42578125" style="2" customWidth="1"/>
    <col min="14" max="14" width="18.42578125" style="2" customWidth="1"/>
    <col min="15" max="15" width="23.85546875" style="2" customWidth="1"/>
    <col min="16" max="16" width="19.85546875" style="2" bestFit="1" customWidth="1"/>
    <col min="17" max="17" width="18.85546875" style="2" bestFit="1" customWidth="1"/>
    <col min="18" max="18" width="16.85546875" style="2" customWidth="1"/>
    <col min="19" max="23" width="16.7109375" style="2" bestFit="1" customWidth="1"/>
    <col min="24" max="16384" width="11.42578125" style="2"/>
  </cols>
  <sheetData>
    <row r="1" spans="1:10" ht="15" x14ac:dyDescent="0.25">
      <c r="B1" s="650" t="s">
        <v>429</v>
      </c>
      <c r="C1" s="650"/>
      <c r="D1" s="650"/>
      <c r="E1" s="650"/>
      <c r="F1" s="650"/>
      <c r="G1" s="650"/>
      <c r="H1" s="650"/>
      <c r="I1" s="650"/>
      <c r="J1" s="650"/>
    </row>
    <row r="2" spans="1:10" ht="15" x14ac:dyDescent="0.25">
      <c r="A2" s="4"/>
      <c r="B2" s="328"/>
      <c r="C2" s="328"/>
      <c r="D2" s="328"/>
      <c r="E2" s="328"/>
      <c r="F2" s="328"/>
      <c r="G2" s="328"/>
      <c r="H2" s="328"/>
      <c r="I2" s="328"/>
      <c r="J2" s="328"/>
    </row>
    <row r="3" spans="1:10" ht="15" x14ac:dyDescent="0.25">
      <c r="B3" s="329" t="s">
        <v>564</v>
      </c>
      <c r="D3" s="330"/>
    </row>
    <row r="4" spans="1:10" ht="15" x14ac:dyDescent="0.25">
      <c r="B4" s="331" t="s">
        <v>565</v>
      </c>
      <c r="D4" s="330"/>
    </row>
    <row r="5" spans="1:10" x14ac:dyDescent="0.2">
      <c r="A5" s="332"/>
      <c r="D5" s="330"/>
    </row>
    <row r="6" spans="1:10" ht="15" x14ac:dyDescent="0.25">
      <c r="B6" s="651" t="s">
        <v>566</v>
      </c>
      <c r="C6" s="651"/>
      <c r="D6" s="651"/>
      <c r="E6" s="651"/>
    </row>
    <row r="7" spans="1:10" ht="15" x14ac:dyDescent="0.25">
      <c r="B7" s="333" t="s">
        <v>567</v>
      </c>
      <c r="C7" s="333" t="s">
        <v>433</v>
      </c>
      <c r="D7" s="334" t="s">
        <v>8</v>
      </c>
      <c r="E7" s="333" t="s">
        <v>7</v>
      </c>
    </row>
    <row r="8" spans="1:10" x14ac:dyDescent="0.2">
      <c r="B8" s="29" t="s">
        <v>568</v>
      </c>
      <c r="C8" s="29" t="s">
        <v>569</v>
      </c>
      <c r="D8" s="335">
        <v>17927128</v>
      </c>
      <c r="E8" s="66" t="s">
        <v>570</v>
      </c>
    </row>
    <row r="9" spans="1:10" x14ac:dyDescent="0.2">
      <c r="B9" s="29" t="s">
        <v>571</v>
      </c>
      <c r="C9" s="29" t="s">
        <v>572</v>
      </c>
      <c r="D9" s="335">
        <v>16197317</v>
      </c>
      <c r="E9" s="66" t="s">
        <v>570</v>
      </c>
    </row>
    <row r="10" spans="1:10" x14ac:dyDescent="0.2">
      <c r="B10" s="29" t="s">
        <v>573</v>
      </c>
      <c r="C10" s="29" t="s">
        <v>574</v>
      </c>
      <c r="D10" s="335">
        <v>14467506</v>
      </c>
      <c r="E10" s="66" t="s">
        <v>570</v>
      </c>
    </row>
    <row r="11" spans="1:10" x14ac:dyDescent="0.2">
      <c r="B11" s="29" t="s">
        <v>575</v>
      </c>
      <c r="C11" s="29" t="s">
        <v>576</v>
      </c>
      <c r="D11" s="335">
        <v>12894949</v>
      </c>
      <c r="E11" s="66" t="s">
        <v>570</v>
      </c>
    </row>
    <row r="12" spans="1:10" x14ac:dyDescent="0.2">
      <c r="B12" s="29" t="s">
        <v>577</v>
      </c>
      <c r="C12" s="29" t="s">
        <v>578</v>
      </c>
      <c r="D12" s="335">
        <v>11479652</v>
      </c>
      <c r="E12" s="66" t="s">
        <v>570</v>
      </c>
    </row>
    <row r="13" spans="1:10" ht="15" thickBot="1" x14ac:dyDescent="0.25">
      <c r="B13" s="29" t="s">
        <v>579</v>
      </c>
      <c r="C13" s="29" t="s">
        <v>580</v>
      </c>
      <c r="D13" s="335">
        <v>10850628</v>
      </c>
      <c r="E13" s="66" t="s">
        <v>570</v>
      </c>
      <c r="G13" s="336"/>
    </row>
    <row r="14" spans="1:10" x14ac:dyDescent="0.2">
      <c r="B14" s="29" t="s">
        <v>581</v>
      </c>
      <c r="C14" s="29" t="s">
        <v>582</v>
      </c>
      <c r="D14" s="335">
        <v>10378862</v>
      </c>
      <c r="E14" s="66" t="s">
        <v>570</v>
      </c>
      <c r="G14" s="337" t="s">
        <v>583</v>
      </c>
      <c r="H14" s="338"/>
      <c r="I14" s="338"/>
      <c r="J14" s="339"/>
    </row>
    <row r="15" spans="1:10" x14ac:dyDescent="0.2">
      <c r="B15" s="29" t="s">
        <v>584</v>
      </c>
      <c r="C15" s="29" t="s">
        <v>585</v>
      </c>
      <c r="D15" s="335">
        <v>9907096</v>
      </c>
      <c r="E15" s="66" t="s">
        <v>570</v>
      </c>
      <c r="G15" s="340"/>
      <c r="J15" s="341"/>
    </row>
    <row r="16" spans="1:10" x14ac:dyDescent="0.2">
      <c r="B16" s="29" t="s">
        <v>586</v>
      </c>
      <c r="C16" s="29" t="s">
        <v>587</v>
      </c>
      <c r="D16" s="335">
        <v>8963563</v>
      </c>
      <c r="E16" s="66" t="s">
        <v>570</v>
      </c>
      <c r="G16" s="342" t="s">
        <v>588</v>
      </c>
      <c r="H16" s="2" t="s">
        <v>589</v>
      </c>
      <c r="J16" s="341"/>
    </row>
    <row r="17" spans="2:10" x14ac:dyDescent="0.2">
      <c r="B17" s="29" t="s">
        <v>590</v>
      </c>
      <c r="C17" s="29" t="s">
        <v>591</v>
      </c>
      <c r="D17" s="335">
        <v>7862772</v>
      </c>
      <c r="E17" s="66" t="s">
        <v>570</v>
      </c>
      <c r="G17" s="342" t="s">
        <v>592</v>
      </c>
      <c r="H17" s="2" t="s">
        <v>593</v>
      </c>
      <c r="J17" s="341"/>
    </row>
    <row r="18" spans="2:10" x14ac:dyDescent="0.2">
      <c r="B18" s="29" t="s">
        <v>594</v>
      </c>
      <c r="C18" s="29" t="s">
        <v>595</v>
      </c>
      <c r="D18" s="335">
        <v>7233751</v>
      </c>
      <c r="E18" s="66" t="s">
        <v>570</v>
      </c>
      <c r="G18" s="342" t="s">
        <v>596</v>
      </c>
      <c r="H18" s="2" t="s">
        <v>597</v>
      </c>
      <c r="J18" s="341"/>
    </row>
    <row r="19" spans="2:10" x14ac:dyDescent="0.2">
      <c r="B19" s="29" t="s">
        <v>598</v>
      </c>
      <c r="C19" s="29" t="s">
        <v>599</v>
      </c>
      <c r="D19" s="335">
        <v>6604729</v>
      </c>
      <c r="E19" s="66" t="s">
        <v>570</v>
      </c>
      <c r="G19" s="342" t="s">
        <v>600</v>
      </c>
      <c r="H19" s="2" t="s">
        <v>601</v>
      </c>
      <c r="J19" s="341"/>
    </row>
    <row r="20" spans="2:10" x14ac:dyDescent="0.2">
      <c r="B20" s="29" t="s">
        <v>602</v>
      </c>
      <c r="C20" s="29" t="s">
        <v>603</v>
      </c>
      <c r="D20" s="335">
        <v>5661197</v>
      </c>
      <c r="E20" s="66" t="s">
        <v>570</v>
      </c>
      <c r="G20" s="342" t="s">
        <v>604</v>
      </c>
      <c r="H20" s="2" t="s">
        <v>605</v>
      </c>
      <c r="J20" s="341"/>
    </row>
    <row r="21" spans="2:10" x14ac:dyDescent="0.2">
      <c r="B21" s="29" t="s">
        <v>606</v>
      </c>
      <c r="C21" s="29" t="s">
        <v>607</v>
      </c>
      <c r="D21" s="335">
        <v>5032173</v>
      </c>
      <c r="E21" s="66" t="s">
        <v>570</v>
      </c>
      <c r="G21" s="342" t="s">
        <v>608</v>
      </c>
      <c r="H21" s="2" t="s">
        <v>609</v>
      </c>
      <c r="J21" s="341"/>
    </row>
    <row r="22" spans="2:10" x14ac:dyDescent="0.2">
      <c r="B22" s="29" t="s">
        <v>610</v>
      </c>
      <c r="C22" s="29" t="s">
        <v>611</v>
      </c>
      <c r="D22" s="335">
        <v>4560407</v>
      </c>
      <c r="E22" s="66" t="s">
        <v>570</v>
      </c>
      <c r="G22" s="342" t="s">
        <v>612</v>
      </c>
      <c r="H22" s="2" t="s">
        <v>613</v>
      </c>
      <c r="J22" s="341"/>
    </row>
    <row r="23" spans="2:10" ht="15" thickBot="1" x14ac:dyDescent="0.25">
      <c r="B23" s="29" t="s">
        <v>614</v>
      </c>
      <c r="C23" s="29" t="s">
        <v>615</v>
      </c>
      <c r="D23" s="335">
        <v>3931384</v>
      </c>
      <c r="E23" s="66" t="s">
        <v>570</v>
      </c>
      <c r="G23" s="343"/>
      <c r="H23" s="344"/>
      <c r="I23" s="344"/>
      <c r="J23" s="345"/>
    </row>
    <row r="24" spans="2:10" x14ac:dyDescent="0.2">
      <c r="B24" s="29" t="s">
        <v>616</v>
      </c>
      <c r="C24" s="29" t="s">
        <v>617</v>
      </c>
      <c r="D24" s="335">
        <v>3538246</v>
      </c>
      <c r="E24" s="66" t="s">
        <v>570</v>
      </c>
    </row>
    <row r="25" spans="2:10" x14ac:dyDescent="0.2">
      <c r="B25" s="29" t="s">
        <v>618</v>
      </c>
      <c r="C25" s="29" t="s">
        <v>619</v>
      </c>
      <c r="D25" s="335">
        <v>3145107</v>
      </c>
      <c r="E25" s="66" t="s">
        <v>570</v>
      </c>
    </row>
    <row r="26" spans="2:10" x14ac:dyDescent="0.2">
      <c r="B26" s="29" t="s">
        <v>620</v>
      </c>
      <c r="C26" s="29" t="s">
        <v>621</v>
      </c>
      <c r="D26" s="335">
        <v>2830596</v>
      </c>
      <c r="E26" s="66" t="s">
        <v>570</v>
      </c>
    </row>
    <row r="27" spans="2:10" x14ac:dyDescent="0.2">
      <c r="B27" s="29" t="s">
        <v>622</v>
      </c>
      <c r="C27" s="29" t="s">
        <v>623</v>
      </c>
      <c r="D27" s="335">
        <v>2516084</v>
      </c>
      <c r="E27" s="66" t="s">
        <v>570</v>
      </c>
    </row>
    <row r="28" spans="2:10" x14ac:dyDescent="0.2">
      <c r="B28" s="29" t="s">
        <v>624</v>
      </c>
      <c r="C28" s="29" t="s">
        <v>625</v>
      </c>
      <c r="D28" s="335">
        <v>2201574</v>
      </c>
      <c r="E28" s="66" t="s">
        <v>570</v>
      </c>
    </row>
    <row r="29" spans="2:10" x14ac:dyDescent="0.2">
      <c r="B29" s="29" t="s">
        <v>626</v>
      </c>
      <c r="C29" s="29" t="s">
        <v>627</v>
      </c>
      <c r="D29" s="335">
        <v>1887064</v>
      </c>
      <c r="E29" s="66" t="s">
        <v>570</v>
      </c>
    </row>
    <row r="30" spans="2:10" x14ac:dyDescent="0.2">
      <c r="B30" s="29" t="s">
        <v>628</v>
      </c>
      <c r="C30" s="29" t="s">
        <v>629</v>
      </c>
      <c r="D30" s="335">
        <v>1572552</v>
      </c>
      <c r="E30" s="66" t="s">
        <v>570</v>
      </c>
    </row>
    <row r="31" spans="2:10" x14ac:dyDescent="0.2">
      <c r="B31" s="29" t="s">
        <v>630</v>
      </c>
      <c r="C31" s="29" t="s">
        <v>631</v>
      </c>
      <c r="D31" s="335">
        <v>1258039</v>
      </c>
      <c r="E31" s="66" t="s">
        <v>570</v>
      </c>
    </row>
    <row r="32" spans="2:10" x14ac:dyDescent="0.2">
      <c r="B32" s="2" t="s">
        <v>632</v>
      </c>
      <c r="D32" s="330"/>
    </row>
    <row r="33" spans="2:5" ht="15" x14ac:dyDescent="0.25">
      <c r="B33" s="346" t="s">
        <v>633</v>
      </c>
      <c r="D33" s="330"/>
    </row>
    <row r="37" spans="2:5" ht="15" x14ac:dyDescent="0.25">
      <c r="B37" s="329" t="s">
        <v>634</v>
      </c>
    </row>
    <row r="38" spans="2:5" x14ac:dyDescent="0.2">
      <c r="D38" s="13"/>
    </row>
    <row r="39" spans="2:5" ht="15" x14ac:dyDescent="0.25">
      <c r="B39" s="331" t="s">
        <v>635</v>
      </c>
      <c r="D39" s="13"/>
    </row>
    <row r="40" spans="2:5" ht="15" x14ac:dyDescent="0.25">
      <c r="B40" s="347" t="s">
        <v>636</v>
      </c>
      <c r="C40" s="347"/>
      <c r="D40" s="347"/>
      <c r="E40" s="347"/>
    </row>
    <row r="41" spans="2:5" ht="15" x14ac:dyDescent="0.25">
      <c r="B41" s="333" t="s">
        <v>567</v>
      </c>
      <c r="C41" s="348" t="s">
        <v>433</v>
      </c>
      <c r="D41" s="349" t="s">
        <v>637</v>
      </c>
      <c r="E41" s="350" t="s">
        <v>8</v>
      </c>
    </row>
    <row r="42" spans="2:5" x14ac:dyDescent="0.2">
      <c r="B42" s="29" t="s">
        <v>568</v>
      </c>
      <c r="C42" s="29" t="s">
        <v>638</v>
      </c>
      <c r="D42" s="351">
        <v>17927128</v>
      </c>
      <c r="E42" s="352">
        <f>D83</f>
        <v>845463</v>
      </c>
    </row>
    <row r="43" spans="2:5" x14ac:dyDescent="0.2">
      <c r="B43" s="29" t="s">
        <v>571</v>
      </c>
      <c r="C43" s="29" t="s">
        <v>639</v>
      </c>
      <c r="D43" s="351">
        <v>16197317</v>
      </c>
      <c r="E43" s="352">
        <f>D83</f>
        <v>845463</v>
      </c>
    </row>
    <row r="44" spans="2:5" x14ac:dyDescent="0.2">
      <c r="B44" s="29" t="s">
        <v>573</v>
      </c>
      <c r="C44" s="29" t="s">
        <v>640</v>
      </c>
      <c r="D44" s="351">
        <v>14467506</v>
      </c>
      <c r="E44" s="352">
        <f>D82</f>
        <v>717923</v>
      </c>
    </row>
    <row r="45" spans="2:5" x14ac:dyDescent="0.2">
      <c r="B45" s="29" t="s">
        <v>575</v>
      </c>
      <c r="C45" s="29" t="s">
        <v>641</v>
      </c>
      <c r="D45" s="351">
        <v>12894949</v>
      </c>
      <c r="E45" s="352">
        <f>D82</f>
        <v>717923</v>
      </c>
    </row>
    <row r="46" spans="2:5" x14ac:dyDescent="0.2">
      <c r="B46" s="29" t="s">
        <v>577</v>
      </c>
      <c r="C46" s="29" t="s">
        <v>642</v>
      </c>
      <c r="D46" s="351">
        <v>11479652</v>
      </c>
      <c r="E46" s="352">
        <f>D81</f>
        <v>593522</v>
      </c>
    </row>
    <row r="47" spans="2:5" x14ac:dyDescent="0.2">
      <c r="B47" s="29" t="s">
        <v>579</v>
      </c>
      <c r="C47" s="29" t="s">
        <v>643</v>
      </c>
      <c r="D47" s="351">
        <v>10850628</v>
      </c>
      <c r="E47" s="352">
        <f>D81</f>
        <v>593522</v>
      </c>
    </row>
    <row r="48" spans="2:5" x14ac:dyDescent="0.2">
      <c r="B48" s="29" t="s">
        <v>581</v>
      </c>
      <c r="C48" s="29" t="s">
        <v>644</v>
      </c>
      <c r="D48" s="351">
        <v>10378862</v>
      </c>
      <c r="E48" s="352">
        <f>D81</f>
        <v>593522</v>
      </c>
    </row>
    <row r="49" spans="2:5" x14ac:dyDescent="0.2">
      <c r="B49" s="29" t="s">
        <v>584</v>
      </c>
      <c r="C49" s="29" t="s">
        <v>645</v>
      </c>
      <c r="D49" s="351">
        <v>9907096</v>
      </c>
      <c r="E49" s="352">
        <f>D81</f>
        <v>593522</v>
      </c>
    </row>
    <row r="50" spans="2:5" x14ac:dyDescent="0.2">
      <c r="B50" s="29" t="s">
        <v>586</v>
      </c>
      <c r="C50" s="29" t="s">
        <v>646</v>
      </c>
      <c r="D50" s="351">
        <v>8963563</v>
      </c>
      <c r="E50" s="352">
        <f>D80</f>
        <v>456561</v>
      </c>
    </row>
    <row r="51" spans="2:5" x14ac:dyDescent="0.2">
      <c r="B51" s="29" t="s">
        <v>590</v>
      </c>
      <c r="C51" s="29" t="s">
        <v>647</v>
      </c>
      <c r="D51" s="351">
        <v>7862772</v>
      </c>
      <c r="E51" s="352">
        <f>D80</f>
        <v>456561</v>
      </c>
    </row>
    <row r="52" spans="2:5" x14ac:dyDescent="0.2">
      <c r="B52" s="29" t="s">
        <v>594</v>
      </c>
      <c r="C52" s="29" t="s">
        <v>648</v>
      </c>
      <c r="D52" s="351">
        <v>7233751</v>
      </c>
      <c r="E52" s="352">
        <f>D80</f>
        <v>456561</v>
      </c>
    </row>
    <row r="53" spans="2:5" x14ac:dyDescent="0.2">
      <c r="B53" s="29" t="s">
        <v>598</v>
      </c>
      <c r="C53" s="29" t="s">
        <v>649</v>
      </c>
      <c r="D53" s="351">
        <v>6604729</v>
      </c>
      <c r="E53" s="352">
        <f>D79</f>
        <v>338443</v>
      </c>
    </row>
    <row r="54" spans="2:5" x14ac:dyDescent="0.2">
      <c r="B54" s="29" t="s">
        <v>602</v>
      </c>
      <c r="C54" s="29" t="s">
        <v>650</v>
      </c>
      <c r="D54" s="351">
        <v>5661197</v>
      </c>
      <c r="E54" s="352">
        <f>D78</f>
        <v>278634</v>
      </c>
    </row>
    <row r="55" spans="2:5" x14ac:dyDescent="0.2">
      <c r="B55" s="29" t="s">
        <v>606</v>
      </c>
      <c r="C55" s="29" t="s">
        <v>651</v>
      </c>
      <c r="D55" s="351">
        <v>5032173</v>
      </c>
      <c r="E55" s="352">
        <f>D78</f>
        <v>278634</v>
      </c>
    </row>
    <row r="56" spans="2:5" x14ac:dyDescent="0.2">
      <c r="B56" s="29" t="s">
        <v>610</v>
      </c>
      <c r="C56" s="29" t="s">
        <v>652</v>
      </c>
      <c r="D56" s="351">
        <v>4560407</v>
      </c>
      <c r="E56" s="352">
        <f>D78</f>
        <v>278634</v>
      </c>
    </row>
    <row r="57" spans="2:5" x14ac:dyDescent="0.2">
      <c r="B57" s="29" t="s">
        <v>614</v>
      </c>
      <c r="C57" s="29" t="s">
        <v>653</v>
      </c>
      <c r="D57" s="351">
        <v>3931384</v>
      </c>
      <c r="E57" s="352">
        <f>D77</f>
        <v>246864</v>
      </c>
    </row>
    <row r="58" spans="2:5" x14ac:dyDescent="0.2">
      <c r="B58" s="29" t="s">
        <v>616</v>
      </c>
      <c r="C58" s="29" t="s">
        <v>654</v>
      </c>
      <c r="D58" s="351">
        <v>3538246</v>
      </c>
      <c r="E58" s="352">
        <f>D77</f>
        <v>246864</v>
      </c>
    </row>
    <row r="59" spans="2:5" x14ac:dyDescent="0.2">
      <c r="B59" s="29" t="s">
        <v>618</v>
      </c>
      <c r="C59" s="29" t="s">
        <v>619</v>
      </c>
      <c r="D59" s="351">
        <v>3145107</v>
      </c>
      <c r="E59" s="352">
        <f>D76</f>
        <v>214980</v>
      </c>
    </row>
    <row r="60" spans="2:5" x14ac:dyDescent="0.2">
      <c r="B60" s="29" t="s">
        <v>620</v>
      </c>
      <c r="C60" s="29" t="s">
        <v>621</v>
      </c>
      <c r="D60" s="351">
        <v>2830596</v>
      </c>
      <c r="E60" s="352">
        <f>D76</f>
        <v>214980</v>
      </c>
    </row>
    <row r="61" spans="2:5" x14ac:dyDescent="0.2">
      <c r="B61" s="29" t="s">
        <v>622</v>
      </c>
      <c r="C61" s="29" t="s">
        <v>623</v>
      </c>
      <c r="D61" s="351">
        <v>2516084</v>
      </c>
      <c r="E61" s="352">
        <f>D75</f>
        <v>184753</v>
      </c>
    </row>
    <row r="62" spans="2:5" x14ac:dyDescent="0.2">
      <c r="B62" s="29" t="s">
        <v>624</v>
      </c>
      <c r="C62" s="29" t="s">
        <v>625</v>
      </c>
      <c r="D62" s="351">
        <v>2201574</v>
      </c>
      <c r="E62" s="352">
        <f>D75</f>
        <v>184753</v>
      </c>
    </row>
    <row r="63" spans="2:5" x14ac:dyDescent="0.2">
      <c r="B63" s="29" t="s">
        <v>626</v>
      </c>
      <c r="C63" s="29" t="s">
        <v>627</v>
      </c>
      <c r="D63" s="351">
        <v>1887064</v>
      </c>
      <c r="E63" s="352">
        <f>D74</f>
        <v>152268</v>
      </c>
    </row>
    <row r="64" spans="2:5" x14ac:dyDescent="0.2">
      <c r="B64" s="29" t="s">
        <v>628</v>
      </c>
      <c r="C64" s="29" t="s">
        <v>629</v>
      </c>
      <c r="D64" s="351">
        <v>1572552</v>
      </c>
      <c r="E64" s="352">
        <f>D74</f>
        <v>152268</v>
      </c>
    </row>
    <row r="65" spans="2:5" x14ac:dyDescent="0.2">
      <c r="B65" s="29" t="s">
        <v>630</v>
      </c>
      <c r="C65" s="29" t="s">
        <v>631</v>
      </c>
      <c r="D65" s="351">
        <v>1258039</v>
      </c>
      <c r="E65" s="352">
        <f>D74</f>
        <v>152268</v>
      </c>
    </row>
    <row r="66" spans="2:5" x14ac:dyDescent="0.2">
      <c r="B66" s="2" t="s">
        <v>655</v>
      </c>
      <c r="D66" s="353"/>
      <c r="E66" s="354"/>
    </row>
    <row r="67" spans="2:5" ht="12.95" customHeight="1" x14ac:dyDescent="0.2">
      <c r="B67" s="2" t="s">
        <v>656</v>
      </c>
      <c r="D67" s="13"/>
    </row>
    <row r="68" spans="2:5" ht="12.95" customHeight="1" x14ac:dyDescent="0.2">
      <c r="B68" s="2" t="s">
        <v>657</v>
      </c>
      <c r="D68" s="13"/>
    </row>
    <row r="70" spans="2:5" ht="15" hidden="1" x14ac:dyDescent="0.25">
      <c r="B70" s="331" t="s">
        <v>658</v>
      </c>
      <c r="D70" s="13"/>
    </row>
    <row r="71" spans="2:5" ht="14.1" hidden="1" customHeight="1" x14ac:dyDescent="0.2">
      <c r="B71" s="652" t="s">
        <v>659</v>
      </c>
      <c r="C71" s="653"/>
      <c r="D71" s="654"/>
    </row>
    <row r="72" spans="2:5" ht="27.95" hidden="1" customHeight="1" x14ac:dyDescent="0.2">
      <c r="B72" s="355" t="s">
        <v>660</v>
      </c>
      <c r="C72" s="356" t="s">
        <v>661</v>
      </c>
      <c r="D72" s="357" t="s">
        <v>662</v>
      </c>
    </row>
    <row r="73" spans="2:5" hidden="1" x14ac:dyDescent="0.2">
      <c r="B73" s="358" t="s">
        <v>663</v>
      </c>
      <c r="C73" s="655" t="s">
        <v>664</v>
      </c>
      <c r="D73" s="351">
        <v>111414</v>
      </c>
    </row>
    <row r="74" spans="2:5" hidden="1" x14ac:dyDescent="0.2">
      <c r="B74" s="358" t="s">
        <v>665</v>
      </c>
      <c r="C74" s="656"/>
      <c r="D74" s="351">
        <v>152268</v>
      </c>
    </row>
    <row r="75" spans="2:5" hidden="1" x14ac:dyDescent="0.2">
      <c r="B75" s="358" t="s">
        <v>666</v>
      </c>
      <c r="C75" s="656"/>
      <c r="D75" s="351">
        <v>184753</v>
      </c>
    </row>
    <row r="76" spans="2:5" hidden="1" x14ac:dyDescent="0.2">
      <c r="B76" s="358" t="s">
        <v>667</v>
      </c>
      <c r="C76" s="656"/>
      <c r="D76" s="351">
        <v>214980</v>
      </c>
    </row>
    <row r="77" spans="2:5" hidden="1" x14ac:dyDescent="0.2">
      <c r="B77" s="358" t="s">
        <v>668</v>
      </c>
      <c r="C77" s="656"/>
      <c r="D77" s="351">
        <v>246864</v>
      </c>
    </row>
    <row r="78" spans="2:5" hidden="1" x14ac:dyDescent="0.2">
      <c r="B78" s="358" t="s">
        <v>669</v>
      </c>
      <c r="C78" s="656"/>
      <c r="D78" s="351">
        <v>278634</v>
      </c>
    </row>
    <row r="79" spans="2:5" hidden="1" x14ac:dyDescent="0.2">
      <c r="B79" s="358" t="s">
        <v>670</v>
      </c>
      <c r="C79" s="656"/>
      <c r="D79" s="351">
        <v>338443</v>
      </c>
    </row>
    <row r="80" spans="2:5" hidden="1" x14ac:dyDescent="0.2">
      <c r="B80" s="358" t="s">
        <v>671</v>
      </c>
      <c r="C80" s="656"/>
      <c r="D80" s="351">
        <v>456561</v>
      </c>
    </row>
    <row r="81" spans="2:4" hidden="1" x14ac:dyDescent="0.2">
      <c r="B81" s="358" t="s">
        <v>672</v>
      </c>
      <c r="C81" s="656"/>
      <c r="D81" s="351">
        <v>593522</v>
      </c>
    </row>
    <row r="82" spans="2:4" hidden="1" x14ac:dyDescent="0.2">
      <c r="B82" s="358" t="s">
        <v>673</v>
      </c>
      <c r="C82" s="656"/>
      <c r="D82" s="351">
        <v>717923</v>
      </c>
    </row>
    <row r="83" spans="2:4" ht="26.45" hidden="1" customHeight="1" x14ac:dyDescent="0.2">
      <c r="B83" s="358" t="s">
        <v>674</v>
      </c>
      <c r="C83" s="657"/>
      <c r="D83" s="351">
        <v>845463</v>
      </c>
    </row>
    <row r="85" spans="2:4" ht="15" x14ac:dyDescent="0.25">
      <c r="B85" s="331" t="s">
        <v>675</v>
      </c>
      <c r="D85" s="13"/>
    </row>
    <row r="86" spans="2:4" x14ac:dyDescent="0.2">
      <c r="B86" s="33" t="s">
        <v>676</v>
      </c>
      <c r="C86" s="62">
        <v>900000</v>
      </c>
      <c r="D86" s="13"/>
    </row>
    <row r="87" spans="2:4" x14ac:dyDescent="0.2">
      <c r="B87" s="33" t="s">
        <v>677</v>
      </c>
      <c r="C87" s="62">
        <v>400000</v>
      </c>
      <c r="D87" s="13"/>
    </row>
    <row r="88" spans="2:4" x14ac:dyDescent="0.2">
      <c r="B88" s="33" t="s">
        <v>678</v>
      </c>
      <c r="C88" s="62">
        <v>350000</v>
      </c>
      <c r="D88" s="13"/>
    </row>
    <row r="89" spans="2:4" x14ac:dyDescent="0.2">
      <c r="B89" s="33" t="s">
        <v>679</v>
      </c>
      <c r="C89" s="62">
        <v>450000</v>
      </c>
      <c r="D89" s="13"/>
    </row>
    <row r="90" spans="2:4" ht="15" x14ac:dyDescent="0.25">
      <c r="B90" s="359" t="s">
        <v>680</v>
      </c>
      <c r="C90" s="359">
        <f>AVERAGE(C86:C89)</f>
        <v>525000</v>
      </c>
      <c r="D90" s="13"/>
    </row>
    <row r="91" spans="2:4" x14ac:dyDescent="0.2">
      <c r="B91" s="354" t="s">
        <v>681</v>
      </c>
      <c r="D91" s="13"/>
    </row>
    <row r="92" spans="2:4" x14ac:dyDescent="0.2">
      <c r="B92" s="354" t="s">
        <v>682</v>
      </c>
      <c r="C92" s="354"/>
      <c r="D92" s="13"/>
    </row>
    <row r="93" spans="2:4" x14ac:dyDescent="0.2">
      <c r="B93" s="354" t="s">
        <v>683</v>
      </c>
      <c r="C93" s="354"/>
      <c r="D93" s="13"/>
    </row>
    <row r="94" spans="2:4" x14ac:dyDescent="0.2">
      <c r="B94" s="360"/>
      <c r="D94" s="330"/>
    </row>
    <row r="95" spans="2:4" ht="15" x14ac:dyDescent="0.25">
      <c r="B95" s="658" t="s">
        <v>684</v>
      </c>
      <c r="C95" s="659"/>
      <c r="D95" s="361">
        <v>300000</v>
      </c>
    </row>
    <row r="97" spans="2:5" ht="15" x14ac:dyDescent="0.25">
      <c r="B97" s="331" t="s">
        <v>685</v>
      </c>
      <c r="C97" s="331" t="s">
        <v>686</v>
      </c>
      <c r="D97" s="362" t="s">
        <v>687</v>
      </c>
      <c r="E97" s="359">
        <v>9200</v>
      </c>
    </row>
    <row r="98" spans="2:5" x14ac:dyDescent="0.2">
      <c r="B98" s="59" t="s">
        <v>688</v>
      </c>
      <c r="C98" s="363" t="s">
        <v>689</v>
      </c>
      <c r="D98" s="364"/>
    </row>
    <row r="99" spans="2:5" x14ac:dyDescent="0.2">
      <c r="B99" s="59" t="s">
        <v>690</v>
      </c>
      <c r="C99" s="33" t="s">
        <v>691</v>
      </c>
      <c r="D99" s="364">
        <f>(1200/35)*E$97</f>
        <v>315428.57142857142</v>
      </c>
    </row>
    <row r="100" spans="2:5" x14ac:dyDescent="0.2">
      <c r="B100" s="59" t="s">
        <v>692</v>
      </c>
      <c r="C100" s="33" t="s">
        <v>693</v>
      </c>
      <c r="D100" s="364">
        <f>(2000/35)*E$97</f>
        <v>525714.2857142858</v>
      </c>
    </row>
    <row r="101" spans="2:5" x14ac:dyDescent="0.2">
      <c r="B101" s="59" t="s">
        <v>694</v>
      </c>
      <c r="C101" s="33" t="s">
        <v>695</v>
      </c>
      <c r="D101" s="364">
        <f>(2400/35)*E$97</f>
        <v>630857.14285714284</v>
      </c>
    </row>
    <row r="102" spans="2:5" ht="15" x14ac:dyDescent="0.25">
      <c r="B102" s="33"/>
      <c r="C102" s="33"/>
      <c r="D102" s="365">
        <f>AVERAGE(D99:D101)</f>
        <v>490666.66666666669</v>
      </c>
    </row>
    <row r="103" spans="2:5" ht="15" x14ac:dyDescent="0.25">
      <c r="B103" s="366" t="s">
        <v>696</v>
      </c>
      <c r="C103" s="366" t="s">
        <v>697</v>
      </c>
      <c r="D103" s="367">
        <v>500000</v>
      </c>
    </row>
    <row r="104" spans="2:5" s="4" customFormat="1" x14ac:dyDescent="0.2">
      <c r="B104" s="4" t="s">
        <v>698</v>
      </c>
    </row>
    <row r="105" spans="2:5" s="4" customFormat="1" x14ac:dyDescent="0.2"/>
    <row r="106" spans="2:5" s="4" customFormat="1" x14ac:dyDescent="0.2">
      <c r="B106" s="2"/>
      <c r="C106" s="2"/>
      <c r="D106" s="2"/>
      <c r="E106" s="2"/>
    </row>
    <row r="107" spans="2:5" ht="15" x14ac:dyDescent="0.25">
      <c r="B107" s="331" t="s">
        <v>699</v>
      </c>
      <c r="C107" s="367">
        <f>11000*3*20</f>
        <v>660000</v>
      </c>
    </row>
    <row r="108" spans="2:5" x14ac:dyDescent="0.2">
      <c r="B108" s="660" t="s">
        <v>700</v>
      </c>
      <c r="C108" s="661"/>
    </row>
    <row r="109" spans="2:5" x14ac:dyDescent="0.2">
      <c r="B109" s="660" t="s">
        <v>701</v>
      </c>
      <c r="C109" s="661"/>
    </row>
    <row r="110" spans="2:5" x14ac:dyDescent="0.2">
      <c r="B110" s="368"/>
      <c r="C110" s="368"/>
    </row>
    <row r="111" spans="2:5" ht="15" x14ac:dyDescent="0.25">
      <c r="B111" s="331" t="s">
        <v>702</v>
      </c>
      <c r="C111" s="368"/>
    </row>
    <row r="112" spans="2:5" x14ac:dyDescent="0.2">
      <c r="B112" s="33" t="s">
        <v>703</v>
      </c>
      <c r="C112" s="71">
        <f>C107</f>
        <v>660000</v>
      </c>
    </row>
    <row r="113" spans="2:4" x14ac:dyDescent="0.2">
      <c r="B113" s="33" t="s">
        <v>685</v>
      </c>
      <c r="C113" s="71">
        <f>D103</f>
        <v>500000</v>
      </c>
    </row>
    <row r="114" spans="2:4" ht="15" x14ac:dyDescent="0.25">
      <c r="B114" s="331" t="s">
        <v>43</v>
      </c>
      <c r="C114" s="367">
        <f>C112+C113</f>
        <v>1160000</v>
      </c>
    </row>
    <row r="116" spans="2:4" ht="15" x14ac:dyDescent="0.25">
      <c r="B116" s="331" t="s">
        <v>704</v>
      </c>
      <c r="C116" s="362" t="s">
        <v>8</v>
      </c>
    </row>
    <row r="117" spans="2:4" x14ac:dyDescent="0.2">
      <c r="B117" s="29" t="s">
        <v>705</v>
      </c>
      <c r="C117" s="71">
        <v>120000</v>
      </c>
    </row>
    <row r="118" spans="2:4" ht="15" x14ac:dyDescent="0.25">
      <c r="B118" s="369" t="s">
        <v>706</v>
      </c>
      <c r="C118" s="361">
        <f>C117</f>
        <v>120000</v>
      </c>
    </row>
    <row r="119" spans="2:4" x14ac:dyDescent="0.2">
      <c r="B119" s="660" t="s">
        <v>707</v>
      </c>
      <c r="C119" s="661"/>
    </row>
    <row r="121" spans="2:4" ht="15" x14ac:dyDescent="0.25">
      <c r="B121" s="331" t="s">
        <v>708</v>
      </c>
      <c r="D121" s="13"/>
    </row>
    <row r="122" spans="2:4" x14ac:dyDescent="0.2">
      <c r="B122" s="2" t="s">
        <v>680</v>
      </c>
      <c r="D122" s="13"/>
    </row>
    <row r="123" spans="2:4" x14ac:dyDescent="0.2">
      <c r="D123" s="13"/>
    </row>
    <row r="124" spans="2:4" ht="15" x14ac:dyDescent="0.25">
      <c r="B124" s="331" t="s">
        <v>709</v>
      </c>
      <c r="C124" s="331" t="s">
        <v>710</v>
      </c>
      <c r="D124" s="330"/>
    </row>
    <row r="125" spans="2:4" x14ac:dyDescent="0.2">
      <c r="B125" s="352" t="s">
        <v>711</v>
      </c>
      <c r="C125" s="71">
        <v>900000</v>
      </c>
      <c r="D125" s="330"/>
    </row>
    <row r="126" spans="2:4" ht="13.5" customHeight="1" x14ac:dyDescent="0.2">
      <c r="B126" s="352" t="s">
        <v>712</v>
      </c>
      <c r="C126" s="71">
        <v>3000000</v>
      </c>
      <c r="D126" s="330"/>
    </row>
    <row r="127" spans="2:4" x14ac:dyDescent="0.2">
      <c r="B127" s="352" t="s">
        <v>713</v>
      </c>
      <c r="C127" s="71">
        <v>4200000</v>
      </c>
      <c r="D127" s="330"/>
    </row>
    <row r="128" spans="2:4" x14ac:dyDescent="0.2">
      <c r="B128" s="352" t="s">
        <v>714</v>
      </c>
      <c r="C128" s="71">
        <v>2700000</v>
      </c>
      <c r="D128" s="330"/>
    </row>
    <row r="129" spans="1:6" x14ac:dyDescent="0.2">
      <c r="B129" s="330"/>
      <c r="C129" s="330"/>
      <c r="D129" s="330"/>
    </row>
    <row r="130" spans="1:6" ht="12.6" customHeight="1" x14ac:dyDescent="0.2">
      <c r="B130" s="370" t="s">
        <v>715</v>
      </c>
      <c r="C130" s="330"/>
      <c r="D130" s="330"/>
    </row>
    <row r="131" spans="1:6" x14ac:dyDescent="0.2">
      <c r="B131" s="354" t="s">
        <v>716</v>
      </c>
      <c r="C131" s="371"/>
      <c r="D131" s="330"/>
    </row>
    <row r="133" spans="1:6" ht="15" x14ac:dyDescent="0.25">
      <c r="B133" s="372" t="s">
        <v>717</v>
      </c>
      <c r="C133" s="372">
        <f>A149</f>
        <v>12</v>
      </c>
    </row>
    <row r="134" spans="1:6" x14ac:dyDescent="0.2">
      <c r="A134" s="354"/>
      <c r="B134" s="2" t="s">
        <v>718</v>
      </c>
    </row>
    <row r="136" spans="1:6" ht="15" x14ac:dyDescent="0.25">
      <c r="B136" s="373" t="s">
        <v>719</v>
      </c>
    </row>
    <row r="137" spans="1:6" ht="45" x14ac:dyDescent="0.25">
      <c r="B137" s="374" t="s">
        <v>720</v>
      </c>
      <c r="C137" s="375" t="s">
        <v>721</v>
      </c>
      <c r="D137" s="375" t="s">
        <v>722</v>
      </c>
      <c r="E137" s="375" t="s">
        <v>723</v>
      </c>
      <c r="F137" s="375" t="s">
        <v>724</v>
      </c>
    </row>
    <row r="138" spans="1:6" x14ac:dyDescent="0.2">
      <c r="A138" s="29">
        <v>1</v>
      </c>
      <c r="B138" s="376" t="s">
        <v>725</v>
      </c>
      <c r="C138" s="69">
        <v>49402.5</v>
      </c>
      <c r="D138" s="69">
        <v>1174558.5</v>
      </c>
      <c r="E138" s="377">
        <v>19.626043168594492</v>
      </c>
      <c r="F138" s="212">
        <v>0.28818457768802058</v>
      </c>
    </row>
    <row r="139" spans="1:6" x14ac:dyDescent="0.2">
      <c r="A139" s="29">
        <v>2</v>
      </c>
      <c r="B139" s="376" t="s">
        <v>726</v>
      </c>
      <c r="C139" s="69">
        <v>50884.1</v>
      </c>
      <c r="D139" s="69">
        <v>1017842.0000000001</v>
      </c>
      <c r="E139" s="377">
        <v>16.719233701292261</v>
      </c>
      <c r="F139" s="212">
        <v>0.24973329716921747</v>
      </c>
    </row>
    <row r="140" spans="1:6" x14ac:dyDescent="0.2">
      <c r="A140" s="29">
        <v>3</v>
      </c>
      <c r="B140" s="376" t="s">
        <v>727</v>
      </c>
      <c r="C140" s="69">
        <v>44304.4</v>
      </c>
      <c r="D140" s="69">
        <v>922641.20000000007</v>
      </c>
      <c r="E140" s="377">
        <v>15.052947612333964</v>
      </c>
      <c r="F140" s="212">
        <v>0.22637524191393496</v>
      </c>
    </row>
    <row r="141" spans="1:6" x14ac:dyDescent="0.2">
      <c r="A141" s="29">
        <v>4</v>
      </c>
      <c r="B141" s="376" t="s">
        <v>728</v>
      </c>
      <c r="C141" s="69">
        <v>6559</v>
      </c>
      <c r="D141" s="69">
        <v>166250</v>
      </c>
      <c r="E141" s="377">
        <v>20.148662155388472</v>
      </c>
      <c r="F141" s="212">
        <v>4.0790378717308187E-2</v>
      </c>
    </row>
    <row r="142" spans="1:6" x14ac:dyDescent="0.2">
      <c r="A142" s="29">
        <v>5</v>
      </c>
      <c r="B142" s="376" t="s">
        <v>729</v>
      </c>
      <c r="C142" s="69">
        <v>7515.9000000000005</v>
      </c>
      <c r="D142" s="69">
        <v>149672.07</v>
      </c>
      <c r="E142" s="377">
        <v>19.15361961249684</v>
      </c>
      <c r="F142" s="212">
        <v>3.6722889736562174E-2</v>
      </c>
    </row>
    <row r="143" spans="1:6" x14ac:dyDescent="0.2">
      <c r="A143" s="29">
        <v>6</v>
      </c>
      <c r="B143" s="376" t="s">
        <v>730</v>
      </c>
      <c r="C143" s="69">
        <v>9502.15</v>
      </c>
      <c r="D143" s="69">
        <v>138278.85</v>
      </c>
      <c r="E143" s="377">
        <v>17.37902706915931</v>
      </c>
      <c r="F143" s="212">
        <v>3.3927498707331437E-2</v>
      </c>
    </row>
    <row r="144" spans="1:6" x14ac:dyDescent="0.2">
      <c r="A144" s="29">
        <v>7</v>
      </c>
      <c r="B144" s="376" t="s">
        <v>731</v>
      </c>
      <c r="C144" s="69">
        <v>5637</v>
      </c>
      <c r="D144" s="69">
        <v>123607.4</v>
      </c>
      <c r="E144" s="377">
        <v>19.275378270233013</v>
      </c>
      <c r="F144" s="212">
        <v>3.0327775388040899E-2</v>
      </c>
    </row>
    <row r="145" spans="1:6" x14ac:dyDescent="0.2">
      <c r="A145" s="29">
        <v>8</v>
      </c>
      <c r="B145" s="376" t="s">
        <v>732</v>
      </c>
      <c r="C145" s="69">
        <v>6034</v>
      </c>
      <c r="D145" s="69">
        <v>119897.3</v>
      </c>
      <c r="E145" s="377">
        <v>18.419990494315243</v>
      </c>
      <c r="F145" s="212">
        <v>2.9417481348467455E-2</v>
      </c>
    </row>
    <row r="146" spans="1:6" x14ac:dyDescent="0.2">
      <c r="A146" s="29">
        <v>9</v>
      </c>
      <c r="B146" s="376" t="s">
        <v>733</v>
      </c>
      <c r="C146" s="69">
        <v>6000.72</v>
      </c>
      <c r="D146" s="69">
        <v>99259</v>
      </c>
      <c r="E146" s="377">
        <v>15.975379924212776</v>
      </c>
      <c r="F146" s="212">
        <v>2.4353757600609281E-2</v>
      </c>
    </row>
    <row r="147" spans="1:6" x14ac:dyDescent="0.2">
      <c r="A147" s="29">
        <v>10</v>
      </c>
      <c r="B147" s="376" t="s">
        <v>734</v>
      </c>
      <c r="C147" s="69">
        <v>4926.8</v>
      </c>
      <c r="D147" s="69">
        <v>68521.5</v>
      </c>
      <c r="E147" s="377">
        <v>15.635826792401737</v>
      </c>
      <c r="F147" s="212">
        <v>1.6812137956559597E-2</v>
      </c>
    </row>
    <row r="148" spans="1:6" x14ac:dyDescent="0.2">
      <c r="A148" s="29">
        <v>11</v>
      </c>
      <c r="B148" s="376" t="s">
        <v>735</v>
      </c>
      <c r="C148" s="69">
        <v>2865</v>
      </c>
      <c r="D148" s="69">
        <v>48338</v>
      </c>
      <c r="E148" s="377">
        <v>13.41711802892241</v>
      </c>
      <c r="F148" s="212">
        <v>1.1860001963532289E-2</v>
      </c>
    </row>
    <row r="149" spans="1:6" x14ac:dyDescent="0.2">
      <c r="A149" s="29">
        <v>12</v>
      </c>
      <c r="B149" s="376" t="s">
        <v>736</v>
      </c>
      <c r="C149" s="69">
        <v>875</v>
      </c>
      <c r="D149" s="69">
        <v>14368.4</v>
      </c>
      <c r="E149" s="377">
        <v>15.666666666666664</v>
      </c>
      <c r="F149" s="212">
        <v>3.52536828608584E-3</v>
      </c>
    </row>
    <row r="150" spans="1:6" ht="15" x14ac:dyDescent="0.25">
      <c r="B150" s="378" t="s">
        <v>737</v>
      </c>
      <c r="C150" s="379">
        <v>196822.80999999997</v>
      </c>
      <c r="D150" s="379">
        <v>4075716.02</v>
      </c>
      <c r="E150" s="380">
        <v>16.283382652542734</v>
      </c>
      <c r="F150" s="381">
        <v>1</v>
      </c>
    </row>
    <row r="151" spans="1:6" x14ac:dyDescent="0.2">
      <c r="B151" s="2" t="s">
        <v>738</v>
      </c>
      <c r="D151" s="287"/>
    </row>
    <row r="153" spans="1:6" ht="15" x14ac:dyDescent="0.25">
      <c r="B153" s="372" t="s">
        <v>739</v>
      </c>
      <c r="C153" s="69">
        <v>90000</v>
      </c>
      <c r="D153" s="287"/>
    </row>
    <row r="154" spans="1:6" ht="15" x14ac:dyDescent="0.25">
      <c r="B154" s="372" t="s">
        <v>740</v>
      </c>
      <c r="C154" s="69">
        <v>40952</v>
      </c>
      <c r="D154" s="287"/>
      <c r="E154" s="287"/>
    </row>
    <row r="155" spans="1:6" x14ac:dyDescent="0.2">
      <c r="B155" s="2" t="s">
        <v>741</v>
      </c>
      <c r="C155" s="287"/>
      <c r="D155" s="287"/>
    </row>
    <row r="156" spans="1:6" x14ac:dyDescent="0.2">
      <c r="C156" s="287"/>
      <c r="D156" s="287"/>
    </row>
    <row r="157" spans="1:6" ht="15" x14ac:dyDescent="0.25">
      <c r="B157" s="382" t="s">
        <v>742</v>
      </c>
      <c r="D157" s="330"/>
      <c r="F157" s="336"/>
    </row>
    <row r="158" spans="1:6" x14ac:dyDescent="0.2">
      <c r="B158" s="59" t="s">
        <v>743</v>
      </c>
      <c r="C158" s="383">
        <f>C174</f>
        <v>500000</v>
      </c>
      <c r="E158" s="37"/>
      <c r="F158" s="336"/>
    </row>
    <row r="159" spans="1:6" ht="28.5" x14ac:dyDescent="0.2">
      <c r="B159" s="158" t="str">
        <f>B177</f>
        <v>b. Talleres, talleres especializados y/ o eventos de divulgación nacionales y/o regionales (Productor, Semillerista, Adecuador, Industrial, Comercializador)</v>
      </c>
      <c r="C159" s="30">
        <f>C183</f>
        <v>1625000</v>
      </c>
      <c r="E159" s="37"/>
      <c r="F159" s="336"/>
    </row>
    <row r="160" spans="1:6" ht="28.5" x14ac:dyDescent="0.2">
      <c r="B160" s="59" t="str">
        <f>B192</f>
        <v>c. Días de campo, giras técnicas, visitas y/o demostraciones de método,  (Productor, Semillerista, Adecuador, Industrial, Comercializador)</v>
      </c>
      <c r="C160" s="383">
        <f>C200</f>
        <v>4120000</v>
      </c>
      <c r="E160" s="37"/>
      <c r="F160" s="336"/>
    </row>
    <row r="161" spans="2:6" x14ac:dyDescent="0.2">
      <c r="B161" s="59" t="str">
        <f>B204</f>
        <v>d. Parcelas demostrativas o lotes modelos (Costo promedio)</v>
      </c>
      <c r="C161" s="383">
        <f>C212</f>
        <v>6000000</v>
      </c>
      <c r="E161" s="37"/>
      <c r="F161" s="336"/>
    </row>
    <row r="162" spans="2:6" x14ac:dyDescent="0.2">
      <c r="B162" s="59" t="s">
        <v>744</v>
      </c>
      <c r="C162" s="383">
        <f>C158*20%</f>
        <v>100000</v>
      </c>
      <c r="E162" s="37"/>
      <c r="F162" s="336"/>
    </row>
    <row r="163" spans="2:6" x14ac:dyDescent="0.2">
      <c r="B163" s="59" t="s">
        <v>745</v>
      </c>
      <c r="C163" s="383">
        <f>C159*20%</f>
        <v>325000</v>
      </c>
      <c r="E163" s="37"/>
      <c r="F163" s="336"/>
    </row>
    <row r="164" spans="2:6" x14ac:dyDescent="0.2">
      <c r="B164" s="59" t="s">
        <v>746</v>
      </c>
      <c r="C164" s="383">
        <f>C223</f>
        <v>4600000</v>
      </c>
      <c r="E164" s="37"/>
      <c r="F164" s="336"/>
    </row>
    <row r="165" spans="2:6" x14ac:dyDescent="0.2">
      <c r="B165" s="59" t="s">
        <v>747</v>
      </c>
      <c r="C165" s="383">
        <f>C231</f>
        <v>2300000</v>
      </c>
      <c r="E165" s="37"/>
      <c r="F165" s="336"/>
    </row>
    <row r="166" spans="2:6" x14ac:dyDescent="0.2">
      <c r="B166" s="59" t="s">
        <v>748</v>
      </c>
      <c r="C166" s="383">
        <f>C252</f>
        <v>7000000</v>
      </c>
      <c r="E166" s="37"/>
      <c r="F166" s="336"/>
    </row>
    <row r="167" spans="2:6" x14ac:dyDescent="0.2">
      <c r="B167" s="61"/>
      <c r="C167" s="384"/>
      <c r="E167" s="37"/>
      <c r="F167" s="336"/>
    </row>
    <row r="168" spans="2:6" x14ac:dyDescent="0.2">
      <c r="B168" s="2" t="s">
        <v>749</v>
      </c>
      <c r="E168" s="37"/>
      <c r="F168" s="336"/>
    </row>
    <row r="169" spans="2:6" x14ac:dyDescent="0.2">
      <c r="E169" s="37"/>
      <c r="F169" s="336"/>
    </row>
    <row r="171" spans="2:6" ht="27" customHeight="1" x14ac:dyDescent="0.25">
      <c r="B171" s="372" t="s">
        <v>750</v>
      </c>
      <c r="C171" s="385" t="s">
        <v>751</v>
      </c>
    </row>
    <row r="172" spans="2:6" x14ac:dyDescent="0.2">
      <c r="B172" s="29" t="s">
        <v>752</v>
      </c>
      <c r="C172" s="386">
        <f>15000*20</f>
        <v>300000</v>
      </c>
    </row>
    <row r="173" spans="2:6" x14ac:dyDescent="0.2">
      <c r="B173" s="29" t="s">
        <v>753</v>
      </c>
      <c r="C173" s="386">
        <v>200000</v>
      </c>
    </row>
    <row r="174" spans="2:6" ht="15" x14ac:dyDescent="0.25">
      <c r="B174" s="387" t="s">
        <v>754</v>
      </c>
      <c r="C174" s="388">
        <f>C172+C173</f>
        <v>500000</v>
      </c>
    </row>
    <row r="177" spans="2:3" ht="39" customHeight="1" x14ac:dyDescent="0.25">
      <c r="B177" s="385" t="s">
        <v>755</v>
      </c>
      <c r="C177" s="385" t="s">
        <v>756</v>
      </c>
    </row>
    <row r="178" spans="2:3" x14ac:dyDescent="0.2">
      <c r="B178" s="29" t="s">
        <v>757</v>
      </c>
      <c r="C178" s="386">
        <v>400000</v>
      </c>
    </row>
    <row r="179" spans="2:3" x14ac:dyDescent="0.2">
      <c r="B179" s="29" t="s">
        <v>752</v>
      </c>
      <c r="C179" s="386">
        <f>15000*25</f>
        <v>375000</v>
      </c>
    </row>
    <row r="180" spans="2:3" x14ac:dyDescent="0.2">
      <c r="B180" s="158" t="s">
        <v>758</v>
      </c>
      <c r="C180" s="386">
        <f>2500*2*25</f>
        <v>125000</v>
      </c>
    </row>
    <row r="181" spans="2:3" x14ac:dyDescent="0.2">
      <c r="B181" s="29" t="s">
        <v>97</v>
      </c>
      <c r="C181" s="386">
        <f>25000*25</f>
        <v>625000</v>
      </c>
    </row>
    <row r="182" spans="2:3" x14ac:dyDescent="0.2">
      <c r="B182" s="29" t="s">
        <v>759</v>
      </c>
      <c r="C182" s="386">
        <v>100000</v>
      </c>
    </row>
    <row r="183" spans="2:3" ht="15" x14ac:dyDescent="0.25">
      <c r="B183" s="372" t="s">
        <v>760</v>
      </c>
      <c r="C183" s="388">
        <f>SUM(C178:C182)</f>
        <v>1625000</v>
      </c>
    </row>
    <row r="184" spans="2:3" x14ac:dyDescent="0.2">
      <c r="B184" s="2" t="s">
        <v>761</v>
      </c>
    </row>
    <row r="186" spans="2:3" ht="15" hidden="1" x14ac:dyDescent="0.25">
      <c r="B186" s="372" t="s">
        <v>762</v>
      </c>
      <c r="C186" s="13" t="s">
        <v>751</v>
      </c>
    </row>
    <row r="187" spans="2:3" hidden="1" x14ac:dyDescent="0.2">
      <c r="B187" s="29" t="s">
        <v>752</v>
      </c>
      <c r="C187" s="386">
        <v>500000</v>
      </c>
    </row>
    <row r="188" spans="2:3" hidden="1" x14ac:dyDescent="0.2">
      <c r="B188" s="158" t="s">
        <v>757</v>
      </c>
      <c r="C188" s="386">
        <v>500000</v>
      </c>
    </row>
    <row r="189" spans="2:3" ht="15" hidden="1" x14ac:dyDescent="0.25">
      <c r="B189" s="387" t="s">
        <v>754</v>
      </c>
      <c r="C189" s="388">
        <f>SUM(C187:C188)</f>
        <v>1000000</v>
      </c>
    </row>
    <row r="190" spans="2:3" hidden="1" x14ac:dyDescent="0.2">
      <c r="B190" s="29" t="s">
        <v>763</v>
      </c>
    </row>
    <row r="192" spans="2:3" ht="30" x14ac:dyDescent="0.25">
      <c r="B192" s="385" t="s">
        <v>764</v>
      </c>
      <c r="C192" s="385" t="s">
        <v>765</v>
      </c>
    </row>
    <row r="193" spans="2:4" x14ac:dyDescent="0.2">
      <c r="B193" s="386" t="s">
        <v>766</v>
      </c>
      <c r="C193" s="386">
        <f>20000*30</f>
        <v>600000</v>
      </c>
    </row>
    <row r="194" spans="2:4" x14ac:dyDescent="0.2">
      <c r="B194" s="386" t="s">
        <v>767</v>
      </c>
      <c r="C194" s="386">
        <f>25000*30</f>
        <v>750000</v>
      </c>
    </row>
    <row r="195" spans="2:4" x14ac:dyDescent="0.2">
      <c r="B195" s="29" t="s">
        <v>84</v>
      </c>
      <c r="C195" s="386">
        <f>25000*30</f>
        <v>750000</v>
      </c>
    </row>
    <row r="196" spans="2:4" x14ac:dyDescent="0.2">
      <c r="B196" s="29" t="s">
        <v>768</v>
      </c>
      <c r="C196" s="386">
        <f>C118+200000</f>
        <v>320000</v>
      </c>
    </row>
    <row r="197" spans="2:4" x14ac:dyDescent="0.2">
      <c r="B197" s="29" t="s">
        <v>769</v>
      </c>
      <c r="C197" s="386">
        <v>100000</v>
      </c>
    </row>
    <row r="198" spans="2:4" x14ac:dyDescent="0.2">
      <c r="B198" s="29" t="s">
        <v>770</v>
      </c>
      <c r="C198" s="386">
        <f>50000*30</f>
        <v>1500000</v>
      </c>
    </row>
    <row r="199" spans="2:4" x14ac:dyDescent="0.2">
      <c r="B199" s="29" t="s">
        <v>771</v>
      </c>
      <c r="C199" s="386">
        <v>100000</v>
      </c>
    </row>
    <row r="200" spans="2:4" ht="15" x14ac:dyDescent="0.25">
      <c r="B200" s="372" t="s">
        <v>1</v>
      </c>
      <c r="C200" s="388">
        <f>SUM(C193:C199)</f>
        <v>4120000</v>
      </c>
    </row>
    <row r="201" spans="2:4" x14ac:dyDescent="0.2">
      <c r="B201" s="2" t="s">
        <v>772</v>
      </c>
    </row>
    <row r="202" spans="2:4" x14ac:dyDescent="0.2">
      <c r="B202" s="2" t="s">
        <v>773</v>
      </c>
    </row>
    <row r="204" spans="2:4" ht="15" x14ac:dyDescent="0.25">
      <c r="B204" s="372" t="s">
        <v>774</v>
      </c>
      <c r="C204" s="385" t="s">
        <v>775</v>
      </c>
    </row>
    <row r="205" spans="2:4" x14ac:dyDescent="0.2">
      <c r="B205" s="386" t="s">
        <v>776</v>
      </c>
      <c r="C205" s="386">
        <f>(160000*30)</f>
        <v>4800000</v>
      </c>
      <c r="D205" s="114"/>
    </row>
    <row r="206" spans="2:4" x14ac:dyDescent="0.2">
      <c r="B206" s="29" t="s">
        <v>777</v>
      </c>
      <c r="C206" s="69">
        <f>280000*40</f>
        <v>11200000</v>
      </c>
    </row>
    <row r="207" spans="2:4" x14ac:dyDescent="0.2">
      <c r="B207" s="29" t="s">
        <v>778</v>
      </c>
      <c r="C207" s="69">
        <f>300000*8</f>
        <v>2400000</v>
      </c>
    </row>
    <row r="208" spans="2:4" x14ac:dyDescent="0.2">
      <c r="B208" s="386" t="s">
        <v>779</v>
      </c>
      <c r="C208" s="69">
        <f>50000*100</f>
        <v>5000000</v>
      </c>
    </row>
    <row r="209" spans="2:3" x14ac:dyDescent="0.2">
      <c r="B209" s="29" t="s">
        <v>780</v>
      </c>
      <c r="C209" s="386">
        <v>500000</v>
      </c>
    </row>
    <row r="210" spans="2:3" ht="15" x14ac:dyDescent="0.25">
      <c r="B210" s="372" t="s">
        <v>781</v>
      </c>
      <c r="C210" s="388">
        <f>SUM(C205:C209)</f>
        <v>23900000</v>
      </c>
    </row>
    <row r="211" spans="2:3" ht="15" x14ac:dyDescent="0.25">
      <c r="B211" s="372" t="s">
        <v>782</v>
      </c>
      <c r="C211" s="388">
        <f>C210/4</f>
        <v>5975000</v>
      </c>
    </row>
    <row r="212" spans="2:3" ht="15" x14ac:dyDescent="0.25">
      <c r="B212" s="372" t="s">
        <v>783</v>
      </c>
      <c r="C212" s="388">
        <v>6000000</v>
      </c>
    </row>
    <row r="213" spans="2:3" x14ac:dyDescent="0.2">
      <c r="B213" s="2" t="s">
        <v>784</v>
      </c>
    </row>
    <row r="215" spans="2:3" ht="15" x14ac:dyDescent="0.25">
      <c r="B215" s="662" t="s">
        <v>785</v>
      </c>
      <c r="C215" s="663"/>
    </row>
    <row r="216" spans="2:3" x14ac:dyDescent="0.2">
      <c r="B216" s="389" t="s">
        <v>786</v>
      </c>
      <c r="C216" s="390">
        <f>50000*25</f>
        <v>1250000</v>
      </c>
    </row>
    <row r="217" spans="2:3" x14ac:dyDescent="0.2">
      <c r="B217" s="390" t="s">
        <v>752</v>
      </c>
      <c r="C217" s="390">
        <f>15000*25</f>
        <v>375000</v>
      </c>
    </row>
    <row r="218" spans="2:3" x14ac:dyDescent="0.2">
      <c r="B218" s="111" t="s">
        <v>767</v>
      </c>
      <c r="C218" s="390">
        <f>25000*25</f>
        <v>625000</v>
      </c>
    </row>
    <row r="219" spans="2:3" x14ac:dyDescent="0.2">
      <c r="B219" s="386" t="s">
        <v>787</v>
      </c>
      <c r="C219" s="390">
        <v>600000</v>
      </c>
    </row>
    <row r="220" spans="2:3" x14ac:dyDescent="0.2">
      <c r="B220" s="390" t="s">
        <v>788</v>
      </c>
      <c r="C220" s="390">
        <f>30*40000</f>
        <v>1200000</v>
      </c>
    </row>
    <row r="221" spans="2:3" x14ac:dyDescent="0.2">
      <c r="B221" s="29" t="s">
        <v>789</v>
      </c>
      <c r="C221" s="386">
        <v>250000</v>
      </c>
    </row>
    <row r="222" spans="2:3" x14ac:dyDescent="0.2">
      <c r="B222" s="29" t="s">
        <v>790</v>
      </c>
      <c r="C222" s="386">
        <v>300000</v>
      </c>
    </row>
    <row r="223" spans="2:3" ht="15" x14ac:dyDescent="0.25">
      <c r="B223" s="391" t="s">
        <v>754</v>
      </c>
      <c r="C223" s="391">
        <f>SUM(C216:C222)</f>
        <v>4600000</v>
      </c>
    </row>
    <row r="225" spans="2:4" x14ac:dyDescent="0.2">
      <c r="B225" s="2" t="s">
        <v>791</v>
      </c>
    </row>
    <row r="227" spans="2:4" ht="15" x14ac:dyDescent="0.25">
      <c r="B227" s="372" t="s">
        <v>792</v>
      </c>
      <c r="C227" s="385" t="s">
        <v>793</v>
      </c>
    </row>
    <row r="228" spans="2:4" x14ac:dyDescent="0.2">
      <c r="B228" s="386" t="s">
        <v>794</v>
      </c>
      <c r="C228" s="386">
        <f>D65</f>
        <v>1258039</v>
      </c>
      <c r="D228" s="114"/>
    </row>
    <row r="229" spans="2:4" x14ac:dyDescent="0.2">
      <c r="B229" s="29" t="s">
        <v>204</v>
      </c>
      <c r="C229" s="69">
        <v>1000000</v>
      </c>
    </row>
    <row r="230" spans="2:4" ht="15" x14ac:dyDescent="0.25">
      <c r="B230" s="372" t="s">
        <v>1</v>
      </c>
      <c r="C230" s="388">
        <f>SUM(C228:C229)</f>
        <v>2258039</v>
      </c>
    </row>
    <row r="231" spans="2:4" ht="15" x14ac:dyDescent="0.25">
      <c r="B231" s="372" t="s">
        <v>795</v>
      </c>
      <c r="C231" s="392">
        <f>2300000</f>
        <v>2300000</v>
      </c>
    </row>
    <row r="232" spans="2:4" ht="15" hidden="1" x14ac:dyDescent="0.25">
      <c r="B232" s="662"/>
      <c r="C232" s="663"/>
    </row>
    <row r="233" spans="2:4" hidden="1" x14ac:dyDescent="0.2">
      <c r="B233" s="389"/>
      <c r="C233" s="390"/>
    </row>
    <row r="234" spans="2:4" hidden="1" x14ac:dyDescent="0.2">
      <c r="B234" s="390"/>
      <c r="C234" s="390"/>
    </row>
    <row r="235" spans="2:4" hidden="1" x14ac:dyDescent="0.2">
      <c r="B235" s="111"/>
      <c r="C235" s="390"/>
    </row>
    <row r="236" spans="2:4" hidden="1" x14ac:dyDescent="0.2">
      <c r="B236" s="386"/>
      <c r="C236" s="390"/>
    </row>
    <row r="237" spans="2:4" hidden="1" x14ac:dyDescent="0.2">
      <c r="B237" s="390"/>
      <c r="C237" s="390"/>
    </row>
    <row r="238" spans="2:4" hidden="1" x14ac:dyDescent="0.2">
      <c r="B238" s="29"/>
      <c r="C238" s="386"/>
    </row>
    <row r="239" spans="2:4" hidden="1" x14ac:dyDescent="0.2">
      <c r="B239" s="29"/>
      <c r="C239" s="386"/>
    </row>
    <row r="240" spans="2:4" ht="15" hidden="1" x14ac:dyDescent="0.25">
      <c r="B240" s="391"/>
      <c r="C240" s="391"/>
    </row>
    <row r="241" spans="2:6" hidden="1" x14ac:dyDescent="0.2"/>
    <row r="243" spans="2:6" ht="15" x14ac:dyDescent="0.25">
      <c r="B243" s="372" t="s">
        <v>748</v>
      </c>
      <c r="C243" s="385" t="s">
        <v>775</v>
      </c>
    </row>
    <row r="244" spans="2:6" x14ac:dyDescent="0.2">
      <c r="B244" s="386" t="s">
        <v>796</v>
      </c>
      <c r="C244" s="386">
        <v>6500000</v>
      </c>
      <c r="D244" s="114"/>
    </row>
    <row r="245" spans="2:6" x14ac:dyDescent="0.2">
      <c r="B245" s="29" t="s">
        <v>777</v>
      </c>
      <c r="C245" s="69">
        <f>280000*40</f>
        <v>11200000</v>
      </c>
    </row>
    <row r="246" spans="2:6" x14ac:dyDescent="0.2">
      <c r="B246" s="29" t="s">
        <v>778</v>
      </c>
      <c r="C246" s="69">
        <v>3000000</v>
      </c>
    </row>
    <row r="247" spans="2:6" x14ac:dyDescent="0.2">
      <c r="B247" s="386" t="s">
        <v>779</v>
      </c>
      <c r="C247" s="69">
        <f>50000*100</f>
        <v>5000000</v>
      </c>
    </row>
    <row r="248" spans="2:6" x14ac:dyDescent="0.2">
      <c r="B248" s="386" t="s">
        <v>797</v>
      </c>
      <c r="C248" s="69">
        <v>1500000</v>
      </c>
    </row>
    <row r="249" spans="2:6" x14ac:dyDescent="0.2">
      <c r="B249" s="29" t="s">
        <v>780</v>
      </c>
      <c r="C249" s="386">
        <v>500000</v>
      </c>
    </row>
    <row r="250" spans="2:6" ht="15" x14ac:dyDescent="0.25">
      <c r="B250" s="372" t="s">
        <v>781</v>
      </c>
      <c r="C250" s="388">
        <f>SUM(C244:C249)</f>
        <v>27700000</v>
      </c>
    </row>
    <row r="251" spans="2:6" ht="15" x14ac:dyDescent="0.25">
      <c r="B251" s="372" t="s">
        <v>782</v>
      </c>
      <c r="C251" s="388">
        <f>C250/4</f>
        <v>6925000</v>
      </c>
    </row>
    <row r="252" spans="2:6" ht="15" x14ac:dyDescent="0.25">
      <c r="B252" s="372" t="s">
        <v>783</v>
      </c>
      <c r="C252" s="388">
        <v>7000000</v>
      </c>
    </row>
    <row r="253" spans="2:6" x14ac:dyDescent="0.2">
      <c r="B253" s="2" t="s">
        <v>784</v>
      </c>
    </row>
    <row r="255" spans="2:6" ht="15" x14ac:dyDescent="0.25">
      <c r="B255" s="393" t="s">
        <v>798</v>
      </c>
      <c r="D255" s="13"/>
      <c r="F255" s="336"/>
    </row>
    <row r="256" spans="2:6" ht="15" x14ac:dyDescent="0.25">
      <c r="B256" s="394" t="s">
        <v>799</v>
      </c>
      <c r="C256" s="395" t="s">
        <v>800</v>
      </c>
      <c r="D256" s="395" t="s">
        <v>801</v>
      </c>
      <c r="F256" s="336"/>
    </row>
    <row r="257" spans="1:4" x14ac:dyDescent="0.2">
      <c r="B257" s="66">
        <v>2022</v>
      </c>
      <c r="C257" s="2">
        <v>3913.49</v>
      </c>
      <c r="D257" s="29">
        <v>4394.3</v>
      </c>
    </row>
    <row r="258" spans="1:4" x14ac:dyDescent="0.2">
      <c r="B258" s="66">
        <v>2021</v>
      </c>
      <c r="C258" s="29">
        <v>3743.09</v>
      </c>
      <c r="D258" s="29">
        <v>4419.5600000000004</v>
      </c>
    </row>
    <row r="259" spans="1:4" x14ac:dyDescent="0.2">
      <c r="B259" s="66">
        <v>2020</v>
      </c>
      <c r="C259" s="29">
        <v>3693.36</v>
      </c>
      <c r="D259" s="29">
        <v>4214.03</v>
      </c>
    </row>
    <row r="260" spans="1:4" ht="15" x14ac:dyDescent="0.25">
      <c r="B260" s="396" t="s">
        <v>802</v>
      </c>
      <c r="C260" s="397">
        <f>AVERAGE(C257:C259)</f>
        <v>3783.3133333333335</v>
      </c>
      <c r="D260" s="397">
        <f>AVERAGE(D257:D259)</f>
        <v>4342.63</v>
      </c>
    </row>
    <row r="261" spans="1:4" x14ac:dyDescent="0.2">
      <c r="B261" s="664" t="s">
        <v>803</v>
      </c>
      <c r="C261" s="664"/>
      <c r="D261" s="664"/>
    </row>
    <row r="262" spans="1:4" x14ac:dyDescent="0.2">
      <c r="B262" s="398"/>
      <c r="C262" s="398"/>
      <c r="D262" s="398"/>
    </row>
    <row r="264" spans="1:4" ht="15" x14ac:dyDescent="0.25">
      <c r="B264" s="393" t="s">
        <v>804</v>
      </c>
      <c r="C264" s="399"/>
      <c r="D264" s="399"/>
    </row>
    <row r="265" spans="1:4" ht="15" x14ac:dyDescent="0.2">
      <c r="A265" s="13"/>
      <c r="B265" s="400" t="s">
        <v>805</v>
      </c>
      <c r="C265" s="401" t="s">
        <v>8</v>
      </c>
      <c r="D265" s="330"/>
    </row>
    <row r="266" spans="1:4" x14ac:dyDescent="0.2">
      <c r="A266" s="13"/>
      <c r="B266" s="29" t="s">
        <v>806</v>
      </c>
      <c r="C266" s="402">
        <f>C286</f>
        <v>2550000</v>
      </c>
      <c r="D266" s="330"/>
    </row>
    <row r="267" spans="1:4" ht="15" customHeight="1" x14ac:dyDescent="0.2">
      <c r="A267" s="13"/>
      <c r="B267" s="29" t="s">
        <v>807</v>
      </c>
      <c r="C267" s="402">
        <f>C294</f>
        <v>303500</v>
      </c>
      <c r="D267" s="330"/>
    </row>
    <row r="268" spans="1:4" x14ac:dyDescent="0.2">
      <c r="A268" s="13"/>
      <c r="B268" s="29" t="s">
        <v>808</v>
      </c>
      <c r="C268" s="402">
        <f>C298</f>
        <v>15000000</v>
      </c>
      <c r="D268" s="330"/>
    </row>
    <row r="269" spans="1:4" x14ac:dyDescent="0.2">
      <c r="A269" s="13"/>
      <c r="B269" s="29" t="s">
        <v>809</v>
      </c>
      <c r="C269" s="402">
        <f>C299</f>
        <v>8000000</v>
      </c>
      <c r="D269" s="330"/>
    </row>
    <row r="270" spans="1:4" ht="14.1" customHeight="1" x14ac:dyDescent="0.2">
      <c r="A270" s="13"/>
      <c r="B270" s="101" t="s">
        <v>810</v>
      </c>
      <c r="C270" s="403">
        <v>20000000</v>
      </c>
      <c r="D270" s="330"/>
    </row>
    <row r="271" spans="1:4" x14ac:dyDescent="0.2">
      <c r="A271" s="13"/>
      <c r="B271" s="101" t="s">
        <v>811</v>
      </c>
      <c r="C271" s="403">
        <f>C304</f>
        <v>4000000</v>
      </c>
      <c r="D271" s="330"/>
    </row>
    <row r="272" spans="1:4" x14ac:dyDescent="0.2">
      <c r="A272" s="13"/>
      <c r="B272" s="101" t="s">
        <v>812</v>
      </c>
      <c r="C272" s="404">
        <f>C308</f>
        <v>500000</v>
      </c>
      <c r="D272" s="330"/>
    </row>
    <row r="273" spans="1:8" x14ac:dyDescent="0.2">
      <c r="A273" s="13"/>
      <c r="B273" s="101" t="s">
        <v>813</v>
      </c>
      <c r="C273" s="335">
        <f>E318</f>
        <v>183750000</v>
      </c>
      <c r="D273" s="330"/>
    </row>
    <row r="274" spans="1:8" x14ac:dyDescent="0.2">
      <c r="A274" s="13"/>
      <c r="B274" s="101" t="s">
        <v>814</v>
      </c>
      <c r="C274" s="402">
        <f>E328</f>
        <v>130105000</v>
      </c>
      <c r="D274" s="330"/>
    </row>
    <row r="275" spans="1:8" x14ac:dyDescent="0.2">
      <c r="A275" s="13"/>
      <c r="B275" s="29" t="s">
        <v>815</v>
      </c>
      <c r="C275" s="402">
        <f>E340</f>
        <v>116200000</v>
      </c>
      <c r="D275" s="330"/>
    </row>
    <row r="276" spans="1:8" x14ac:dyDescent="0.2">
      <c r="A276" s="13"/>
      <c r="B276" s="101" t="s">
        <v>816</v>
      </c>
      <c r="C276" s="405">
        <f>C356</f>
        <v>3500000</v>
      </c>
      <c r="D276" s="330"/>
    </row>
    <row r="277" spans="1:8" x14ac:dyDescent="0.2">
      <c r="A277" s="13"/>
      <c r="B277" s="101" t="s">
        <v>817</v>
      </c>
      <c r="C277" s="402">
        <f>C357</f>
        <v>500000</v>
      </c>
      <c r="D277" s="330"/>
    </row>
    <row r="278" spans="1:8" x14ac:dyDescent="0.2">
      <c r="A278" s="13"/>
      <c r="B278" s="29" t="str">
        <f>B361</f>
        <v>m. Plan de Medios radial Nacional</v>
      </c>
      <c r="C278" s="402">
        <f>E365</f>
        <v>30400000</v>
      </c>
      <c r="D278" s="330"/>
    </row>
    <row r="279" spans="1:8" ht="12.95" customHeight="1" x14ac:dyDescent="0.2">
      <c r="A279" s="13"/>
      <c r="B279" s="29" t="str">
        <f>B367</f>
        <v>n. Plan de Medios radial regional</v>
      </c>
      <c r="C279" s="402">
        <f>E371</f>
        <v>12284000</v>
      </c>
      <c r="D279" s="330"/>
    </row>
    <row r="280" spans="1:8" x14ac:dyDescent="0.2">
      <c r="B280" s="29" t="s">
        <v>818</v>
      </c>
      <c r="C280" s="402">
        <f>E378</f>
        <v>25484000</v>
      </c>
      <c r="D280" s="330"/>
    </row>
    <row r="281" spans="1:8" x14ac:dyDescent="0.2">
      <c r="D281" s="330"/>
      <c r="E281" s="368"/>
      <c r="F281" s="368"/>
      <c r="G281" s="368"/>
      <c r="H281" s="368"/>
    </row>
    <row r="282" spans="1:8" ht="15" x14ac:dyDescent="0.25">
      <c r="B282" s="406" t="s">
        <v>819</v>
      </c>
      <c r="C282" s="407"/>
      <c r="D282" s="330"/>
      <c r="E282" s="330"/>
      <c r="F282" s="330"/>
      <c r="G282" s="330"/>
      <c r="H282" s="330"/>
    </row>
    <row r="283" spans="1:8" ht="15" x14ac:dyDescent="0.25">
      <c r="B283" s="408"/>
      <c r="C283" s="408" t="s">
        <v>8</v>
      </c>
      <c r="D283" s="330"/>
      <c r="E283" s="330"/>
      <c r="F283" s="330"/>
      <c r="G283" s="330"/>
      <c r="H283" s="330"/>
    </row>
    <row r="284" spans="1:8" x14ac:dyDescent="0.2">
      <c r="B284" s="29" t="s">
        <v>820</v>
      </c>
      <c r="C284" s="386">
        <v>3900000</v>
      </c>
      <c r="D284" s="330"/>
      <c r="E284" s="330"/>
      <c r="F284" s="330"/>
      <c r="G284" s="330"/>
      <c r="H284" s="330"/>
    </row>
    <row r="285" spans="1:8" x14ac:dyDescent="0.2">
      <c r="B285" s="29" t="s">
        <v>821</v>
      </c>
      <c r="C285" s="386">
        <v>1200000</v>
      </c>
      <c r="D285" s="330"/>
      <c r="E285" s="330"/>
      <c r="F285" s="330"/>
      <c r="G285" s="330"/>
      <c r="H285" s="330"/>
    </row>
    <row r="286" spans="1:8" ht="15" x14ac:dyDescent="0.25">
      <c r="B286" s="329" t="s">
        <v>822</v>
      </c>
      <c r="C286" s="409">
        <f>AVERAGE(C284:C285)</f>
        <v>2550000</v>
      </c>
      <c r="D286" s="330"/>
      <c r="E286" s="330"/>
      <c r="F286" s="330"/>
      <c r="G286" s="330"/>
      <c r="H286" s="330"/>
    </row>
    <row r="287" spans="1:8" x14ac:dyDescent="0.2">
      <c r="B287" s="219" t="s">
        <v>823</v>
      </c>
      <c r="C287" s="336"/>
      <c r="H287" s="368"/>
    </row>
    <row r="288" spans="1:8" x14ac:dyDescent="0.2">
      <c r="D288" s="330"/>
      <c r="E288" s="368"/>
      <c r="F288" s="368"/>
      <c r="G288" s="368"/>
      <c r="H288" s="368"/>
    </row>
    <row r="289" spans="2:8" x14ac:dyDescent="0.2">
      <c r="C289" s="336"/>
      <c r="F289" s="368"/>
      <c r="G289" s="368"/>
      <c r="H289" s="368"/>
    </row>
    <row r="290" spans="2:8" ht="15" x14ac:dyDescent="0.25">
      <c r="B290" s="649" t="s">
        <v>824</v>
      </c>
      <c r="C290" s="649"/>
      <c r="D290" s="330"/>
      <c r="E290" s="330"/>
      <c r="F290" s="330"/>
      <c r="G290" s="368"/>
      <c r="H290" s="368"/>
    </row>
    <row r="291" spans="2:8" ht="15" x14ac:dyDescent="0.25">
      <c r="B291" s="410" t="s">
        <v>825</v>
      </c>
      <c r="C291" s="410" t="s">
        <v>8</v>
      </c>
      <c r="D291" s="330"/>
      <c r="E291" s="330"/>
      <c r="F291" s="330"/>
    </row>
    <row r="292" spans="2:8" x14ac:dyDescent="0.2">
      <c r="B292" s="29" t="s">
        <v>826</v>
      </c>
      <c r="C292" s="402">
        <v>522000</v>
      </c>
      <c r="D292" s="330"/>
      <c r="E292" s="330"/>
      <c r="F292" s="330"/>
    </row>
    <row r="293" spans="2:8" x14ac:dyDescent="0.2">
      <c r="B293" s="29" t="s">
        <v>827</v>
      </c>
      <c r="C293" s="402">
        <v>85000</v>
      </c>
      <c r="D293" s="330"/>
      <c r="E293" s="330"/>
      <c r="F293" s="330"/>
    </row>
    <row r="294" spans="2:8" ht="15" x14ac:dyDescent="0.25">
      <c r="B294" s="329" t="s">
        <v>828</v>
      </c>
      <c r="C294" s="411">
        <f>AVERAGE(C292:C293)</f>
        <v>303500</v>
      </c>
      <c r="D294" s="330"/>
      <c r="E294" s="330"/>
      <c r="F294" s="330"/>
    </row>
    <row r="295" spans="2:8" x14ac:dyDescent="0.2">
      <c r="B295" s="219" t="s">
        <v>823</v>
      </c>
    </row>
    <row r="296" spans="2:8" x14ac:dyDescent="0.2">
      <c r="B296" s="368"/>
      <c r="C296" s="368"/>
      <c r="D296" s="368"/>
      <c r="E296" s="368"/>
    </row>
    <row r="297" spans="2:8" ht="15" x14ac:dyDescent="0.25">
      <c r="B297" s="373" t="s">
        <v>829</v>
      </c>
      <c r="C297" s="373" t="s">
        <v>8</v>
      </c>
      <c r="D297" s="368"/>
      <c r="E297" s="368"/>
    </row>
    <row r="298" spans="2:8" x14ac:dyDescent="0.2">
      <c r="B298" s="29" t="s">
        <v>830</v>
      </c>
      <c r="C298" s="412">
        <v>15000000</v>
      </c>
      <c r="D298" s="368"/>
      <c r="E298" s="368"/>
    </row>
    <row r="299" spans="2:8" x14ac:dyDescent="0.2">
      <c r="B299" s="29" t="s">
        <v>831</v>
      </c>
      <c r="C299" s="412">
        <v>8000000</v>
      </c>
      <c r="D299" s="368"/>
      <c r="E299" s="368"/>
    </row>
    <row r="300" spans="2:8" x14ac:dyDescent="0.2">
      <c r="B300" s="665" t="s">
        <v>832</v>
      </c>
      <c r="C300" s="665"/>
      <c r="D300" s="368"/>
      <c r="E300" s="368"/>
    </row>
    <row r="301" spans="2:8" x14ac:dyDescent="0.2">
      <c r="B301" s="413"/>
      <c r="C301" s="413"/>
      <c r="D301" s="368"/>
      <c r="E301" s="368"/>
    </row>
    <row r="302" spans="2:8" ht="15" x14ac:dyDescent="0.25">
      <c r="B302" s="373" t="s">
        <v>833</v>
      </c>
      <c r="C302" s="373" t="s">
        <v>8</v>
      </c>
      <c r="D302" s="368"/>
      <c r="E302" s="368"/>
    </row>
    <row r="303" spans="2:8" x14ac:dyDescent="0.2">
      <c r="B303" s="101" t="s">
        <v>810</v>
      </c>
      <c r="C303" s="414">
        <v>10000000</v>
      </c>
      <c r="D303" s="368"/>
      <c r="E303" s="368"/>
    </row>
    <row r="304" spans="2:8" x14ac:dyDescent="0.2">
      <c r="B304" s="101" t="s">
        <v>811</v>
      </c>
      <c r="C304" s="414">
        <v>4000000</v>
      </c>
      <c r="D304" s="368"/>
      <c r="E304" s="368"/>
    </row>
    <row r="305" spans="2:5" x14ac:dyDescent="0.2">
      <c r="B305" s="666" t="s">
        <v>834</v>
      </c>
      <c r="C305" s="666"/>
      <c r="D305" s="368"/>
      <c r="E305" s="368"/>
    </row>
    <row r="306" spans="2:5" x14ac:dyDescent="0.2">
      <c r="B306" s="415"/>
      <c r="C306" s="415"/>
      <c r="D306" s="368"/>
      <c r="E306" s="368"/>
    </row>
    <row r="307" spans="2:5" ht="15" x14ac:dyDescent="0.25">
      <c r="B307" s="373" t="s">
        <v>23</v>
      </c>
      <c r="C307" s="373" t="s">
        <v>8</v>
      </c>
      <c r="D307" s="368"/>
      <c r="E307" s="368"/>
    </row>
    <row r="308" spans="2:5" x14ac:dyDescent="0.2">
      <c r="B308" s="101" t="s">
        <v>812</v>
      </c>
      <c r="C308" s="414">
        <v>500000</v>
      </c>
      <c r="D308" s="368"/>
      <c r="E308" s="368"/>
    </row>
    <row r="309" spans="2:5" x14ac:dyDescent="0.2">
      <c r="B309" s="416" t="s">
        <v>835</v>
      </c>
      <c r="C309" s="413"/>
      <c r="D309" s="368"/>
      <c r="E309" s="368"/>
    </row>
    <row r="310" spans="2:5" x14ac:dyDescent="0.2">
      <c r="B310" s="413"/>
      <c r="C310" s="413"/>
      <c r="D310" s="368"/>
      <c r="E310" s="368"/>
    </row>
    <row r="311" spans="2:5" ht="15" x14ac:dyDescent="0.25">
      <c r="B311" s="372" t="s">
        <v>836</v>
      </c>
      <c r="C311" s="417" t="s">
        <v>6</v>
      </c>
      <c r="D311" s="417" t="s">
        <v>8</v>
      </c>
      <c r="E311" s="417" t="s">
        <v>1</v>
      </c>
    </row>
    <row r="312" spans="2:5" x14ac:dyDescent="0.2">
      <c r="B312" s="386" t="s">
        <v>837</v>
      </c>
      <c r="C312" s="386">
        <v>4</v>
      </c>
      <c r="D312" s="386">
        <f>5000000</f>
        <v>5000000</v>
      </c>
      <c r="E312" s="386">
        <f t="shared" ref="E312:E317" si="0">C312*D312</f>
        <v>20000000</v>
      </c>
    </row>
    <row r="313" spans="2:5" x14ac:dyDescent="0.2">
      <c r="B313" s="386" t="s">
        <v>838</v>
      </c>
      <c r="C313" s="386">
        <v>2000</v>
      </c>
      <c r="D313" s="386">
        <v>500</v>
      </c>
      <c r="E313" s="386">
        <f t="shared" si="0"/>
        <v>1000000</v>
      </c>
    </row>
    <row r="314" spans="2:5" x14ac:dyDescent="0.2">
      <c r="B314" s="386" t="s">
        <v>839</v>
      </c>
      <c r="C314" s="386">
        <v>5</v>
      </c>
      <c r="D314" s="386">
        <f>C266</f>
        <v>2550000</v>
      </c>
      <c r="E314" s="386">
        <f t="shared" si="0"/>
        <v>12750000</v>
      </c>
    </row>
    <row r="315" spans="2:5" x14ac:dyDescent="0.2">
      <c r="B315" s="386" t="s">
        <v>840</v>
      </c>
      <c r="C315" s="386">
        <v>2</v>
      </c>
      <c r="D315" s="386">
        <f>C270</f>
        <v>20000000</v>
      </c>
      <c r="E315" s="386">
        <f t="shared" si="0"/>
        <v>40000000</v>
      </c>
    </row>
    <row r="316" spans="2:5" x14ac:dyDescent="0.2">
      <c r="B316" s="386" t="s">
        <v>237</v>
      </c>
      <c r="C316" s="386">
        <v>1</v>
      </c>
      <c r="D316" s="386">
        <v>50000000</v>
      </c>
      <c r="E316" s="386">
        <f t="shared" si="0"/>
        <v>50000000</v>
      </c>
    </row>
    <row r="317" spans="2:5" x14ac:dyDescent="0.2">
      <c r="B317" s="29" t="s">
        <v>829</v>
      </c>
      <c r="C317" s="386">
        <v>4</v>
      </c>
      <c r="D317" s="386">
        <f>C268</f>
        <v>15000000</v>
      </c>
      <c r="E317" s="386">
        <f t="shared" si="0"/>
        <v>60000000</v>
      </c>
    </row>
    <row r="318" spans="2:5" ht="15" x14ac:dyDescent="0.25">
      <c r="B318" s="418" t="s">
        <v>841</v>
      </c>
      <c r="C318" s="418"/>
      <c r="D318" s="418"/>
      <c r="E318" s="419">
        <f>SUM(E312:E317)</f>
        <v>183750000</v>
      </c>
    </row>
    <row r="319" spans="2:5" s="4" customFormat="1" ht="15" x14ac:dyDescent="0.25">
      <c r="B319" s="416" t="s">
        <v>842</v>
      </c>
      <c r="C319" s="3"/>
      <c r="D319" s="3"/>
      <c r="E319" s="420"/>
    </row>
    <row r="320" spans="2:5" x14ac:dyDescent="0.2">
      <c r="B320" s="413"/>
      <c r="C320" s="413"/>
      <c r="D320" s="368"/>
      <c r="E320" s="368"/>
    </row>
    <row r="321" spans="2:5" ht="15" x14ac:dyDescent="0.25">
      <c r="B321" s="372" t="s">
        <v>843</v>
      </c>
      <c r="C321" s="417" t="s">
        <v>6</v>
      </c>
      <c r="D321" s="417" t="s">
        <v>8</v>
      </c>
      <c r="E321" s="417" t="s">
        <v>1</v>
      </c>
    </row>
    <row r="322" spans="2:5" x14ac:dyDescent="0.2">
      <c r="B322" s="386" t="s">
        <v>837</v>
      </c>
      <c r="C322" s="386">
        <v>2</v>
      </c>
      <c r="D322" s="386">
        <v>5000000</v>
      </c>
      <c r="E322" s="386">
        <f t="shared" ref="E322:E327" si="1">C322*D322</f>
        <v>10000000</v>
      </c>
    </row>
    <row r="323" spans="2:5" x14ac:dyDescent="0.2">
      <c r="B323" s="386" t="s">
        <v>838</v>
      </c>
      <c r="C323" s="386">
        <v>10000</v>
      </c>
      <c r="D323" s="386">
        <v>500</v>
      </c>
      <c r="E323" s="386">
        <f t="shared" si="1"/>
        <v>5000000</v>
      </c>
    </row>
    <row r="324" spans="2:5" x14ac:dyDescent="0.2">
      <c r="B324" s="386" t="s">
        <v>844</v>
      </c>
      <c r="C324" s="386">
        <v>30</v>
      </c>
      <c r="D324" s="386">
        <f>C267</f>
        <v>303500</v>
      </c>
      <c r="E324" s="386">
        <f t="shared" si="1"/>
        <v>9105000</v>
      </c>
    </row>
    <row r="325" spans="2:5" x14ac:dyDescent="0.2">
      <c r="B325" s="386" t="s">
        <v>237</v>
      </c>
      <c r="C325" s="386">
        <v>4</v>
      </c>
      <c r="D325" s="386">
        <v>5000000</v>
      </c>
      <c r="E325" s="386">
        <f t="shared" si="1"/>
        <v>20000000</v>
      </c>
    </row>
    <row r="326" spans="2:5" x14ac:dyDescent="0.2">
      <c r="B326" s="386" t="s">
        <v>845</v>
      </c>
      <c r="C326" s="386">
        <v>12</v>
      </c>
      <c r="D326" s="386">
        <f>C271</f>
        <v>4000000</v>
      </c>
      <c r="E326" s="386">
        <f t="shared" si="1"/>
        <v>48000000</v>
      </c>
    </row>
    <row r="327" spans="2:5" x14ac:dyDescent="0.2">
      <c r="B327" s="29" t="s">
        <v>846</v>
      </c>
      <c r="C327" s="386">
        <v>6</v>
      </c>
      <c r="D327" s="421">
        <f>C269</f>
        <v>8000000</v>
      </c>
      <c r="E327" s="386">
        <f t="shared" si="1"/>
        <v>48000000</v>
      </c>
    </row>
    <row r="328" spans="2:5" ht="15" x14ac:dyDescent="0.25">
      <c r="B328" s="418" t="s">
        <v>847</v>
      </c>
      <c r="C328" s="418"/>
      <c r="D328" s="418"/>
      <c r="E328" s="419">
        <f>SUM(E323:E327)</f>
        <v>130105000</v>
      </c>
    </row>
    <row r="329" spans="2:5" s="4" customFormat="1" ht="15" x14ac:dyDescent="0.25">
      <c r="B329" s="416" t="s">
        <v>848</v>
      </c>
      <c r="C329" s="3"/>
      <c r="D329" s="3"/>
      <c r="E329" s="420"/>
    </row>
    <row r="330" spans="2:5" x14ac:dyDescent="0.2">
      <c r="B330" s="413"/>
      <c r="C330" s="413"/>
      <c r="D330" s="368"/>
      <c r="E330" s="368"/>
    </row>
    <row r="331" spans="2:5" ht="15" x14ac:dyDescent="0.25">
      <c r="B331" s="667" t="s">
        <v>849</v>
      </c>
      <c r="C331" s="668"/>
    </row>
    <row r="332" spans="2:5" ht="15" x14ac:dyDescent="0.25">
      <c r="B332" s="418" t="s">
        <v>805</v>
      </c>
      <c r="C332" s="422" t="s">
        <v>6</v>
      </c>
      <c r="D332" s="422" t="s">
        <v>8</v>
      </c>
      <c r="E332" s="422" t="s">
        <v>1</v>
      </c>
    </row>
    <row r="333" spans="2:5" x14ac:dyDescent="0.2">
      <c r="B333" s="386" t="s">
        <v>837</v>
      </c>
      <c r="C333" s="386">
        <v>2</v>
      </c>
      <c r="D333" s="386">
        <v>5000000</v>
      </c>
      <c r="E333" s="386">
        <f t="shared" ref="E333:E339" si="2">C333*D333</f>
        <v>10000000</v>
      </c>
    </row>
    <row r="334" spans="2:5" x14ac:dyDescent="0.2">
      <c r="B334" s="386" t="s">
        <v>838</v>
      </c>
      <c r="C334" s="386">
        <v>2000</v>
      </c>
      <c r="D334" s="386">
        <v>500</v>
      </c>
      <c r="E334" s="386">
        <f t="shared" si="2"/>
        <v>1000000</v>
      </c>
    </row>
    <row r="335" spans="2:5" x14ac:dyDescent="0.2">
      <c r="B335" s="386" t="s">
        <v>850</v>
      </c>
      <c r="C335" s="386">
        <v>4</v>
      </c>
      <c r="D335" s="386">
        <f>C266</f>
        <v>2550000</v>
      </c>
      <c r="E335" s="386">
        <f t="shared" si="2"/>
        <v>10200000</v>
      </c>
    </row>
    <row r="336" spans="2:5" x14ac:dyDescent="0.2">
      <c r="B336" s="386" t="s">
        <v>237</v>
      </c>
      <c r="C336" s="386">
        <v>8</v>
      </c>
      <c r="D336" s="386">
        <v>5000000</v>
      </c>
      <c r="E336" s="386">
        <v>10000000</v>
      </c>
    </row>
    <row r="337" spans="1:7" x14ac:dyDescent="0.2">
      <c r="B337" s="386" t="s">
        <v>851</v>
      </c>
      <c r="C337" s="386">
        <v>2</v>
      </c>
      <c r="D337" s="386">
        <f>C270</f>
        <v>20000000</v>
      </c>
      <c r="E337" s="386">
        <f t="shared" si="2"/>
        <v>40000000</v>
      </c>
    </row>
    <row r="338" spans="1:7" x14ac:dyDescent="0.2">
      <c r="B338" s="29" t="s">
        <v>852</v>
      </c>
      <c r="C338" s="386">
        <v>2</v>
      </c>
      <c r="D338" s="421">
        <f>C298</f>
        <v>15000000</v>
      </c>
      <c r="E338" s="386">
        <f t="shared" si="2"/>
        <v>30000000</v>
      </c>
    </row>
    <row r="339" spans="1:7" x14ac:dyDescent="0.2">
      <c r="B339" s="29" t="s">
        <v>853</v>
      </c>
      <c r="C339" s="386">
        <v>1000</v>
      </c>
      <c r="D339" s="421">
        <v>15000</v>
      </c>
      <c r="E339" s="386">
        <f t="shared" si="2"/>
        <v>15000000</v>
      </c>
    </row>
    <row r="340" spans="1:7" ht="15" x14ac:dyDescent="0.25">
      <c r="B340" s="418" t="s">
        <v>854</v>
      </c>
      <c r="C340" s="418"/>
      <c r="D340" s="418"/>
      <c r="E340" s="419">
        <f>SUM(E333:E339)</f>
        <v>116200000</v>
      </c>
    </row>
    <row r="341" spans="1:7" s="4" customFormat="1" x14ac:dyDescent="0.2">
      <c r="A341" s="2"/>
      <c r="B341" s="416" t="s">
        <v>855</v>
      </c>
      <c r="C341" s="2"/>
      <c r="D341" s="2"/>
      <c r="E341" s="2"/>
      <c r="F341" s="2"/>
    </row>
    <row r="342" spans="1:7" s="4" customFormat="1" x14ac:dyDescent="0.2">
      <c r="A342" s="2"/>
      <c r="B342" s="423"/>
      <c r="C342" s="424"/>
      <c r="D342" s="425"/>
      <c r="E342" s="425"/>
      <c r="F342" s="426"/>
      <c r="G342" s="426"/>
    </row>
    <row r="343" spans="1:7" ht="15" x14ac:dyDescent="0.25">
      <c r="B343" s="667" t="s">
        <v>856</v>
      </c>
      <c r="C343" s="668"/>
    </row>
    <row r="344" spans="1:7" ht="15" x14ac:dyDescent="0.25">
      <c r="B344" s="418" t="s">
        <v>805</v>
      </c>
      <c r="C344" s="422" t="s">
        <v>6</v>
      </c>
      <c r="D344" s="422" t="s">
        <v>8</v>
      </c>
      <c r="E344" s="422" t="s">
        <v>1</v>
      </c>
    </row>
    <row r="345" spans="1:7" x14ac:dyDescent="0.2">
      <c r="B345" s="386" t="s">
        <v>837</v>
      </c>
      <c r="C345" s="386">
        <v>2</v>
      </c>
      <c r="D345" s="386">
        <v>5000000</v>
      </c>
      <c r="E345" s="386">
        <f t="shared" ref="E345:E351" si="3">C345*D345</f>
        <v>10000000</v>
      </c>
    </row>
    <row r="346" spans="1:7" x14ac:dyDescent="0.2">
      <c r="B346" s="386" t="s">
        <v>838</v>
      </c>
      <c r="C346" s="386">
        <v>10000</v>
      </c>
      <c r="D346" s="386">
        <v>500</v>
      </c>
      <c r="E346" s="386">
        <f t="shared" si="3"/>
        <v>5000000</v>
      </c>
    </row>
    <row r="347" spans="1:7" x14ac:dyDescent="0.2">
      <c r="B347" s="386" t="s">
        <v>857</v>
      </c>
      <c r="C347" s="386">
        <v>20</v>
      </c>
      <c r="D347" s="386">
        <f>C267</f>
        <v>303500</v>
      </c>
      <c r="E347" s="386">
        <f t="shared" si="3"/>
        <v>6070000</v>
      </c>
    </row>
    <row r="348" spans="1:7" x14ac:dyDescent="0.2">
      <c r="B348" s="386" t="s">
        <v>237</v>
      </c>
      <c r="C348" s="386">
        <v>1</v>
      </c>
      <c r="D348" s="386">
        <v>5000000</v>
      </c>
      <c r="E348" s="386">
        <f t="shared" si="3"/>
        <v>5000000</v>
      </c>
    </row>
    <row r="349" spans="1:7" x14ac:dyDescent="0.2">
      <c r="B349" s="386" t="s">
        <v>845</v>
      </c>
      <c r="C349" s="386">
        <v>12</v>
      </c>
      <c r="D349" s="386">
        <f>C271</f>
        <v>4000000</v>
      </c>
      <c r="E349" s="386">
        <f t="shared" si="3"/>
        <v>48000000</v>
      </c>
    </row>
    <row r="350" spans="1:7" x14ac:dyDescent="0.2">
      <c r="B350" s="29" t="s">
        <v>858</v>
      </c>
      <c r="C350" s="386">
        <v>4</v>
      </c>
      <c r="D350" s="421">
        <f>C269</f>
        <v>8000000</v>
      </c>
      <c r="E350" s="386">
        <f t="shared" si="3"/>
        <v>32000000</v>
      </c>
    </row>
    <row r="351" spans="1:7" x14ac:dyDescent="0.2">
      <c r="B351" s="29" t="s">
        <v>853</v>
      </c>
      <c r="C351" s="386">
        <v>500</v>
      </c>
      <c r="D351" s="421">
        <v>15000</v>
      </c>
      <c r="E351" s="386">
        <f t="shared" si="3"/>
        <v>7500000</v>
      </c>
    </row>
    <row r="352" spans="1:7" ht="15" x14ac:dyDescent="0.25">
      <c r="B352" s="418" t="s">
        <v>854</v>
      </c>
      <c r="C352" s="418"/>
      <c r="D352" s="418"/>
      <c r="E352" s="419">
        <f>SUM(E345:E351)</f>
        <v>113570000</v>
      </c>
    </row>
    <row r="353" spans="1:7" s="4" customFormat="1" ht="15" x14ac:dyDescent="0.25">
      <c r="A353" s="2"/>
      <c r="B353" s="3" t="s">
        <v>855</v>
      </c>
      <c r="C353" s="2"/>
      <c r="D353" s="2"/>
      <c r="E353" s="2"/>
      <c r="F353" s="2"/>
    </row>
    <row r="354" spans="1:7" s="4" customFormat="1" ht="15" x14ac:dyDescent="0.25">
      <c r="A354" s="2"/>
      <c r="B354" s="3"/>
      <c r="C354" s="2"/>
      <c r="D354" s="2"/>
      <c r="E354" s="2"/>
      <c r="F354" s="2"/>
    </row>
    <row r="355" spans="1:7" s="4" customFormat="1" ht="15" x14ac:dyDescent="0.25">
      <c r="A355" s="2"/>
      <c r="B355" s="372" t="s">
        <v>859</v>
      </c>
      <c r="C355" s="417" t="s">
        <v>8</v>
      </c>
      <c r="D355" s="425"/>
      <c r="E355" s="425"/>
      <c r="F355" s="2"/>
    </row>
    <row r="356" spans="1:7" s="4" customFormat="1" x14ac:dyDescent="0.2">
      <c r="A356" s="2"/>
      <c r="B356" s="352" t="s">
        <v>860</v>
      </c>
      <c r="C356" s="386">
        <v>3500000</v>
      </c>
      <c r="D356" s="425"/>
      <c r="E356" s="425"/>
      <c r="F356" s="2"/>
    </row>
    <row r="357" spans="1:7" s="4" customFormat="1" x14ac:dyDescent="0.2">
      <c r="A357" s="2"/>
      <c r="B357" s="29" t="s">
        <v>861</v>
      </c>
      <c r="C357" s="386">
        <v>500000</v>
      </c>
      <c r="D357" s="425"/>
      <c r="E357" s="425"/>
      <c r="F357" s="2"/>
    </row>
    <row r="358" spans="1:7" s="4" customFormat="1" x14ac:dyDescent="0.2">
      <c r="A358" s="2"/>
      <c r="B358" s="661" t="s">
        <v>862</v>
      </c>
      <c r="C358" s="661"/>
      <c r="D358" s="425"/>
      <c r="E358" s="425"/>
      <c r="F358" s="2"/>
    </row>
    <row r="359" spans="1:7" s="4" customFormat="1" x14ac:dyDescent="0.2">
      <c r="A359" s="2"/>
      <c r="B359" s="368"/>
      <c r="C359" s="368"/>
      <c r="D359" s="425"/>
      <c r="E359" s="425"/>
      <c r="F359" s="2"/>
    </row>
    <row r="360" spans="1:7" s="4" customFormat="1" x14ac:dyDescent="0.2">
      <c r="A360" s="2"/>
      <c r="B360" s="368"/>
      <c r="C360" s="368"/>
      <c r="D360" s="425"/>
      <c r="E360" s="425"/>
      <c r="F360" s="2"/>
    </row>
    <row r="361" spans="1:7" s="4" customFormat="1" ht="15" x14ac:dyDescent="0.25">
      <c r="A361" s="2"/>
      <c r="B361" s="667" t="s">
        <v>863</v>
      </c>
      <c r="C361" s="668"/>
      <c r="D361" s="2"/>
      <c r="E361" s="2"/>
      <c r="F361" s="2"/>
    </row>
    <row r="362" spans="1:7" s="4" customFormat="1" ht="15" x14ac:dyDescent="0.25">
      <c r="A362" s="2"/>
      <c r="B362" s="418" t="s">
        <v>864</v>
      </c>
      <c r="C362" s="422" t="s">
        <v>6</v>
      </c>
      <c r="D362" s="422" t="s">
        <v>8</v>
      </c>
      <c r="E362" s="422" t="s">
        <v>1</v>
      </c>
      <c r="F362" s="2"/>
    </row>
    <row r="363" spans="1:7" s="4" customFormat="1" x14ac:dyDescent="0.2">
      <c r="A363" s="2"/>
      <c r="B363" s="352" t="s">
        <v>865</v>
      </c>
      <c r="C363" s="386">
        <v>8</v>
      </c>
      <c r="D363" s="386">
        <f>D314</f>
        <v>2550000</v>
      </c>
      <c r="E363" s="386">
        <f>C363*D363</f>
        <v>20400000</v>
      </c>
      <c r="F363" s="2"/>
    </row>
    <row r="364" spans="1:7" s="4" customFormat="1" x14ac:dyDescent="0.2">
      <c r="A364" s="2"/>
      <c r="B364" s="352" t="s">
        <v>237</v>
      </c>
      <c r="C364" s="386">
        <v>1</v>
      </c>
      <c r="D364" s="386">
        <v>10000000</v>
      </c>
      <c r="E364" s="386">
        <f>C364*D364</f>
        <v>10000000</v>
      </c>
      <c r="F364" s="2"/>
    </row>
    <row r="365" spans="1:7" s="4" customFormat="1" ht="15" x14ac:dyDescent="0.25">
      <c r="A365" s="2"/>
      <c r="B365" s="418" t="s">
        <v>866</v>
      </c>
      <c r="C365" s="2"/>
      <c r="D365" s="2"/>
      <c r="E365" s="419">
        <f>SUM(E363:E364)</f>
        <v>30400000</v>
      </c>
      <c r="F365" s="2"/>
    </row>
    <row r="366" spans="1:7" s="4" customFormat="1" ht="15" x14ac:dyDescent="0.25">
      <c r="B366" s="427"/>
      <c r="E366" s="420"/>
    </row>
    <row r="367" spans="1:7" s="4" customFormat="1" ht="15" x14ac:dyDescent="0.25">
      <c r="A367" s="2"/>
      <c r="B367" s="662" t="s">
        <v>867</v>
      </c>
      <c r="C367" s="663"/>
      <c r="D367" s="2"/>
      <c r="E367" s="2"/>
      <c r="F367" s="426"/>
      <c r="G367" s="426"/>
    </row>
    <row r="368" spans="1:7" s="4" customFormat="1" ht="15" x14ac:dyDescent="0.25">
      <c r="A368" s="2"/>
      <c r="B368" s="418" t="s">
        <v>864</v>
      </c>
      <c r="C368" s="422" t="s">
        <v>6</v>
      </c>
      <c r="D368" s="422" t="s">
        <v>8</v>
      </c>
      <c r="E368" s="422" t="s">
        <v>1</v>
      </c>
      <c r="F368" s="426"/>
      <c r="G368" s="426"/>
    </row>
    <row r="369" spans="1:7" s="4" customFormat="1" x14ac:dyDescent="0.2">
      <c r="A369" s="2"/>
      <c r="B369" s="386" t="s">
        <v>857</v>
      </c>
      <c r="C369" s="386">
        <v>24</v>
      </c>
      <c r="D369" s="386">
        <f>C267</f>
        <v>303500</v>
      </c>
      <c r="E369" s="386">
        <f>C369*D369</f>
        <v>7284000</v>
      </c>
      <c r="F369" s="426"/>
      <c r="G369" s="426"/>
    </row>
    <row r="370" spans="1:7" s="4" customFormat="1" x14ac:dyDescent="0.2">
      <c r="A370" s="2"/>
      <c r="B370" s="386" t="s">
        <v>237</v>
      </c>
      <c r="C370" s="386">
        <v>1</v>
      </c>
      <c r="D370" s="386">
        <v>10000000</v>
      </c>
      <c r="E370" s="386">
        <v>5000000</v>
      </c>
      <c r="F370" s="368"/>
      <c r="G370" s="368"/>
    </row>
    <row r="371" spans="1:7" s="4" customFormat="1" ht="15" x14ac:dyDescent="0.25">
      <c r="A371" s="2"/>
      <c r="B371" s="418" t="s">
        <v>213</v>
      </c>
      <c r="C371" s="2"/>
      <c r="D371" s="2"/>
      <c r="E371" s="419">
        <f>SUM(E369:E370)</f>
        <v>12284000</v>
      </c>
      <c r="F371" s="2"/>
    </row>
    <row r="372" spans="1:7" s="4" customFormat="1" x14ac:dyDescent="0.2">
      <c r="A372" s="2"/>
      <c r="B372" s="424"/>
      <c r="C372" s="424"/>
      <c r="D372" s="425"/>
      <c r="E372" s="425"/>
      <c r="F372" s="368"/>
      <c r="G372" s="368"/>
    </row>
    <row r="373" spans="1:7" s="4" customFormat="1" ht="15" x14ac:dyDescent="0.25">
      <c r="A373" s="2"/>
      <c r="B373" s="662" t="s">
        <v>868</v>
      </c>
      <c r="C373" s="663"/>
      <c r="D373" s="2"/>
      <c r="E373" s="2"/>
      <c r="F373" s="426"/>
      <c r="G373" s="426"/>
    </row>
    <row r="374" spans="1:7" s="4" customFormat="1" ht="15" x14ac:dyDescent="0.25">
      <c r="A374" s="2"/>
      <c r="B374" s="418" t="s">
        <v>864</v>
      </c>
      <c r="C374" s="422" t="s">
        <v>6</v>
      </c>
      <c r="D374" s="422" t="s">
        <v>8</v>
      </c>
      <c r="E374" s="422" t="s">
        <v>1</v>
      </c>
      <c r="F374" s="426"/>
      <c r="G374" s="426"/>
    </row>
    <row r="375" spans="1:7" s="4" customFormat="1" x14ac:dyDescent="0.2">
      <c r="A375" s="2"/>
      <c r="B375" s="386" t="s">
        <v>865</v>
      </c>
      <c r="C375" s="386">
        <v>4</v>
      </c>
      <c r="D375" s="386">
        <f>C266</f>
        <v>2550000</v>
      </c>
      <c r="E375" s="386">
        <f>C375*D375</f>
        <v>10200000</v>
      </c>
      <c r="F375" s="426"/>
      <c r="G375" s="426"/>
    </row>
    <row r="376" spans="1:7" s="4" customFormat="1" x14ac:dyDescent="0.2">
      <c r="A376" s="2"/>
      <c r="B376" s="386" t="s">
        <v>857</v>
      </c>
      <c r="C376" s="386">
        <v>24</v>
      </c>
      <c r="D376" s="386">
        <f>C267</f>
        <v>303500</v>
      </c>
      <c r="E376" s="386">
        <f>C376*D376</f>
        <v>7284000</v>
      </c>
      <c r="F376" s="426"/>
      <c r="G376" s="426"/>
    </row>
    <row r="377" spans="1:7" s="4" customFormat="1" x14ac:dyDescent="0.2">
      <c r="A377" s="2"/>
      <c r="B377" s="386" t="s">
        <v>237</v>
      </c>
      <c r="C377" s="386">
        <v>1</v>
      </c>
      <c r="D377" s="386">
        <v>10000000</v>
      </c>
      <c r="E377" s="386">
        <v>8000000</v>
      </c>
      <c r="F377" s="368"/>
      <c r="G377" s="368"/>
    </row>
    <row r="378" spans="1:7" s="4" customFormat="1" ht="15" x14ac:dyDescent="0.25">
      <c r="A378" s="2"/>
      <c r="B378" s="418" t="s">
        <v>213</v>
      </c>
      <c r="C378" s="2"/>
      <c r="D378" s="2"/>
      <c r="E378" s="419">
        <f>SUM(E375:E377)</f>
        <v>25484000</v>
      </c>
      <c r="F378" s="2"/>
    </row>
    <row r="379" spans="1:7" s="4" customFormat="1" x14ac:dyDescent="0.2">
      <c r="A379" s="2"/>
      <c r="B379" s="368"/>
      <c r="C379" s="368"/>
      <c r="D379" s="425"/>
      <c r="E379" s="425"/>
      <c r="F379" s="2"/>
    </row>
    <row r="380" spans="1:7" s="4" customFormat="1" x14ac:dyDescent="0.2">
      <c r="A380" s="2"/>
      <c r="B380" s="368"/>
      <c r="C380" s="368"/>
      <c r="D380" s="425"/>
      <c r="E380" s="425"/>
      <c r="F380" s="2"/>
    </row>
    <row r="381" spans="1:7" s="4" customFormat="1" ht="15" x14ac:dyDescent="0.25">
      <c r="A381" s="2"/>
      <c r="B381" s="418" t="s">
        <v>869</v>
      </c>
      <c r="C381" s="2"/>
      <c r="D381" s="425"/>
      <c r="E381" s="425"/>
      <c r="F381" s="2"/>
    </row>
    <row r="382" spans="1:7" s="4" customFormat="1" x14ac:dyDescent="0.2">
      <c r="A382" s="2"/>
      <c r="B382" s="29" t="str">
        <f>B390</f>
        <v>a. Rueda de negocio presencial</v>
      </c>
      <c r="C382" s="386">
        <f>C399</f>
        <v>23700000</v>
      </c>
      <c r="D382" s="2"/>
      <c r="E382" s="2"/>
      <c r="F382" s="2"/>
    </row>
    <row r="383" spans="1:7" s="4" customFormat="1" x14ac:dyDescent="0.2">
      <c r="A383" s="2"/>
      <c r="B383" s="29" t="str">
        <f>B403</f>
        <v>b Rueda de negocio  virtual</v>
      </c>
      <c r="C383" s="386">
        <f>C406</f>
        <v>10000000</v>
      </c>
      <c r="D383" s="2"/>
      <c r="E383" s="2"/>
      <c r="F383" s="2"/>
    </row>
    <row r="384" spans="1:7" s="4" customFormat="1" x14ac:dyDescent="0.2">
      <c r="A384" s="2"/>
      <c r="B384" s="29" t="str">
        <f>B409</f>
        <v>c. Participación en ferias comerciales nacional</v>
      </c>
      <c r="C384" s="421">
        <f>C414</f>
        <v>25000000</v>
      </c>
      <c r="D384" s="2"/>
      <c r="E384" s="2"/>
      <c r="F384" s="2"/>
    </row>
    <row r="385" spans="1:17" s="4" customFormat="1" x14ac:dyDescent="0.2">
      <c r="A385" s="2"/>
      <c r="B385" s="29" t="str">
        <f>B417</f>
        <v>d. Participación en ferias comerciales internacionales</v>
      </c>
      <c r="C385" s="421">
        <f>C422</f>
        <v>46000000</v>
      </c>
      <c r="D385" s="2"/>
      <c r="E385" s="2"/>
      <c r="F385" s="2"/>
    </row>
    <row r="386" spans="1:17" s="4" customFormat="1" x14ac:dyDescent="0.2">
      <c r="A386" s="2"/>
      <c r="B386" s="29" t="s">
        <v>870</v>
      </c>
      <c r="C386" s="421">
        <f>C431</f>
        <v>3800000</v>
      </c>
      <c r="D386" s="425"/>
      <c r="E386" s="425"/>
      <c r="F386" s="368"/>
      <c r="G386" s="368"/>
    </row>
    <row r="387" spans="1:17" s="4" customFormat="1" x14ac:dyDescent="0.2">
      <c r="A387" s="2"/>
      <c r="B387" s="29" t="s">
        <v>871</v>
      </c>
      <c r="C387" s="421">
        <f>C438</f>
        <v>41000000</v>
      </c>
      <c r="D387" s="425"/>
      <c r="E387" s="425"/>
      <c r="F387" s="368"/>
      <c r="G387" s="368"/>
    </row>
    <row r="388" spans="1:17" s="4" customFormat="1" x14ac:dyDescent="0.2">
      <c r="A388" s="2"/>
      <c r="B388" s="29" t="s">
        <v>872</v>
      </c>
      <c r="C388" s="421">
        <f>C444</f>
        <v>350000</v>
      </c>
      <c r="D388" s="425"/>
      <c r="E388" s="425"/>
      <c r="F388" s="368"/>
      <c r="G388" s="368"/>
    </row>
    <row r="389" spans="1:17" s="4" customFormat="1" x14ac:dyDescent="0.2">
      <c r="A389" s="2"/>
      <c r="B389" s="424"/>
      <c r="C389" s="424"/>
      <c r="D389" s="425"/>
      <c r="E389" s="425"/>
      <c r="F389" s="368"/>
      <c r="G389" s="368"/>
    </row>
    <row r="390" spans="1:17" ht="15" x14ac:dyDescent="0.25">
      <c r="B390" s="418" t="s">
        <v>873</v>
      </c>
      <c r="C390" s="418" t="s">
        <v>874</v>
      </c>
      <c r="J390" s="4"/>
      <c r="K390" s="4"/>
      <c r="L390" s="4"/>
      <c r="M390" s="4"/>
      <c r="N390" s="4"/>
      <c r="O390" s="4"/>
      <c r="P390" s="4"/>
      <c r="Q390" s="4"/>
    </row>
    <row r="391" spans="1:17" x14ac:dyDescent="0.2">
      <c r="B391" s="29" t="s">
        <v>875</v>
      </c>
      <c r="C391" s="386">
        <f>C90*10</f>
        <v>5250000</v>
      </c>
      <c r="J391" s="4"/>
      <c r="K391" s="4"/>
      <c r="L391" s="4"/>
      <c r="M391" s="4"/>
      <c r="N391" s="4"/>
      <c r="O391" s="4"/>
      <c r="P391" s="4"/>
      <c r="Q391" s="4"/>
    </row>
    <row r="392" spans="1:17" x14ac:dyDescent="0.2">
      <c r="B392" s="29" t="s">
        <v>876</v>
      </c>
      <c r="C392" s="386">
        <v>5000000</v>
      </c>
      <c r="J392" s="4"/>
      <c r="K392" s="4"/>
      <c r="L392" s="4"/>
      <c r="M392" s="4"/>
      <c r="N392" s="4"/>
      <c r="O392" s="4"/>
      <c r="P392" s="4"/>
      <c r="Q392" s="4"/>
    </row>
    <row r="393" spans="1:17" x14ac:dyDescent="0.2">
      <c r="B393" s="29" t="s">
        <v>877</v>
      </c>
      <c r="C393" s="386">
        <f>10*30000</f>
        <v>300000</v>
      </c>
      <c r="J393" s="4"/>
      <c r="K393" s="4"/>
      <c r="L393" s="4"/>
      <c r="M393" s="4"/>
      <c r="N393" s="4"/>
      <c r="O393" s="4"/>
      <c r="P393" s="4"/>
      <c r="Q393" s="4"/>
    </row>
    <row r="394" spans="1:17" x14ac:dyDescent="0.2">
      <c r="B394" s="29" t="s">
        <v>759</v>
      </c>
      <c r="C394" s="386">
        <v>100000</v>
      </c>
      <c r="J394" s="4"/>
      <c r="K394" s="4"/>
      <c r="L394" s="4"/>
      <c r="M394" s="4"/>
      <c r="N394" s="4"/>
      <c r="O394" s="4"/>
      <c r="P394" s="4"/>
      <c r="Q394" s="4"/>
    </row>
    <row r="395" spans="1:17" x14ac:dyDescent="0.2">
      <c r="B395" s="29" t="s">
        <v>878</v>
      </c>
      <c r="C395" s="386">
        <f>5000*10</f>
        <v>50000</v>
      </c>
      <c r="J395" s="4"/>
      <c r="K395" s="4"/>
      <c r="L395" s="4"/>
      <c r="M395" s="4"/>
      <c r="N395" s="4"/>
      <c r="O395" s="4"/>
      <c r="P395" s="4"/>
      <c r="Q395" s="4"/>
    </row>
    <row r="396" spans="1:17" x14ac:dyDescent="0.2">
      <c r="B396" s="29" t="s">
        <v>27</v>
      </c>
      <c r="C396" s="386">
        <v>4000000</v>
      </c>
      <c r="J396" s="4"/>
      <c r="K396" s="4"/>
      <c r="L396" s="4"/>
      <c r="M396" s="4"/>
      <c r="N396" s="4"/>
      <c r="O396" s="4"/>
      <c r="P396" s="4"/>
      <c r="Q396" s="4"/>
    </row>
    <row r="397" spans="1:17" x14ac:dyDescent="0.2">
      <c r="B397" s="29" t="s">
        <v>837</v>
      </c>
      <c r="C397" s="386">
        <v>5000000</v>
      </c>
      <c r="J397" s="4"/>
      <c r="K397" s="4"/>
      <c r="L397" s="4"/>
      <c r="M397" s="4"/>
      <c r="N397" s="4"/>
      <c r="O397" s="4"/>
      <c r="P397" s="4"/>
      <c r="Q397" s="4"/>
    </row>
    <row r="398" spans="1:17" x14ac:dyDescent="0.2">
      <c r="B398" s="29" t="s">
        <v>879</v>
      </c>
      <c r="C398" s="386">
        <v>4000000</v>
      </c>
      <c r="J398" s="4"/>
      <c r="K398" s="4"/>
      <c r="L398" s="4"/>
      <c r="M398" s="4"/>
      <c r="N398" s="4"/>
      <c r="O398" s="4"/>
      <c r="P398" s="4"/>
      <c r="Q398" s="4"/>
    </row>
    <row r="399" spans="1:17" ht="15" x14ac:dyDescent="0.25">
      <c r="B399" s="418" t="s">
        <v>880</v>
      </c>
      <c r="C399" s="428">
        <f>SUM(C391:C398)</f>
        <v>23700000</v>
      </c>
      <c r="J399" s="4"/>
      <c r="K399" s="4"/>
      <c r="L399" s="4"/>
      <c r="M399" s="4"/>
      <c r="N399" s="4"/>
      <c r="O399" s="4"/>
      <c r="P399" s="4"/>
      <c r="Q399" s="4"/>
    </row>
    <row r="400" spans="1:17" x14ac:dyDescent="0.2">
      <c r="B400" s="2" t="s">
        <v>881</v>
      </c>
      <c r="J400" s="4"/>
      <c r="K400" s="4"/>
      <c r="L400" s="4"/>
      <c r="M400" s="4"/>
      <c r="N400" s="4"/>
      <c r="O400" s="4"/>
      <c r="P400" s="4"/>
      <c r="Q400" s="4"/>
    </row>
    <row r="401" spans="2:17" x14ac:dyDescent="0.2">
      <c r="J401" s="4"/>
      <c r="K401" s="4"/>
      <c r="L401" s="4"/>
      <c r="M401" s="4"/>
      <c r="N401" s="4"/>
      <c r="O401" s="4"/>
      <c r="P401" s="4"/>
      <c r="Q401" s="4"/>
    </row>
    <row r="402" spans="2:17" x14ac:dyDescent="0.2">
      <c r="J402" s="4"/>
      <c r="K402" s="4"/>
      <c r="L402" s="4"/>
      <c r="M402" s="4"/>
      <c r="N402" s="4"/>
      <c r="O402" s="4"/>
      <c r="P402" s="4"/>
      <c r="Q402" s="4"/>
    </row>
    <row r="403" spans="2:17" ht="15" x14ac:dyDescent="0.25">
      <c r="B403" s="418" t="s">
        <v>882</v>
      </c>
      <c r="C403" s="336"/>
      <c r="J403" s="4"/>
      <c r="K403" s="4"/>
      <c r="L403" s="4"/>
      <c r="M403" s="4"/>
      <c r="N403" s="4"/>
      <c r="O403" s="4"/>
      <c r="P403" s="4"/>
      <c r="Q403" s="4"/>
    </row>
    <row r="404" spans="2:17" x14ac:dyDescent="0.2">
      <c r="B404" s="29" t="s">
        <v>883</v>
      </c>
      <c r="C404" s="386">
        <v>5000000</v>
      </c>
      <c r="J404" s="4"/>
      <c r="K404" s="4"/>
      <c r="L404" s="4"/>
      <c r="M404" s="4"/>
      <c r="N404" s="4"/>
      <c r="O404" s="4"/>
      <c r="P404" s="4"/>
      <c r="Q404" s="4"/>
    </row>
    <row r="405" spans="2:17" x14ac:dyDescent="0.2">
      <c r="B405" s="29" t="s">
        <v>837</v>
      </c>
      <c r="C405" s="386">
        <v>5000000</v>
      </c>
      <c r="J405" s="4"/>
      <c r="K405" s="4"/>
      <c r="L405" s="4"/>
      <c r="M405" s="4"/>
      <c r="N405" s="4"/>
      <c r="O405" s="4"/>
      <c r="P405" s="4"/>
      <c r="Q405" s="4"/>
    </row>
    <row r="406" spans="2:17" ht="15" x14ac:dyDescent="0.25">
      <c r="B406" s="418" t="s">
        <v>880</v>
      </c>
      <c r="C406" s="428">
        <f>SUM(C404:C405)</f>
        <v>10000000</v>
      </c>
      <c r="J406" s="4"/>
      <c r="K406" s="4"/>
      <c r="L406" s="4"/>
      <c r="M406" s="4"/>
      <c r="N406" s="4"/>
      <c r="O406" s="4"/>
      <c r="P406" s="4"/>
      <c r="Q406" s="4"/>
    </row>
    <row r="407" spans="2:17" x14ac:dyDescent="0.2">
      <c r="B407" s="2" t="s">
        <v>63</v>
      </c>
      <c r="J407" s="4"/>
      <c r="K407" s="4"/>
      <c r="L407" s="4"/>
      <c r="M407" s="4"/>
      <c r="N407" s="4"/>
      <c r="O407" s="4"/>
      <c r="P407" s="4"/>
      <c r="Q407" s="4"/>
    </row>
    <row r="408" spans="2:17" x14ac:dyDescent="0.2">
      <c r="J408" s="4"/>
      <c r="K408" s="4"/>
      <c r="L408" s="4"/>
      <c r="M408" s="4"/>
      <c r="N408" s="4"/>
      <c r="O408" s="4"/>
      <c r="P408" s="4"/>
      <c r="Q408" s="4"/>
    </row>
    <row r="409" spans="2:17" ht="15" x14ac:dyDescent="0.25">
      <c r="B409" s="418" t="s">
        <v>884</v>
      </c>
      <c r="C409" s="336"/>
      <c r="J409" s="4"/>
      <c r="K409" s="4"/>
      <c r="L409" s="4"/>
      <c r="M409" s="4"/>
      <c r="N409" s="4"/>
      <c r="O409" s="4"/>
      <c r="P409" s="4"/>
      <c r="Q409" s="4"/>
    </row>
    <row r="410" spans="2:17" x14ac:dyDescent="0.2">
      <c r="B410" s="29" t="s">
        <v>885</v>
      </c>
      <c r="C410" s="386">
        <f>C90+'Categoria Costos Papa'!E42*5</f>
        <v>4752315</v>
      </c>
      <c r="J410" s="4"/>
      <c r="K410" s="4"/>
      <c r="L410" s="4"/>
      <c r="M410" s="4"/>
      <c r="N410" s="4"/>
      <c r="O410" s="4"/>
      <c r="P410" s="4"/>
      <c r="Q410" s="4"/>
    </row>
    <row r="411" spans="2:17" x14ac:dyDescent="0.2">
      <c r="B411" s="29" t="s">
        <v>886</v>
      </c>
      <c r="C411" s="386">
        <f>200000*10</f>
        <v>2000000</v>
      </c>
      <c r="J411" s="4"/>
      <c r="K411" s="4"/>
      <c r="L411" s="4"/>
      <c r="M411" s="4"/>
      <c r="N411" s="4"/>
      <c r="O411" s="4"/>
      <c r="P411" s="4"/>
      <c r="Q411" s="4"/>
    </row>
    <row r="412" spans="2:17" x14ac:dyDescent="0.2">
      <c r="B412" s="29" t="s">
        <v>887</v>
      </c>
      <c r="C412" s="386">
        <f>C276*5</f>
        <v>17500000</v>
      </c>
      <c r="J412" s="4"/>
      <c r="K412" s="4"/>
      <c r="L412" s="4"/>
      <c r="M412" s="4"/>
      <c r="N412" s="4"/>
      <c r="O412" s="4"/>
      <c r="P412" s="4"/>
      <c r="Q412" s="4"/>
    </row>
    <row r="413" spans="2:17" ht="15" x14ac:dyDescent="0.25">
      <c r="B413" s="429" t="s">
        <v>888</v>
      </c>
      <c r="C413" s="428">
        <f>SUM(C410:C412)</f>
        <v>24252315</v>
      </c>
      <c r="J413" s="4"/>
      <c r="K413" s="4"/>
      <c r="L413" s="4"/>
      <c r="M413" s="4"/>
      <c r="N413" s="4"/>
      <c r="O413" s="4"/>
      <c r="P413" s="4"/>
      <c r="Q413" s="4"/>
    </row>
    <row r="414" spans="2:17" ht="15" x14ac:dyDescent="0.25">
      <c r="B414" s="429" t="s">
        <v>889</v>
      </c>
      <c r="C414" s="428">
        <v>25000000</v>
      </c>
      <c r="J414" s="4"/>
      <c r="K414" s="4"/>
      <c r="L414" s="4"/>
      <c r="M414" s="4"/>
      <c r="N414" s="4"/>
      <c r="O414" s="4"/>
      <c r="P414" s="4"/>
      <c r="Q414" s="4"/>
    </row>
    <row r="415" spans="2:17" x14ac:dyDescent="0.2">
      <c r="B415" s="2" t="s">
        <v>890</v>
      </c>
      <c r="J415" s="4"/>
      <c r="K415" s="4"/>
      <c r="L415" s="4"/>
      <c r="M415" s="4"/>
      <c r="N415" s="4"/>
      <c r="O415" s="4"/>
      <c r="P415" s="4"/>
      <c r="Q415" s="4"/>
    </row>
    <row r="416" spans="2:17" x14ac:dyDescent="0.2">
      <c r="J416" s="4"/>
      <c r="K416" s="4"/>
      <c r="L416" s="4"/>
      <c r="M416" s="4"/>
      <c r="N416" s="4"/>
      <c r="O416" s="4"/>
      <c r="P416" s="4"/>
      <c r="Q416" s="4"/>
    </row>
    <row r="417" spans="2:17" ht="15" x14ac:dyDescent="0.25">
      <c r="B417" s="418" t="s">
        <v>891</v>
      </c>
      <c r="C417" s="336"/>
      <c r="J417" s="4"/>
      <c r="K417" s="4"/>
      <c r="L417" s="4"/>
      <c r="M417" s="4"/>
      <c r="N417" s="4"/>
      <c r="O417" s="4"/>
      <c r="P417" s="4"/>
      <c r="Q417" s="4"/>
    </row>
    <row r="418" spans="2:17" x14ac:dyDescent="0.2">
      <c r="B418" s="29" t="s">
        <v>892</v>
      </c>
      <c r="C418" s="386">
        <f>C128*5</f>
        <v>13500000</v>
      </c>
      <c r="J418" s="4"/>
      <c r="K418" s="4"/>
      <c r="L418" s="4"/>
      <c r="M418" s="4"/>
      <c r="N418" s="4"/>
      <c r="O418" s="4"/>
      <c r="P418" s="4"/>
      <c r="Q418" s="4"/>
    </row>
    <row r="419" spans="2:17" x14ac:dyDescent="0.2">
      <c r="B419" s="29" t="s">
        <v>886</v>
      </c>
      <c r="C419" s="386">
        <f>1000*5*C260</f>
        <v>18916566.666666668</v>
      </c>
      <c r="J419" s="4"/>
      <c r="K419" s="4"/>
      <c r="L419" s="4"/>
      <c r="M419" s="4"/>
      <c r="N419" s="4"/>
      <c r="O419" s="4"/>
      <c r="P419" s="4"/>
      <c r="Q419" s="4"/>
    </row>
    <row r="420" spans="2:17" x14ac:dyDescent="0.2">
      <c r="B420" s="29" t="s">
        <v>893</v>
      </c>
      <c r="C420" s="386">
        <f>3500*C260</f>
        <v>13241596.666666668</v>
      </c>
      <c r="J420" s="4"/>
      <c r="K420" s="4"/>
      <c r="L420" s="4"/>
      <c r="M420" s="4"/>
      <c r="N420" s="4"/>
      <c r="O420" s="4"/>
      <c r="P420" s="4"/>
      <c r="Q420" s="4"/>
    </row>
    <row r="421" spans="2:17" ht="15" x14ac:dyDescent="0.25">
      <c r="B421" s="429" t="s">
        <v>894</v>
      </c>
      <c r="C421" s="428">
        <f>SUM(C418:C420)</f>
        <v>45658163.333333336</v>
      </c>
      <c r="J421" s="4"/>
      <c r="K421" s="4"/>
      <c r="L421" s="4"/>
      <c r="M421" s="4"/>
      <c r="N421" s="4"/>
      <c r="O421" s="4"/>
      <c r="P421" s="4"/>
      <c r="Q421" s="4"/>
    </row>
    <row r="422" spans="2:17" ht="15" x14ac:dyDescent="0.25">
      <c r="B422" s="418" t="s">
        <v>795</v>
      </c>
      <c r="C422" s="428">
        <v>46000000</v>
      </c>
      <c r="J422" s="4"/>
      <c r="K422" s="4"/>
      <c r="L422" s="4"/>
      <c r="M422" s="4"/>
      <c r="N422" s="4"/>
      <c r="O422" s="4"/>
      <c r="P422" s="4"/>
      <c r="Q422" s="4"/>
    </row>
    <row r="423" spans="2:17" x14ac:dyDescent="0.2">
      <c r="B423" s="2" t="s">
        <v>895</v>
      </c>
      <c r="J423" s="4"/>
      <c r="K423" s="4"/>
      <c r="L423" s="4"/>
      <c r="M423" s="4"/>
      <c r="N423" s="4"/>
      <c r="O423" s="4"/>
      <c r="P423" s="4"/>
      <c r="Q423" s="4"/>
    </row>
    <row r="424" spans="2:17" x14ac:dyDescent="0.2">
      <c r="J424" s="4"/>
      <c r="K424" s="4"/>
      <c r="L424" s="4"/>
      <c r="M424" s="4"/>
      <c r="N424" s="4"/>
      <c r="O424" s="4"/>
      <c r="P424" s="4"/>
      <c r="Q424" s="4"/>
    </row>
    <row r="425" spans="2:17" ht="30" x14ac:dyDescent="0.25">
      <c r="B425" s="430" t="s">
        <v>896</v>
      </c>
      <c r="C425" s="336"/>
      <c r="J425" s="4"/>
      <c r="K425" s="4"/>
      <c r="L425" s="4"/>
      <c r="M425" s="4"/>
      <c r="N425" s="4"/>
      <c r="O425" s="4"/>
      <c r="P425" s="4"/>
      <c r="Q425" s="4"/>
    </row>
    <row r="426" spans="2:17" x14ac:dyDescent="0.2">
      <c r="B426" s="29" t="s">
        <v>897</v>
      </c>
      <c r="C426" s="386">
        <f>3500000/4</f>
        <v>875000</v>
      </c>
      <c r="J426" s="4"/>
      <c r="K426" s="4"/>
      <c r="L426" s="4"/>
      <c r="M426" s="4"/>
      <c r="N426" s="4"/>
      <c r="O426" s="4"/>
      <c r="P426" s="4"/>
      <c r="Q426" s="4"/>
    </row>
    <row r="427" spans="2:17" x14ac:dyDescent="0.2">
      <c r="B427" s="29" t="s">
        <v>898</v>
      </c>
      <c r="C427" s="386">
        <f>C294*2</f>
        <v>607000</v>
      </c>
      <c r="J427" s="4"/>
      <c r="K427" s="4"/>
      <c r="L427" s="4"/>
      <c r="M427" s="4"/>
      <c r="N427" s="4"/>
      <c r="O427" s="4"/>
      <c r="P427" s="4"/>
      <c r="Q427" s="4"/>
    </row>
    <row r="428" spans="2:17" x14ac:dyDescent="0.2">
      <c r="B428" s="29" t="s">
        <v>899</v>
      </c>
      <c r="C428" s="386">
        <f>C357*4</f>
        <v>2000000</v>
      </c>
      <c r="J428" s="4"/>
      <c r="K428" s="4"/>
      <c r="L428" s="4"/>
      <c r="M428" s="4"/>
      <c r="N428" s="4"/>
      <c r="O428" s="4"/>
      <c r="P428" s="4"/>
      <c r="Q428" s="4"/>
    </row>
    <row r="429" spans="2:17" x14ac:dyDescent="0.2">
      <c r="B429" s="431" t="s">
        <v>900</v>
      </c>
      <c r="C429" s="386">
        <f>15000*20</f>
        <v>300000</v>
      </c>
      <c r="J429" s="4"/>
      <c r="K429" s="4"/>
      <c r="L429" s="4"/>
      <c r="M429" s="4"/>
      <c r="N429" s="4"/>
      <c r="O429" s="4"/>
      <c r="P429" s="4"/>
      <c r="Q429" s="4"/>
    </row>
    <row r="430" spans="2:17" ht="15" x14ac:dyDescent="0.25">
      <c r="B430" s="429" t="s">
        <v>901</v>
      </c>
      <c r="C430" s="428">
        <f>SUM(C426:C429)</f>
        <v>3782000</v>
      </c>
      <c r="J430" s="4"/>
      <c r="K430" s="4"/>
      <c r="L430" s="4"/>
      <c r="M430" s="4"/>
      <c r="N430" s="4"/>
      <c r="O430" s="4"/>
      <c r="P430" s="4"/>
      <c r="Q430" s="4"/>
    </row>
    <row r="431" spans="2:17" ht="15" x14ac:dyDescent="0.25">
      <c r="B431" s="418" t="s">
        <v>795</v>
      </c>
      <c r="C431" s="428">
        <v>3800000</v>
      </c>
      <c r="J431" s="4"/>
      <c r="K431" s="4"/>
      <c r="L431" s="4"/>
      <c r="M431" s="4"/>
      <c r="N431" s="4"/>
      <c r="O431" s="4"/>
      <c r="P431" s="4"/>
      <c r="Q431" s="4"/>
    </row>
    <row r="432" spans="2:17" ht="42.75" x14ac:dyDescent="0.2">
      <c r="B432" s="413" t="s">
        <v>902</v>
      </c>
      <c r="J432" s="4"/>
      <c r="K432" s="4"/>
      <c r="L432" s="4"/>
      <c r="M432" s="4"/>
      <c r="N432" s="4"/>
      <c r="O432" s="4"/>
      <c r="P432" s="4"/>
      <c r="Q432" s="4"/>
    </row>
    <row r="433" spans="2:17" x14ac:dyDescent="0.2">
      <c r="J433" s="4"/>
      <c r="K433" s="4"/>
      <c r="L433" s="4"/>
      <c r="M433" s="4"/>
      <c r="N433" s="4"/>
      <c r="O433" s="4"/>
      <c r="P433" s="4"/>
      <c r="Q433" s="4"/>
    </row>
    <row r="434" spans="2:17" ht="15" x14ac:dyDescent="0.25">
      <c r="B434" s="418" t="s">
        <v>903</v>
      </c>
      <c r="C434" s="418" t="s">
        <v>874</v>
      </c>
      <c r="J434" s="4"/>
      <c r="K434" s="4"/>
      <c r="L434" s="4"/>
      <c r="M434" s="4"/>
      <c r="N434" s="4"/>
      <c r="O434" s="4"/>
      <c r="P434" s="4"/>
      <c r="Q434" s="4"/>
    </row>
    <row r="435" spans="2:17" x14ac:dyDescent="0.2">
      <c r="B435" s="29" t="s">
        <v>904</v>
      </c>
      <c r="C435" s="69">
        <f>C127*3+D260*7</f>
        <v>12630398.41</v>
      </c>
      <c r="J435" s="4"/>
      <c r="K435" s="4"/>
      <c r="L435" s="4"/>
      <c r="M435" s="4"/>
      <c r="N435" s="4"/>
      <c r="O435" s="4"/>
      <c r="P435" s="4"/>
      <c r="Q435" s="4"/>
    </row>
    <row r="436" spans="2:17" x14ac:dyDescent="0.2">
      <c r="B436" s="29" t="s">
        <v>905</v>
      </c>
      <c r="C436" s="386">
        <f>1300*5*D260</f>
        <v>28227095</v>
      </c>
      <c r="J436" s="4"/>
      <c r="K436" s="4"/>
      <c r="L436" s="4"/>
      <c r="M436" s="4"/>
      <c r="N436" s="4"/>
      <c r="O436" s="4"/>
      <c r="P436" s="4"/>
      <c r="Q436" s="4"/>
    </row>
    <row r="437" spans="2:17" ht="15" x14ac:dyDescent="0.25">
      <c r="B437" s="418" t="s">
        <v>906</v>
      </c>
      <c r="C437" s="428">
        <f>SUM(C435:C436)</f>
        <v>40857493.409999996</v>
      </c>
      <c r="J437" s="4"/>
      <c r="K437" s="4"/>
      <c r="L437" s="4"/>
      <c r="M437" s="4"/>
      <c r="N437" s="4"/>
      <c r="O437" s="4"/>
      <c r="P437" s="4"/>
      <c r="Q437" s="4"/>
    </row>
    <row r="438" spans="2:17" ht="15" x14ac:dyDescent="0.25">
      <c r="B438" s="418" t="s">
        <v>795</v>
      </c>
      <c r="C438" s="428">
        <v>41000000</v>
      </c>
      <c r="J438" s="4"/>
      <c r="K438" s="4"/>
      <c r="L438" s="4"/>
      <c r="M438" s="4"/>
      <c r="N438" s="4"/>
      <c r="O438" s="4"/>
      <c r="P438" s="4"/>
      <c r="Q438" s="4"/>
    </row>
    <row r="439" spans="2:17" ht="42.75" x14ac:dyDescent="0.2">
      <c r="B439" s="413" t="s">
        <v>907</v>
      </c>
      <c r="C439" s="368"/>
      <c r="J439" s="4"/>
      <c r="K439" s="4"/>
      <c r="L439" s="4"/>
      <c r="M439" s="4"/>
      <c r="N439" s="4"/>
      <c r="O439" s="4"/>
      <c r="P439" s="4"/>
      <c r="Q439" s="4"/>
    </row>
    <row r="440" spans="2:17" x14ac:dyDescent="0.2">
      <c r="B440" s="413"/>
      <c r="C440" s="368"/>
      <c r="J440" s="4"/>
      <c r="K440" s="4"/>
      <c r="L440" s="4"/>
      <c r="M440" s="4"/>
      <c r="N440" s="4"/>
      <c r="O440" s="4"/>
      <c r="P440" s="4"/>
      <c r="Q440" s="4"/>
    </row>
    <row r="441" spans="2:17" ht="15" x14ac:dyDescent="0.25">
      <c r="B441" s="418" t="s">
        <v>908</v>
      </c>
      <c r="C441" s="418" t="s">
        <v>874</v>
      </c>
      <c r="J441" s="4"/>
      <c r="K441" s="4"/>
      <c r="L441" s="4"/>
      <c r="M441" s="4"/>
      <c r="N441" s="4"/>
      <c r="O441" s="4"/>
      <c r="P441" s="4"/>
      <c r="Q441" s="4"/>
    </row>
    <row r="442" spans="2:17" x14ac:dyDescent="0.2">
      <c r="B442" s="29" t="s">
        <v>909</v>
      </c>
      <c r="C442" s="69">
        <v>300000</v>
      </c>
      <c r="J442" s="4"/>
      <c r="K442" s="4"/>
      <c r="L442" s="4"/>
      <c r="M442" s="4"/>
      <c r="N442" s="4"/>
      <c r="O442" s="4"/>
      <c r="P442" s="4"/>
      <c r="Q442" s="4"/>
    </row>
    <row r="443" spans="2:17" x14ac:dyDescent="0.2">
      <c r="B443" s="29" t="s">
        <v>204</v>
      </c>
      <c r="C443" s="386">
        <v>50000</v>
      </c>
      <c r="J443" s="4"/>
      <c r="K443" s="4"/>
      <c r="L443" s="4"/>
      <c r="M443" s="4"/>
      <c r="N443" s="4"/>
      <c r="O443" s="4"/>
      <c r="P443" s="4"/>
      <c r="Q443" s="4"/>
    </row>
    <row r="444" spans="2:17" ht="15" x14ac:dyDescent="0.25">
      <c r="B444" s="418" t="s">
        <v>906</v>
      </c>
      <c r="C444" s="428">
        <f>SUM(C442:C443)</f>
        <v>350000</v>
      </c>
      <c r="J444" s="4"/>
      <c r="K444" s="4"/>
      <c r="L444" s="4"/>
      <c r="M444" s="4"/>
      <c r="N444" s="4"/>
      <c r="O444" s="4"/>
      <c r="P444" s="4"/>
      <c r="Q444" s="4"/>
    </row>
    <row r="445" spans="2:17" x14ac:dyDescent="0.2">
      <c r="B445" s="413"/>
      <c r="C445" s="368"/>
      <c r="J445" s="4"/>
      <c r="K445" s="4"/>
      <c r="L445" s="4"/>
      <c r="M445" s="4"/>
      <c r="N445" s="4"/>
      <c r="O445" s="4"/>
      <c r="P445" s="4"/>
      <c r="Q445" s="4"/>
    </row>
    <row r="446" spans="2:17" x14ac:dyDescent="0.2">
      <c r="B446" s="413"/>
      <c r="C446" s="368"/>
      <c r="J446" s="4"/>
      <c r="K446" s="4"/>
      <c r="L446" s="4"/>
      <c r="M446" s="4"/>
      <c r="N446" s="4"/>
      <c r="O446" s="4"/>
      <c r="P446" s="4"/>
      <c r="Q446" s="4"/>
    </row>
    <row r="447" spans="2:17" x14ac:dyDescent="0.2">
      <c r="B447" s="368"/>
      <c r="C447" s="368"/>
      <c r="J447" s="4"/>
      <c r="K447" s="4"/>
      <c r="L447" s="4"/>
      <c r="M447" s="4"/>
      <c r="N447" s="4"/>
      <c r="O447" s="4"/>
      <c r="P447" s="4"/>
      <c r="Q447" s="4"/>
    </row>
    <row r="448" spans="2:17" x14ac:dyDescent="0.2">
      <c r="J448" s="4"/>
      <c r="K448" s="4"/>
      <c r="L448" s="4"/>
      <c r="M448" s="4"/>
      <c r="N448" s="4"/>
      <c r="O448" s="4"/>
      <c r="P448" s="4"/>
      <c r="Q448" s="4"/>
    </row>
    <row r="449" spans="2:17" ht="15" x14ac:dyDescent="0.25">
      <c r="B449" s="432" t="s">
        <v>910</v>
      </c>
      <c r="F449" s="336"/>
      <c r="J449" s="4"/>
      <c r="K449" s="4"/>
      <c r="L449" s="4"/>
      <c r="M449" s="4"/>
      <c r="N449" s="4"/>
      <c r="O449" s="4"/>
      <c r="P449" s="4"/>
      <c r="Q449" s="4"/>
    </row>
    <row r="450" spans="2:17" ht="57" x14ac:dyDescent="0.2">
      <c r="B450" s="50" t="s">
        <v>911</v>
      </c>
      <c r="C450" s="158" t="s">
        <v>912</v>
      </c>
      <c r="D450" s="421">
        <f>200000*25</f>
        <v>5000000</v>
      </c>
      <c r="J450" s="4"/>
      <c r="K450" s="4"/>
      <c r="L450" s="4"/>
      <c r="M450" s="4"/>
      <c r="N450" s="4"/>
      <c r="O450" s="4"/>
      <c r="P450" s="4"/>
      <c r="Q450" s="4"/>
    </row>
    <row r="451" spans="2:17" ht="42.75" x14ac:dyDescent="0.2">
      <c r="B451" s="50" t="s">
        <v>913</v>
      </c>
      <c r="C451" s="158" t="s">
        <v>914</v>
      </c>
      <c r="D451" s="421">
        <f>D450*30%</f>
        <v>1500000</v>
      </c>
      <c r="J451" s="4"/>
      <c r="K451" s="4"/>
      <c r="L451" s="4"/>
      <c r="M451" s="4"/>
      <c r="N451" s="4"/>
      <c r="O451" s="4"/>
      <c r="P451" s="4"/>
      <c r="Q451" s="4"/>
    </row>
    <row r="452" spans="2:17" x14ac:dyDescent="0.2">
      <c r="B452" s="50" t="s">
        <v>915</v>
      </c>
      <c r="C452" s="29" t="s">
        <v>916</v>
      </c>
      <c r="D452" s="421">
        <v>1000000</v>
      </c>
      <c r="J452" s="4"/>
      <c r="K452" s="4"/>
      <c r="L452" s="4"/>
      <c r="M452" s="4"/>
      <c r="N452" s="4"/>
      <c r="O452" s="4"/>
      <c r="P452" s="4"/>
      <c r="Q452" s="4"/>
    </row>
    <row r="453" spans="2:17" ht="28.5" x14ac:dyDescent="0.2">
      <c r="B453" s="50" t="s">
        <v>917</v>
      </c>
      <c r="C453" s="158" t="s">
        <v>918</v>
      </c>
      <c r="D453" s="421">
        <f>D452*30%</f>
        <v>300000</v>
      </c>
      <c r="J453" s="4"/>
      <c r="K453" s="4"/>
      <c r="L453" s="4"/>
      <c r="M453" s="4"/>
      <c r="N453" s="4"/>
      <c r="O453" s="4"/>
      <c r="P453" s="4"/>
      <c r="Q453" s="4"/>
    </row>
    <row r="454" spans="2:17" x14ac:dyDescent="0.2">
      <c r="B454" s="50" t="s">
        <v>919</v>
      </c>
      <c r="C454" s="158" t="s">
        <v>916</v>
      </c>
      <c r="D454" s="421">
        <v>3000000</v>
      </c>
      <c r="J454" s="4"/>
      <c r="K454" s="4"/>
      <c r="L454" s="4"/>
      <c r="M454" s="4"/>
      <c r="N454" s="4"/>
      <c r="O454" s="4"/>
      <c r="P454" s="4"/>
      <c r="Q454" s="4"/>
    </row>
    <row r="455" spans="2:17" ht="28.5" x14ac:dyDescent="0.2">
      <c r="B455" s="50" t="s">
        <v>920</v>
      </c>
      <c r="C455" s="158" t="s">
        <v>921</v>
      </c>
      <c r="D455" s="421">
        <f>D454*30%</f>
        <v>900000</v>
      </c>
      <c r="J455" s="4"/>
      <c r="K455" s="4"/>
      <c r="L455" s="4"/>
      <c r="M455" s="4"/>
      <c r="N455" s="4"/>
      <c r="O455" s="4"/>
      <c r="P455" s="4"/>
      <c r="Q455" s="4"/>
    </row>
    <row r="456" spans="2:17" x14ac:dyDescent="0.2">
      <c r="B456" s="50" t="s">
        <v>922</v>
      </c>
      <c r="C456" s="158" t="s">
        <v>916</v>
      </c>
      <c r="D456" s="421">
        <v>30000000</v>
      </c>
      <c r="J456" s="4"/>
      <c r="K456" s="4"/>
      <c r="L456" s="4"/>
      <c r="M456" s="4"/>
      <c r="N456" s="4"/>
      <c r="O456" s="4"/>
      <c r="P456" s="4"/>
      <c r="Q456" s="4"/>
    </row>
    <row r="457" spans="2:17" x14ac:dyDescent="0.2">
      <c r="B457" s="50" t="s">
        <v>1119</v>
      </c>
      <c r="C457" s="158" t="s">
        <v>916</v>
      </c>
      <c r="D457" s="421">
        <v>16000000</v>
      </c>
      <c r="J457" s="4"/>
      <c r="K457" s="4"/>
      <c r="L457" s="4"/>
      <c r="M457" s="4"/>
      <c r="N457" s="4"/>
      <c r="O457" s="4"/>
      <c r="P457" s="4"/>
      <c r="Q457" s="4"/>
    </row>
    <row r="458" spans="2:17" x14ac:dyDescent="0.2">
      <c r="B458" s="50" t="s">
        <v>923</v>
      </c>
      <c r="C458" s="158" t="s">
        <v>924</v>
      </c>
      <c r="D458" s="421">
        <v>45000000</v>
      </c>
      <c r="P458" s="4"/>
      <c r="Q458" s="4"/>
    </row>
    <row r="459" spans="2:17" x14ac:dyDescent="0.2">
      <c r="B459" s="50" t="s">
        <v>925</v>
      </c>
      <c r="C459" s="158" t="s">
        <v>916</v>
      </c>
      <c r="D459" s="421">
        <v>100000000</v>
      </c>
      <c r="P459" s="4"/>
      <c r="Q459" s="4"/>
    </row>
    <row r="460" spans="2:17" x14ac:dyDescent="0.2">
      <c r="B460" s="50" t="s">
        <v>926</v>
      </c>
      <c r="C460" s="158" t="s">
        <v>927</v>
      </c>
      <c r="D460" s="421">
        <v>500000</v>
      </c>
      <c r="P460" s="4"/>
      <c r="Q460" s="4"/>
    </row>
    <row r="461" spans="2:17" ht="42.75" x14ac:dyDescent="0.2">
      <c r="B461" s="368" t="s">
        <v>928</v>
      </c>
      <c r="P461" s="4"/>
      <c r="Q461" s="4"/>
    </row>
    <row r="462" spans="2:17" ht="14.1" customHeight="1" x14ac:dyDescent="0.2">
      <c r="P462" s="4"/>
      <c r="Q462" s="4"/>
    </row>
    <row r="463" spans="2:17" x14ac:dyDescent="0.2">
      <c r="P463" s="4"/>
      <c r="Q463" s="4"/>
    </row>
    <row r="464" spans="2:17" ht="15" x14ac:dyDescent="0.25">
      <c r="B464" s="432" t="s">
        <v>929</v>
      </c>
      <c r="F464" s="336"/>
      <c r="P464" s="4"/>
      <c r="Q464" s="4"/>
    </row>
    <row r="465" spans="2:17" x14ac:dyDescent="0.2">
      <c r="P465" s="4"/>
      <c r="Q465" s="4"/>
    </row>
    <row r="466" spans="2:17" ht="15" x14ac:dyDescent="0.25">
      <c r="B466" s="433" t="s">
        <v>930</v>
      </c>
      <c r="C466" s="433"/>
      <c r="D466" s="330"/>
      <c r="F466" s="336"/>
      <c r="P466" s="4"/>
      <c r="Q466" s="4"/>
    </row>
    <row r="467" spans="2:17" x14ac:dyDescent="0.2">
      <c r="B467" s="29" t="s">
        <v>931</v>
      </c>
      <c r="C467" s="69">
        <v>5000000</v>
      </c>
      <c r="D467" s="330"/>
      <c r="F467" s="336"/>
      <c r="P467" s="4"/>
      <c r="Q467" s="4"/>
    </row>
    <row r="468" spans="2:17" x14ac:dyDescent="0.2">
      <c r="B468" s="29" t="s">
        <v>932</v>
      </c>
      <c r="C468" s="69">
        <v>30000000</v>
      </c>
      <c r="D468" s="330"/>
      <c r="F468" s="336"/>
      <c r="J468" s="4"/>
      <c r="K468" s="4"/>
      <c r="L468" s="4"/>
      <c r="M468" s="4"/>
      <c r="N468" s="4"/>
      <c r="O468" s="4"/>
      <c r="P468" s="4"/>
      <c r="Q468" s="4"/>
    </row>
    <row r="469" spans="2:17" x14ac:dyDescent="0.2">
      <c r="B469" s="29" t="s">
        <v>282</v>
      </c>
      <c r="C469" s="62">
        <v>1000000</v>
      </c>
      <c r="D469" s="434"/>
      <c r="F469" s="336"/>
      <c r="J469" s="4"/>
      <c r="K469" s="4"/>
      <c r="L469" s="4"/>
      <c r="M469" s="4"/>
      <c r="N469" s="4"/>
      <c r="O469" s="4"/>
      <c r="P469" s="4"/>
      <c r="Q469" s="4"/>
    </row>
    <row r="470" spans="2:17" ht="15" x14ac:dyDescent="0.25">
      <c r="B470" s="433" t="s">
        <v>933</v>
      </c>
      <c r="C470" s="435">
        <f>SUM(C467:C469)</f>
        <v>36000000</v>
      </c>
      <c r="D470" s="330"/>
      <c r="F470" s="336"/>
      <c r="J470" s="4"/>
      <c r="K470" s="4"/>
      <c r="L470" s="4"/>
      <c r="M470" s="4"/>
      <c r="N470" s="4"/>
      <c r="O470" s="4"/>
      <c r="P470" s="4"/>
      <c r="Q470" s="4"/>
    </row>
    <row r="471" spans="2:17" x14ac:dyDescent="0.2">
      <c r="B471" s="2" t="s">
        <v>934</v>
      </c>
      <c r="F471" s="336"/>
    </row>
    <row r="472" spans="2:17" x14ac:dyDescent="0.2">
      <c r="F472" s="336"/>
    </row>
    <row r="473" spans="2:17" s="184" customFormat="1" ht="15" x14ac:dyDescent="0.25">
      <c r="B473" s="433" t="s">
        <v>935</v>
      </c>
      <c r="C473" s="433"/>
      <c r="D473" s="436"/>
      <c r="F473" s="384"/>
      <c r="P473" s="14"/>
      <c r="Q473" s="14"/>
    </row>
    <row r="474" spans="2:17" s="184" customFormat="1" x14ac:dyDescent="0.2">
      <c r="B474" s="33" t="s">
        <v>931</v>
      </c>
      <c r="C474" s="62">
        <f>D12*6*50%</f>
        <v>34438956</v>
      </c>
      <c r="D474" s="436"/>
      <c r="F474" s="384"/>
      <c r="P474" s="14"/>
      <c r="Q474" s="14"/>
    </row>
    <row r="475" spans="2:17" s="184" customFormat="1" x14ac:dyDescent="0.2">
      <c r="B475" s="33" t="s">
        <v>936</v>
      </c>
      <c r="C475" s="62">
        <v>17000000</v>
      </c>
      <c r="D475" s="436"/>
      <c r="F475" s="384"/>
      <c r="J475" s="14"/>
      <c r="K475" s="14"/>
      <c r="L475" s="14"/>
      <c r="M475" s="14"/>
      <c r="N475" s="14"/>
      <c r="O475" s="14"/>
      <c r="P475" s="14"/>
      <c r="Q475" s="14"/>
    </row>
    <row r="476" spans="2:17" s="184" customFormat="1" ht="15" x14ac:dyDescent="0.25">
      <c r="B476" s="433" t="s">
        <v>933</v>
      </c>
      <c r="C476" s="435">
        <f>SUM(C474:C475)</f>
        <v>51438956</v>
      </c>
      <c r="D476" s="436"/>
      <c r="F476" s="384"/>
      <c r="J476" s="14"/>
      <c r="K476" s="14"/>
      <c r="L476" s="14"/>
      <c r="M476" s="14"/>
      <c r="N476" s="14"/>
      <c r="O476" s="14"/>
      <c r="P476" s="14"/>
      <c r="Q476" s="14"/>
    </row>
    <row r="477" spans="2:17" s="184" customFormat="1" x14ac:dyDescent="0.2">
      <c r="B477" s="184" t="s">
        <v>937</v>
      </c>
      <c r="F477" s="384"/>
    </row>
    <row r="478" spans="2:17" x14ac:dyDescent="0.2">
      <c r="F478" s="336"/>
    </row>
    <row r="479" spans="2:17" x14ac:dyDescent="0.2">
      <c r="F479" s="336"/>
    </row>
    <row r="480" spans="2:17" s="184" customFormat="1" ht="15" x14ac:dyDescent="0.25">
      <c r="B480" s="433" t="s">
        <v>938</v>
      </c>
      <c r="C480" s="433"/>
      <c r="D480" s="436"/>
      <c r="F480" s="384"/>
      <c r="P480" s="14"/>
      <c r="Q480" s="14"/>
    </row>
    <row r="481" spans="2:17" s="184" customFormat="1" x14ac:dyDescent="0.2">
      <c r="B481" s="33" t="s">
        <v>931</v>
      </c>
      <c r="C481" s="62">
        <v>26000000</v>
      </c>
      <c r="D481" s="436"/>
      <c r="F481" s="384"/>
      <c r="P481" s="14"/>
      <c r="Q481" s="14"/>
    </row>
    <row r="482" spans="2:17" s="184" customFormat="1" x14ac:dyDescent="0.2">
      <c r="B482" s="33" t="s">
        <v>936</v>
      </c>
      <c r="C482" s="62">
        <v>17000000</v>
      </c>
      <c r="D482" s="436"/>
      <c r="F482" s="384"/>
      <c r="J482" s="14"/>
      <c r="K482" s="14"/>
      <c r="L482" s="14"/>
      <c r="M482" s="14"/>
      <c r="N482" s="14"/>
      <c r="O482" s="14"/>
      <c r="P482" s="14"/>
      <c r="Q482" s="14"/>
    </row>
    <row r="483" spans="2:17" s="184" customFormat="1" ht="15" x14ac:dyDescent="0.25">
      <c r="B483" s="433" t="s">
        <v>933</v>
      </c>
      <c r="C483" s="435">
        <f>SUM(C481:C482)</f>
        <v>43000000</v>
      </c>
      <c r="D483" s="436"/>
      <c r="F483" s="384"/>
      <c r="J483" s="14"/>
      <c r="K483" s="14"/>
      <c r="L483" s="14"/>
      <c r="M483" s="14"/>
      <c r="N483" s="14"/>
      <c r="O483" s="14"/>
      <c r="P483" s="14"/>
      <c r="Q483" s="14"/>
    </row>
    <row r="484" spans="2:17" s="184" customFormat="1" x14ac:dyDescent="0.2">
      <c r="B484" s="184" t="s">
        <v>937</v>
      </c>
      <c r="F484" s="384"/>
    </row>
    <row r="485" spans="2:17" x14ac:dyDescent="0.2">
      <c r="F485" s="336"/>
    </row>
    <row r="486" spans="2:17" s="256" customFormat="1" ht="18.600000000000001" customHeight="1" x14ac:dyDescent="0.25">
      <c r="B486" s="437" t="s">
        <v>939</v>
      </c>
      <c r="C486" s="438" t="s">
        <v>940</v>
      </c>
      <c r="D486" s="438" t="s">
        <v>8</v>
      </c>
      <c r="E486" s="438" t="s">
        <v>941</v>
      </c>
      <c r="F486" s="438" t="s">
        <v>942</v>
      </c>
    </row>
    <row r="487" spans="2:17" ht="43.5" customHeight="1" x14ac:dyDescent="0.2">
      <c r="B487" s="29" t="s">
        <v>943</v>
      </c>
      <c r="C487" s="33" t="s">
        <v>944</v>
      </c>
      <c r="D487" s="62">
        <v>160000</v>
      </c>
      <c r="E487" s="439" t="s">
        <v>945</v>
      </c>
      <c r="F487" s="336"/>
      <c r="G487" s="160"/>
    </row>
    <row r="488" spans="2:17" ht="24.95" customHeight="1" x14ac:dyDescent="0.2">
      <c r="B488" s="29" t="s">
        <v>946</v>
      </c>
      <c r="D488" s="62">
        <v>1000000</v>
      </c>
      <c r="E488" s="29" t="s">
        <v>947</v>
      </c>
      <c r="F488" s="336"/>
      <c r="J488" s="4"/>
      <c r="K488" s="4"/>
      <c r="L488" s="4"/>
      <c r="M488" s="4"/>
      <c r="N488" s="4"/>
      <c r="O488" s="4"/>
      <c r="P488" s="4"/>
      <c r="Q488" s="4"/>
    </row>
    <row r="489" spans="2:17" ht="24.95" customHeight="1" x14ac:dyDescent="0.2">
      <c r="B489" s="33" t="s">
        <v>948</v>
      </c>
      <c r="C489" s="62"/>
      <c r="D489" s="364">
        <v>120000</v>
      </c>
      <c r="E489" s="33" t="s">
        <v>947</v>
      </c>
      <c r="F489" s="440"/>
      <c r="J489" s="4"/>
      <c r="K489" s="4"/>
      <c r="L489" s="4"/>
      <c r="M489" s="4"/>
      <c r="N489" s="4"/>
      <c r="O489" s="4"/>
      <c r="P489" s="4"/>
      <c r="Q489" s="4"/>
    </row>
    <row r="490" spans="2:17" ht="24.95" customHeight="1" x14ac:dyDescent="0.2">
      <c r="B490" s="33" t="s">
        <v>949</v>
      </c>
      <c r="C490" s="62"/>
      <c r="D490" s="364">
        <v>190000</v>
      </c>
      <c r="E490" s="33" t="s">
        <v>947</v>
      </c>
      <c r="F490" s="440"/>
      <c r="J490" s="4"/>
      <c r="K490" s="4"/>
      <c r="L490" s="4"/>
      <c r="M490" s="4"/>
      <c r="N490" s="4"/>
      <c r="O490" s="4"/>
      <c r="P490" s="4"/>
      <c r="Q490" s="4"/>
    </row>
    <row r="491" spans="2:17" s="256" customFormat="1" ht="27" customHeight="1" x14ac:dyDescent="0.2">
      <c r="B491" s="441"/>
      <c r="C491" s="441"/>
      <c r="D491" s="384"/>
      <c r="E491" s="442"/>
      <c r="F491" s="443"/>
    </row>
    <row r="492" spans="2:17" x14ac:dyDescent="0.2">
      <c r="B492" s="444"/>
      <c r="C492" s="444"/>
      <c r="D492" s="445"/>
    </row>
    <row r="493" spans="2:17" ht="15" x14ac:dyDescent="0.25">
      <c r="B493" s="432" t="s">
        <v>950</v>
      </c>
    </row>
    <row r="494" spans="2:17" x14ac:dyDescent="0.2">
      <c r="B494" s="287"/>
      <c r="C494" s="287"/>
    </row>
    <row r="495" spans="2:17" x14ac:dyDescent="0.2">
      <c r="B495" s="4"/>
      <c r="C495" s="4"/>
      <c r="D495" s="287"/>
    </row>
    <row r="496" spans="2:17" s="4" customFormat="1" ht="15" x14ac:dyDescent="0.25">
      <c r="B496" s="406" t="s">
        <v>951</v>
      </c>
      <c r="C496" s="336"/>
      <c r="D496" s="336"/>
    </row>
    <row r="497" spans="2:18" x14ac:dyDescent="0.2">
      <c r="B497" s="446" t="s">
        <v>952</v>
      </c>
      <c r="C497" s="30">
        <v>38004</v>
      </c>
      <c r="D497" s="256"/>
      <c r="E497" s="256"/>
      <c r="F497" s="443"/>
      <c r="G497" s="256"/>
      <c r="H497" s="256"/>
      <c r="I497" s="319"/>
      <c r="J497" s="319"/>
      <c r="K497" s="256"/>
      <c r="L497" s="256"/>
      <c r="M497" s="256"/>
      <c r="N497" s="256"/>
      <c r="O497" s="256"/>
      <c r="P497" s="256"/>
      <c r="Q497" s="256"/>
      <c r="R497" s="256"/>
    </row>
    <row r="498" spans="2:18" ht="45" x14ac:dyDescent="0.2">
      <c r="B498" s="447" t="s">
        <v>953</v>
      </c>
      <c r="C498" s="448" t="s">
        <v>954</v>
      </c>
      <c r="D498" s="448" t="s">
        <v>955</v>
      </c>
      <c r="E498" s="448" t="s">
        <v>956</v>
      </c>
      <c r="F498" s="448" t="s">
        <v>957</v>
      </c>
      <c r="G498" s="448" t="s">
        <v>958</v>
      </c>
      <c r="H498" s="448" t="s">
        <v>959</v>
      </c>
      <c r="I498" s="319"/>
      <c r="J498" s="319"/>
      <c r="K498" s="256"/>
      <c r="L498" s="256"/>
      <c r="M498" s="256"/>
      <c r="N498" s="256"/>
      <c r="O498" s="256"/>
      <c r="P498" s="256"/>
      <c r="Q498" s="256"/>
      <c r="R498" s="256"/>
    </row>
    <row r="499" spans="2:18" ht="15" x14ac:dyDescent="0.2">
      <c r="B499" s="449" t="s">
        <v>960</v>
      </c>
      <c r="C499" s="67">
        <v>23563</v>
      </c>
      <c r="D499" s="450">
        <f>C497*C499</f>
        <v>895488252</v>
      </c>
      <c r="E499" s="451">
        <v>0.03</v>
      </c>
      <c r="F499" s="30">
        <f>D499*E499</f>
        <v>26864647.559999999</v>
      </c>
      <c r="G499" s="451">
        <v>0.3</v>
      </c>
      <c r="H499" s="288">
        <f>F499*G499</f>
        <v>8059394.2679999992</v>
      </c>
      <c r="I499" s="319"/>
      <c r="J499" s="319"/>
      <c r="K499" s="256"/>
      <c r="L499" s="256"/>
      <c r="M499" s="256"/>
      <c r="N499" s="256"/>
      <c r="O499" s="256"/>
      <c r="P499" s="256"/>
      <c r="Q499" s="256"/>
      <c r="R499" s="256"/>
    </row>
    <row r="500" spans="2:18" ht="15" x14ac:dyDescent="0.2">
      <c r="B500" s="452" t="s">
        <v>961</v>
      </c>
      <c r="C500" s="67">
        <v>204995</v>
      </c>
      <c r="D500" s="450">
        <f>C497*C500</f>
        <v>7790629980</v>
      </c>
      <c r="E500" s="451">
        <v>0.02</v>
      </c>
      <c r="F500" s="30">
        <f>D500*E500</f>
        <v>155812599.59999999</v>
      </c>
      <c r="G500" s="451">
        <v>0.1</v>
      </c>
      <c r="H500" s="288">
        <f>F500*G500</f>
        <v>15581259.960000001</v>
      </c>
      <c r="I500" s="319"/>
      <c r="J500" s="319"/>
      <c r="K500" s="256"/>
      <c r="L500" s="256"/>
      <c r="M500" s="256"/>
      <c r="N500" s="256"/>
      <c r="O500" s="256"/>
      <c r="P500" s="256"/>
      <c r="Q500" s="256"/>
      <c r="R500" s="256"/>
    </row>
    <row r="501" spans="2:18" ht="15" x14ac:dyDescent="0.2">
      <c r="B501" s="449" t="s">
        <v>962</v>
      </c>
      <c r="C501" s="67">
        <v>1736565</v>
      </c>
      <c r="D501" s="450">
        <f>C497*C501</f>
        <v>65996416260</v>
      </c>
      <c r="E501" s="453">
        <v>5.0000000000000001E-3</v>
      </c>
      <c r="F501" s="30">
        <f>D501*E501</f>
        <v>329982081.30000001</v>
      </c>
      <c r="G501" s="451">
        <v>0.08</v>
      </c>
      <c r="H501" s="288">
        <f>F501*G501</f>
        <v>26398566.504000001</v>
      </c>
      <c r="I501" s="319"/>
      <c r="J501" s="319"/>
      <c r="K501" s="256"/>
      <c r="L501" s="256"/>
      <c r="M501" s="256"/>
      <c r="N501" s="256"/>
      <c r="O501" s="256"/>
      <c r="P501" s="256"/>
      <c r="Q501" s="256"/>
      <c r="R501" s="256"/>
    </row>
    <row r="502" spans="2:18" x14ac:dyDescent="0.2">
      <c r="B502" s="454"/>
      <c r="C502" s="454"/>
      <c r="D502" s="455"/>
      <c r="E502" s="456"/>
      <c r="F502" s="443"/>
      <c r="G502" s="457"/>
      <c r="H502" s="458"/>
      <c r="I502" s="319"/>
      <c r="J502" s="319"/>
      <c r="K502" s="256"/>
      <c r="L502" s="256"/>
      <c r="M502" s="256"/>
      <c r="N502" s="256"/>
      <c r="O502" s="256"/>
      <c r="P502" s="256"/>
      <c r="Q502" s="256"/>
      <c r="R502" s="256"/>
    </row>
    <row r="503" spans="2:18" x14ac:dyDescent="0.2">
      <c r="B503" s="454"/>
      <c r="C503" s="454"/>
      <c r="D503" s="455"/>
      <c r="E503" s="456"/>
      <c r="F503" s="443"/>
      <c r="G503" s="457"/>
      <c r="H503" s="458"/>
      <c r="I503" s="319"/>
      <c r="J503" s="319"/>
      <c r="K503" s="256"/>
      <c r="L503" s="256"/>
      <c r="M503" s="256"/>
      <c r="N503" s="256"/>
      <c r="O503" s="256"/>
      <c r="P503" s="256"/>
      <c r="Q503" s="256"/>
      <c r="R503" s="256"/>
    </row>
    <row r="504" spans="2:18" s="4" customFormat="1" ht="15" x14ac:dyDescent="0.25">
      <c r="B504" s="406" t="s">
        <v>963</v>
      </c>
      <c r="C504" s="336"/>
      <c r="D504" s="336"/>
    </row>
    <row r="505" spans="2:18" x14ac:dyDescent="0.2">
      <c r="B505" s="446" t="s">
        <v>952</v>
      </c>
      <c r="C505" s="30">
        <v>38004</v>
      </c>
      <c r="D505" s="256"/>
      <c r="E505" s="256"/>
      <c r="F505" s="443"/>
      <c r="G505" s="256"/>
      <c r="H505" s="256"/>
      <c r="I505" s="319"/>
      <c r="J505" s="319"/>
      <c r="K505" s="256"/>
      <c r="L505" s="256"/>
      <c r="M505" s="256"/>
      <c r="N505" s="256"/>
      <c r="O505" s="256"/>
      <c r="P505" s="256"/>
      <c r="Q505" s="256"/>
      <c r="R505" s="256"/>
    </row>
    <row r="506" spans="2:18" ht="30" x14ac:dyDescent="0.2">
      <c r="B506" s="447" t="s">
        <v>953</v>
      </c>
      <c r="C506" s="448" t="s">
        <v>954</v>
      </c>
      <c r="D506" s="448" t="s">
        <v>955</v>
      </c>
      <c r="E506" s="448" t="s">
        <v>964</v>
      </c>
      <c r="F506" s="448" t="s">
        <v>957</v>
      </c>
      <c r="G506" s="448" t="s">
        <v>965</v>
      </c>
      <c r="H506" s="448" t="s">
        <v>966</v>
      </c>
      <c r="I506" s="319"/>
      <c r="J506" s="319"/>
      <c r="K506" s="256"/>
      <c r="L506" s="256"/>
      <c r="M506" s="256"/>
      <c r="N506" s="256"/>
      <c r="O506" s="256"/>
      <c r="P506" s="256"/>
      <c r="Q506" s="256"/>
      <c r="R506" s="256"/>
    </row>
    <row r="507" spans="2:18" ht="15" x14ac:dyDescent="0.2">
      <c r="B507" s="449" t="s">
        <v>960</v>
      </c>
      <c r="C507" s="67">
        <v>23563</v>
      </c>
      <c r="D507" s="450">
        <f>C505*C507</f>
        <v>895488252</v>
      </c>
      <c r="E507" s="451">
        <v>0.03</v>
      </c>
      <c r="F507" s="30">
        <f>D507*E507</f>
        <v>26864647.559999999</v>
      </c>
      <c r="G507" s="451">
        <v>0.4</v>
      </c>
      <c r="H507" s="288">
        <f>F507*G507</f>
        <v>10745859.024</v>
      </c>
      <c r="I507" s="319"/>
      <c r="J507" s="319"/>
      <c r="K507" s="256"/>
      <c r="L507" s="256"/>
      <c r="M507" s="256"/>
      <c r="N507" s="256"/>
      <c r="O507" s="256"/>
      <c r="P507" s="256"/>
      <c r="Q507" s="256"/>
      <c r="R507" s="256"/>
    </row>
    <row r="508" spans="2:18" ht="15" x14ac:dyDescent="0.2">
      <c r="B508" s="452" t="s">
        <v>961</v>
      </c>
      <c r="C508" s="67">
        <v>204995</v>
      </c>
      <c r="D508" s="450">
        <f>C505*C508</f>
        <v>7790629980</v>
      </c>
      <c r="E508" s="451">
        <v>0.02</v>
      </c>
      <c r="F508" s="30">
        <f>D508*E508</f>
        <v>155812599.59999999</v>
      </c>
      <c r="G508" s="451">
        <v>0.2</v>
      </c>
      <c r="H508" s="288">
        <f>F508*G508</f>
        <v>31162519.920000002</v>
      </c>
      <c r="I508" s="319"/>
      <c r="J508" s="319"/>
      <c r="K508" s="256"/>
      <c r="L508" s="256"/>
      <c r="M508" s="256"/>
      <c r="N508" s="256"/>
      <c r="O508" s="256"/>
      <c r="P508" s="256"/>
      <c r="Q508" s="256"/>
      <c r="R508" s="256"/>
    </row>
    <row r="509" spans="2:18" ht="15" x14ac:dyDescent="0.2">
      <c r="B509" s="449" t="s">
        <v>962</v>
      </c>
      <c r="C509" s="67">
        <v>1736565</v>
      </c>
      <c r="D509" s="450">
        <f>C505*C509</f>
        <v>65996416260</v>
      </c>
      <c r="E509" s="453">
        <v>5.0000000000000001E-3</v>
      </c>
      <c r="F509" s="30">
        <f>D509*E509</f>
        <v>329982081.30000001</v>
      </c>
      <c r="G509" s="451">
        <v>0.15</v>
      </c>
      <c r="H509" s="288">
        <f>F509*G509</f>
        <v>49497312.195</v>
      </c>
      <c r="I509" s="319"/>
      <c r="J509" s="319"/>
      <c r="K509" s="256"/>
      <c r="L509" s="256"/>
      <c r="M509" s="256"/>
      <c r="N509" s="256"/>
      <c r="O509" s="256"/>
      <c r="P509" s="256"/>
      <c r="Q509" s="256"/>
      <c r="R509" s="256"/>
    </row>
    <row r="510" spans="2:18" x14ac:dyDescent="0.2">
      <c r="C510" s="454"/>
      <c r="D510" s="455"/>
      <c r="E510" s="456"/>
      <c r="F510" s="443"/>
      <c r="G510" s="457"/>
      <c r="H510" s="458"/>
      <c r="I510" s="319"/>
      <c r="J510" s="319"/>
      <c r="K510" s="256"/>
      <c r="L510" s="256"/>
      <c r="M510" s="256"/>
      <c r="N510" s="256"/>
      <c r="O510" s="256"/>
      <c r="P510" s="256"/>
      <c r="Q510" s="256"/>
      <c r="R510" s="256"/>
    </row>
    <row r="511" spans="2:18" x14ac:dyDescent="0.2">
      <c r="C511" s="454"/>
      <c r="D511" s="455"/>
      <c r="E511" s="456"/>
      <c r="F511" s="443"/>
      <c r="G511" s="457"/>
      <c r="H511" s="458"/>
      <c r="I511" s="319"/>
      <c r="J511" s="319"/>
      <c r="K511" s="256"/>
      <c r="L511" s="256"/>
      <c r="M511" s="256"/>
      <c r="N511" s="256"/>
      <c r="O511" s="256"/>
      <c r="P511" s="256"/>
      <c r="Q511" s="256"/>
      <c r="R511" s="256"/>
    </row>
    <row r="512" spans="2:18" ht="15" x14ac:dyDescent="0.25">
      <c r="B512" s="406" t="s">
        <v>967</v>
      </c>
      <c r="C512" s="454"/>
      <c r="F512" s="443"/>
      <c r="G512" s="457"/>
      <c r="H512" s="458"/>
      <c r="I512" s="319"/>
      <c r="J512" s="319"/>
      <c r="K512" s="256"/>
      <c r="L512" s="256"/>
      <c r="M512" s="256"/>
      <c r="N512" s="256"/>
      <c r="O512" s="256"/>
      <c r="P512" s="256"/>
      <c r="Q512" s="256"/>
      <c r="R512" s="256"/>
    </row>
    <row r="513" spans="2:18" x14ac:dyDescent="0.2">
      <c r="B513" s="449" t="s">
        <v>968</v>
      </c>
      <c r="C513" s="450">
        <f>1000000*12</f>
        <v>12000000</v>
      </c>
      <c r="F513" s="443"/>
      <c r="G513" s="457"/>
      <c r="H513" s="458"/>
      <c r="I513" s="319"/>
      <c r="J513" s="319"/>
      <c r="K513" s="256"/>
      <c r="L513" s="256"/>
      <c r="M513" s="256"/>
      <c r="N513" s="256"/>
      <c r="O513" s="256"/>
      <c r="P513" s="256"/>
      <c r="Q513" s="256"/>
      <c r="R513" s="256"/>
    </row>
    <row r="514" spans="2:18" x14ac:dyDescent="0.2">
      <c r="B514" s="449" t="s">
        <v>876</v>
      </c>
      <c r="C514" s="450">
        <v>2000000</v>
      </c>
      <c r="F514" s="443"/>
      <c r="G514" s="457"/>
      <c r="H514" s="458"/>
      <c r="I514" s="319"/>
      <c r="J514" s="319"/>
      <c r="K514" s="256"/>
      <c r="L514" s="256"/>
      <c r="M514" s="256"/>
      <c r="N514" s="256"/>
      <c r="O514" s="256"/>
      <c r="P514" s="256"/>
      <c r="Q514" s="256"/>
      <c r="R514" s="256"/>
    </row>
    <row r="515" spans="2:18" x14ac:dyDescent="0.2">
      <c r="B515" s="449" t="s">
        <v>969</v>
      </c>
      <c r="C515" s="450">
        <v>5000000</v>
      </c>
      <c r="F515" s="443"/>
      <c r="G515" s="457"/>
      <c r="H515" s="458"/>
      <c r="I515" s="319"/>
      <c r="J515" s="319"/>
      <c r="K515" s="256"/>
      <c r="L515" s="256"/>
      <c r="M515" s="256"/>
      <c r="N515" s="256"/>
      <c r="O515" s="256"/>
      <c r="P515" s="256"/>
      <c r="Q515" s="256"/>
      <c r="R515" s="256"/>
    </row>
    <row r="516" spans="2:18" ht="15" x14ac:dyDescent="0.25">
      <c r="B516" s="406" t="s">
        <v>1</v>
      </c>
      <c r="C516" s="288">
        <f>SUM(C513:C515)</f>
        <v>19000000</v>
      </c>
      <c r="F516" s="443"/>
      <c r="G516" s="457"/>
      <c r="H516" s="458"/>
      <c r="I516" s="319"/>
      <c r="J516" s="319"/>
      <c r="K516" s="256"/>
      <c r="L516" s="256"/>
      <c r="M516" s="256"/>
      <c r="N516" s="256"/>
      <c r="O516" s="256"/>
      <c r="P516" s="256"/>
      <c r="Q516" s="256"/>
      <c r="R516" s="256"/>
    </row>
    <row r="517" spans="2:18" x14ac:dyDescent="0.2">
      <c r="B517" s="443"/>
      <c r="C517" s="443"/>
      <c r="D517" s="455"/>
      <c r="E517" s="456"/>
      <c r="F517" s="443"/>
      <c r="G517" s="457"/>
      <c r="H517" s="4"/>
      <c r="I517" s="319"/>
      <c r="J517" s="319"/>
      <c r="K517" s="256"/>
      <c r="L517" s="256"/>
      <c r="M517" s="256"/>
      <c r="N517" s="256"/>
      <c r="O517" s="256"/>
      <c r="P517" s="256"/>
      <c r="Q517" s="256"/>
      <c r="R517" s="256"/>
    </row>
    <row r="518" spans="2:18" x14ac:dyDescent="0.2">
      <c r="B518" s="4"/>
      <c r="C518" s="454"/>
      <c r="D518" s="455"/>
      <c r="E518" s="456"/>
      <c r="F518" s="443"/>
      <c r="G518" s="457"/>
      <c r="H518" s="4"/>
      <c r="I518" s="319"/>
      <c r="J518" s="319"/>
      <c r="K518" s="256"/>
      <c r="L518" s="256"/>
      <c r="M518" s="256"/>
      <c r="N518" s="256"/>
      <c r="O518" s="256"/>
      <c r="P518" s="256"/>
      <c r="Q518" s="256"/>
      <c r="R518" s="256"/>
    </row>
    <row r="519" spans="2:18" s="4" customFormat="1" ht="15" x14ac:dyDescent="0.25">
      <c r="B519" s="432" t="s">
        <v>970</v>
      </c>
      <c r="D519" s="2"/>
    </row>
    <row r="520" spans="2:18" s="4" customFormat="1" ht="15" x14ac:dyDescent="0.25">
      <c r="B520" s="432" t="s">
        <v>825</v>
      </c>
      <c r="C520" s="432" t="s">
        <v>8</v>
      </c>
      <c r="D520" s="2"/>
    </row>
    <row r="521" spans="2:18" s="4" customFormat="1" ht="18.95" customHeight="1" x14ac:dyDescent="0.2">
      <c r="B521" s="386" t="s">
        <v>971</v>
      </c>
      <c r="C521" s="386">
        <v>4000000</v>
      </c>
      <c r="D521" s="2"/>
    </row>
    <row r="522" spans="2:18" s="4" customFormat="1" ht="19.5" customHeight="1" x14ac:dyDescent="0.25">
      <c r="B522" s="459" t="s">
        <v>972</v>
      </c>
      <c r="C522" s="459">
        <f>C521*10%</f>
        <v>400000</v>
      </c>
      <c r="D522" s="2"/>
    </row>
    <row r="523" spans="2:18" s="4" customFormat="1" ht="19.5" customHeight="1" x14ac:dyDescent="0.2">
      <c r="B523" s="383" t="s">
        <v>973</v>
      </c>
      <c r="C523" s="383">
        <v>1000000</v>
      </c>
      <c r="D523" s="336"/>
    </row>
    <row r="524" spans="2:18" s="4" customFormat="1" ht="19.5" customHeight="1" x14ac:dyDescent="0.2">
      <c r="B524" s="383" t="s">
        <v>974</v>
      </c>
      <c r="C524" s="460">
        <f>C522*C523</f>
        <v>400000000000</v>
      </c>
      <c r="D524" s="336"/>
    </row>
    <row r="525" spans="2:18" s="4" customFormat="1" ht="19.5" customHeight="1" x14ac:dyDescent="0.2">
      <c r="B525" s="383" t="s">
        <v>975</v>
      </c>
      <c r="C525" s="461">
        <v>3.7499999999999999E-2</v>
      </c>
    </row>
    <row r="526" spans="2:18" s="4" customFormat="1" ht="19.5" customHeight="1" x14ac:dyDescent="0.2">
      <c r="B526" s="383" t="s">
        <v>976</v>
      </c>
      <c r="C526" s="462">
        <v>4.0000000000000002E-4</v>
      </c>
      <c r="D526" s="463"/>
    </row>
    <row r="527" spans="2:18" s="4" customFormat="1" ht="36.6" customHeight="1" x14ac:dyDescent="0.25">
      <c r="B527" s="52" t="s">
        <v>977</v>
      </c>
      <c r="C527" s="459">
        <f>C523*(C525+C526)</f>
        <v>37899.999999999993</v>
      </c>
    </row>
    <row r="528" spans="2:18" s="4" customFormat="1" ht="36.6" customHeight="1" x14ac:dyDescent="0.25">
      <c r="B528" s="398" t="s">
        <v>978</v>
      </c>
      <c r="C528" s="464">
        <f>C527*50%</f>
        <v>18949.999999999996</v>
      </c>
    </row>
    <row r="529" spans="2:18" x14ac:dyDescent="0.2">
      <c r="B529" s="443"/>
      <c r="C529" s="443"/>
      <c r="D529" s="455"/>
      <c r="E529" s="456"/>
      <c r="F529" s="443"/>
      <c r="G529" s="457"/>
      <c r="H529" s="458"/>
      <c r="I529" s="319"/>
      <c r="J529" s="319"/>
      <c r="K529" s="256"/>
      <c r="L529" s="256"/>
      <c r="M529" s="256"/>
      <c r="N529" s="256"/>
      <c r="O529" s="256"/>
      <c r="P529" s="256"/>
      <c r="Q529" s="256"/>
      <c r="R529" s="256"/>
    </row>
    <row r="530" spans="2:18" ht="15" x14ac:dyDescent="0.25">
      <c r="B530" s="459" t="s">
        <v>979</v>
      </c>
      <c r="C530" s="465" t="s">
        <v>980</v>
      </c>
      <c r="D530" s="465" t="s">
        <v>981</v>
      </c>
      <c r="E530" s="465" t="s">
        <v>1</v>
      </c>
      <c r="F530" s="443"/>
      <c r="G530" s="457"/>
      <c r="H530" s="458"/>
      <c r="I530" s="319"/>
      <c r="J530" s="319"/>
      <c r="K530" s="256"/>
      <c r="L530" s="256"/>
      <c r="M530" s="256"/>
      <c r="N530" s="256"/>
      <c r="O530" s="256"/>
      <c r="P530" s="256"/>
      <c r="Q530" s="256"/>
      <c r="R530" s="256"/>
    </row>
    <row r="531" spans="2:18" s="4" customFormat="1" ht="19.5" customHeight="1" x14ac:dyDescent="0.2">
      <c r="B531" s="443"/>
      <c r="C531" s="383">
        <v>1500000</v>
      </c>
      <c r="D531" s="383">
        <v>500</v>
      </c>
      <c r="E531" s="383">
        <f>D531*C531</f>
        <v>750000000</v>
      </c>
    </row>
    <row r="532" spans="2:18" x14ac:dyDescent="0.2">
      <c r="B532" s="456"/>
      <c r="C532" s="456"/>
      <c r="D532" s="455"/>
      <c r="E532" s="456"/>
      <c r="F532" s="443"/>
      <c r="G532" s="457"/>
      <c r="H532" s="458"/>
      <c r="I532" s="319"/>
      <c r="J532" s="319"/>
      <c r="K532" s="256"/>
      <c r="L532" s="256"/>
      <c r="M532" s="256"/>
      <c r="N532" s="256"/>
      <c r="O532" s="256"/>
      <c r="P532" s="256"/>
      <c r="Q532" s="256"/>
      <c r="R532" s="256"/>
    </row>
    <row r="533" spans="2:18" ht="15" x14ac:dyDescent="0.25">
      <c r="B533" s="406" t="s">
        <v>982</v>
      </c>
      <c r="C533" s="454"/>
      <c r="D533" s="455"/>
      <c r="E533" s="456"/>
      <c r="F533" s="443"/>
      <c r="G533" s="457"/>
      <c r="H533" s="458"/>
      <c r="I533" s="319"/>
      <c r="J533" s="319"/>
      <c r="K533" s="256"/>
      <c r="L533" s="256"/>
      <c r="M533" s="256"/>
      <c r="N533" s="256"/>
      <c r="O533" s="256"/>
      <c r="P533" s="256"/>
      <c r="Q533" s="256"/>
      <c r="R533" s="256"/>
    </row>
    <row r="534" spans="2:18" ht="15" x14ac:dyDescent="0.25">
      <c r="B534" s="466" t="s">
        <v>983</v>
      </c>
      <c r="C534" s="441"/>
      <c r="D534" s="441"/>
      <c r="E534" s="441"/>
      <c r="F534" s="441"/>
      <c r="G534" s="441"/>
      <c r="H534" s="441"/>
      <c r="I534" s="441"/>
      <c r="J534" s="441"/>
      <c r="K534" s="441"/>
      <c r="L534" s="441"/>
      <c r="M534" s="441"/>
      <c r="N534" s="441"/>
      <c r="O534" s="441"/>
      <c r="P534" s="441"/>
      <c r="Q534" s="441"/>
      <c r="R534" s="118"/>
    </row>
    <row r="535" spans="2:18" x14ac:dyDescent="0.2">
      <c r="B535" s="467" t="s">
        <v>984</v>
      </c>
      <c r="C535" s="468">
        <v>40000000</v>
      </c>
      <c r="D535" s="441"/>
      <c r="E535" s="441"/>
      <c r="F535" s="441"/>
      <c r="G535" s="441"/>
      <c r="H535" s="441"/>
      <c r="I535" s="441"/>
      <c r="J535" s="441"/>
      <c r="K535" s="441"/>
      <c r="L535" s="441"/>
      <c r="M535" s="441"/>
      <c r="N535" s="441"/>
      <c r="O535" s="441"/>
      <c r="P535" s="441"/>
      <c r="Q535" s="441"/>
      <c r="R535" s="118"/>
    </row>
    <row r="536" spans="2:18" x14ac:dyDescent="0.2">
      <c r="B536" s="467" t="s">
        <v>985</v>
      </c>
      <c r="C536" s="468">
        <v>50000000</v>
      </c>
      <c r="D536" s="441"/>
      <c r="E536" s="441"/>
      <c r="F536" s="441"/>
      <c r="G536" s="441"/>
      <c r="H536" s="441"/>
      <c r="I536" s="441"/>
      <c r="J536" s="441"/>
      <c r="K536" s="441"/>
      <c r="L536" s="441"/>
      <c r="M536" s="441"/>
      <c r="N536" s="441"/>
      <c r="O536" s="441"/>
      <c r="P536" s="441"/>
      <c r="Q536" s="441"/>
      <c r="R536" s="118"/>
    </row>
    <row r="537" spans="2:18" x14ac:dyDescent="0.2">
      <c r="B537" s="467" t="s">
        <v>986</v>
      </c>
      <c r="C537" s="468">
        <v>5000000</v>
      </c>
      <c r="D537" s="441"/>
      <c r="E537" s="441"/>
      <c r="F537" s="441"/>
      <c r="G537" s="441"/>
      <c r="H537" s="441"/>
      <c r="I537" s="441"/>
      <c r="J537" s="441"/>
      <c r="K537" s="441"/>
      <c r="L537" s="441"/>
      <c r="M537" s="441"/>
      <c r="N537" s="441"/>
      <c r="O537" s="441"/>
      <c r="P537" s="441"/>
      <c r="Q537" s="441"/>
      <c r="R537" s="118"/>
    </row>
    <row r="538" spans="2:18" ht="15" x14ac:dyDescent="0.25">
      <c r="B538" s="392" t="s">
        <v>1</v>
      </c>
      <c r="C538" s="392">
        <f>SUM(C535:C537)</f>
        <v>95000000</v>
      </c>
      <c r="D538" s="441"/>
      <c r="E538" s="441"/>
      <c r="F538" s="441"/>
      <c r="G538" s="441"/>
      <c r="H538" s="441"/>
      <c r="I538" s="441"/>
      <c r="J538" s="441"/>
      <c r="K538" s="441"/>
      <c r="L538" s="441"/>
      <c r="M538" s="441"/>
      <c r="N538" s="441"/>
      <c r="O538" s="441"/>
      <c r="P538" s="441"/>
      <c r="Q538" s="441"/>
      <c r="R538" s="118"/>
    </row>
    <row r="539" spans="2:18" s="4" customFormat="1" ht="15" x14ac:dyDescent="0.25">
      <c r="B539" s="469"/>
      <c r="C539" s="470"/>
      <c r="D539" s="441"/>
      <c r="E539" s="441"/>
      <c r="F539" s="441"/>
      <c r="G539" s="441"/>
      <c r="H539" s="441"/>
      <c r="I539" s="441"/>
      <c r="J539" s="441"/>
      <c r="K539" s="441"/>
      <c r="L539" s="441"/>
      <c r="M539" s="441"/>
      <c r="N539" s="441"/>
      <c r="O539" s="441"/>
      <c r="P539" s="441"/>
      <c r="Q539" s="441"/>
      <c r="R539" s="119"/>
    </row>
    <row r="540" spans="2:18" ht="15" x14ac:dyDescent="0.25">
      <c r="B540" s="466" t="s">
        <v>987</v>
      </c>
      <c r="C540" s="441"/>
      <c r="D540" s="441"/>
      <c r="E540" s="441"/>
      <c r="F540" s="441"/>
      <c r="G540" s="441"/>
      <c r="H540" s="441"/>
      <c r="I540" s="441"/>
      <c r="J540" s="441"/>
      <c r="K540" s="441"/>
      <c r="L540" s="441"/>
      <c r="M540" s="441"/>
      <c r="N540" s="441"/>
      <c r="O540" s="441"/>
      <c r="P540" s="441"/>
      <c r="Q540" s="441"/>
      <c r="R540" s="118"/>
    </row>
    <row r="541" spans="2:18" x14ac:dyDescent="0.2">
      <c r="B541" s="467" t="s">
        <v>988</v>
      </c>
      <c r="C541" s="471">
        <v>25000000</v>
      </c>
      <c r="D541" s="441"/>
      <c r="E541" s="441"/>
      <c r="F541" s="441"/>
      <c r="G541" s="441"/>
      <c r="H541" s="441"/>
      <c r="I541" s="441"/>
      <c r="J541" s="441"/>
      <c r="K541" s="441"/>
      <c r="L541" s="441"/>
      <c r="M541" s="441"/>
      <c r="N541" s="441"/>
      <c r="O541" s="441"/>
      <c r="P541" s="441"/>
      <c r="Q541" s="441"/>
      <c r="R541" s="118"/>
    </row>
    <row r="542" spans="2:18" x14ac:dyDescent="0.2">
      <c r="B542" s="467" t="s">
        <v>989</v>
      </c>
      <c r="C542" s="471">
        <v>20000000</v>
      </c>
      <c r="D542" s="441"/>
      <c r="E542" s="441"/>
      <c r="F542" s="441"/>
      <c r="G542" s="441"/>
      <c r="H542" s="441"/>
      <c r="I542" s="441"/>
      <c r="J542" s="441"/>
      <c r="K542" s="441"/>
      <c r="L542" s="441"/>
      <c r="M542" s="441"/>
      <c r="N542" s="441"/>
      <c r="O542" s="441"/>
      <c r="P542" s="441"/>
      <c r="Q542" s="441"/>
      <c r="R542" s="118"/>
    </row>
    <row r="543" spans="2:18" x14ac:dyDescent="0.2">
      <c r="B543" s="467" t="s">
        <v>986</v>
      </c>
      <c r="C543" s="468">
        <v>5000000</v>
      </c>
      <c r="D543" s="441"/>
      <c r="E543" s="441"/>
      <c r="F543" s="441"/>
      <c r="G543" s="441"/>
      <c r="H543" s="441"/>
      <c r="I543" s="441"/>
      <c r="J543" s="441"/>
      <c r="K543" s="441"/>
      <c r="L543" s="441"/>
      <c r="M543" s="441"/>
      <c r="N543" s="441"/>
      <c r="O543" s="441"/>
      <c r="P543" s="441"/>
      <c r="Q543" s="441"/>
      <c r="R543" s="118"/>
    </row>
    <row r="544" spans="2:18" ht="15" x14ac:dyDescent="0.25">
      <c r="B544" s="392" t="s">
        <v>1</v>
      </c>
      <c r="C544" s="392">
        <f>C541+C542+C543</f>
        <v>50000000</v>
      </c>
      <c r="D544" s="441"/>
      <c r="E544" s="441"/>
      <c r="F544" s="441"/>
      <c r="G544" s="441"/>
      <c r="H544" s="441"/>
      <c r="I544" s="441"/>
      <c r="J544" s="441"/>
      <c r="K544" s="441"/>
      <c r="L544" s="441"/>
      <c r="M544" s="441"/>
      <c r="N544" s="441"/>
      <c r="O544" s="441"/>
      <c r="P544" s="441"/>
      <c r="Q544" s="441"/>
      <c r="R544" s="118"/>
    </row>
    <row r="545" spans="2:18" x14ac:dyDescent="0.2">
      <c r="B545" s="441"/>
      <c r="C545" s="441"/>
      <c r="D545" s="455"/>
      <c r="E545" s="456"/>
      <c r="F545" s="443"/>
      <c r="G545" s="457"/>
      <c r="H545" s="458"/>
      <c r="I545" s="319"/>
      <c r="J545" s="319"/>
      <c r="K545" s="256"/>
      <c r="L545" s="256"/>
      <c r="M545" s="256"/>
      <c r="N545" s="256"/>
      <c r="O545" s="256"/>
      <c r="P545" s="256"/>
      <c r="Q545" s="256"/>
      <c r="R545" s="256"/>
    </row>
    <row r="546" spans="2:18" ht="26.45" customHeight="1" x14ac:dyDescent="0.25">
      <c r="B546" s="406" t="s">
        <v>990</v>
      </c>
      <c r="C546" s="454"/>
      <c r="F546" s="443"/>
      <c r="G546" s="457"/>
      <c r="H546" s="458"/>
      <c r="I546" s="319"/>
      <c r="J546" s="319"/>
      <c r="K546" s="256"/>
      <c r="L546" s="256"/>
      <c r="M546" s="256"/>
      <c r="N546" s="256"/>
      <c r="O546" s="256"/>
      <c r="P546" s="256"/>
      <c r="Q546" s="256"/>
      <c r="R546" s="256"/>
    </row>
    <row r="547" spans="2:18" x14ac:dyDescent="0.2">
      <c r="B547" s="449" t="s">
        <v>991</v>
      </c>
      <c r="C547" s="472">
        <v>1250000</v>
      </c>
      <c r="D547" s="2" t="s">
        <v>992</v>
      </c>
      <c r="F547" s="443"/>
      <c r="G547" s="457"/>
      <c r="H547" s="458"/>
      <c r="I547" s="319"/>
      <c r="J547" s="319"/>
      <c r="K547" s="256"/>
      <c r="L547" s="256"/>
      <c r="M547" s="256"/>
      <c r="N547" s="256"/>
      <c r="O547" s="256"/>
      <c r="P547" s="256"/>
      <c r="Q547" s="256"/>
      <c r="R547" s="256"/>
    </row>
    <row r="548" spans="2:18" x14ac:dyDescent="0.2">
      <c r="B548" s="29" t="s">
        <v>993</v>
      </c>
      <c r="C548" s="67">
        <v>300</v>
      </c>
      <c r="D548" s="2" t="s">
        <v>994</v>
      </c>
      <c r="F548" s="443"/>
      <c r="G548" s="457"/>
      <c r="H548" s="458"/>
      <c r="I548" s="319"/>
      <c r="J548" s="319"/>
      <c r="K548" s="256"/>
      <c r="L548" s="256"/>
      <c r="M548" s="256"/>
      <c r="N548" s="256"/>
      <c r="O548" s="256"/>
      <c r="P548" s="256"/>
      <c r="Q548" s="256"/>
      <c r="R548" s="256"/>
    </row>
    <row r="549" spans="2:18" ht="15" x14ac:dyDescent="0.25">
      <c r="B549" s="473" t="s">
        <v>995</v>
      </c>
      <c r="C549" s="473">
        <f>C547*C548</f>
        <v>375000000</v>
      </c>
      <c r="F549" s="443"/>
      <c r="G549" s="457"/>
      <c r="H549" s="458"/>
      <c r="I549" s="319"/>
      <c r="J549" s="319"/>
      <c r="K549" s="256"/>
      <c r="L549" s="256"/>
      <c r="M549" s="256"/>
      <c r="N549" s="256"/>
      <c r="O549" s="256"/>
      <c r="P549" s="256"/>
      <c r="Q549" s="256"/>
      <c r="R549" s="256"/>
    </row>
    <row r="550" spans="2:18" x14ac:dyDescent="0.2">
      <c r="B550" s="456"/>
      <c r="C550" s="456"/>
      <c r="F550" s="443"/>
      <c r="G550" s="457"/>
      <c r="H550" s="458"/>
      <c r="I550" s="319"/>
      <c r="J550" s="319"/>
      <c r="K550" s="256"/>
      <c r="L550" s="256"/>
      <c r="M550" s="256"/>
      <c r="N550" s="256"/>
      <c r="O550" s="256"/>
      <c r="P550" s="256"/>
      <c r="Q550" s="256"/>
      <c r="R550" s="256"/>
    </row>
    <row r="551" spans="2:18" ht="15" x14ac:dyDescent="0.25">
      <c r="B551" s="474" t="s">
        <v>996</v>
      </c>
      <c r="C551" s="475" t="s">
        <v>6</v>
      </c>
      <c r="D551" s="441"/>
      <c r="E551" s="441"/>
      <c r="F551" s="441"/>
      <c r="G551" s="441"/>
      <c r="H551" s="441"/>
      <c r="I551" s="441"/>
      <c r="J551" s="441"/>
      <c r="K551" s="441"/>
      <c r="L551" s="441"/>
      <c r="M551" s="441"/>
      <c r="N551" s="441"/>
      <c r="O551" s="441"/>
      <c r="P551" s="441"/>
      <c r="Q551" s="441"/>
      <c r="R551" s="118"/>
    </row>
    <row r="552" spans="2:18" ht="28.5" x14ac:dyDescent="0.2">
      <c r="B552" s="59" t="s">
        <v>997</v>
      </c>
      <c r="C552" s="62">
        <v>45000000</v>
      </c>
      <c r="D552" s="441"/>
      <c r="E552" s="441"/>
      <c r="F552" s="441"/>
      <c r="G552" s="441"/>
      <c r="H552" s="441"/>
      <c r="I552" s="441"/>
      <c r="J552" s="441"/>
      <c r="K552" s="441"/>
      <c r="L552" s="441"/>
      <c r="M552" s="441"/>
      <c r="N552" s="441"/>
      <c r="O552" s="441"/>
      <c r="P552" s="441"/>
      <c r="Q552" s="441"/>
      <c r="R552" s="118"/>
    </row>
    <row r="553" spans="2:18" x14ac:dyDescent="0.2">
      <c r="B553" s="59" t="s">
        <v>998</v>
      </c>
      <c r="C553" s="62">
        <v>48000000</v>
      </c>
      <c r="D553" s="441"/>
      <c r="E553" s="441"/>
      <c r="F553" s="441"/>
      <c r="G553" s="441"/>
      <c r="H553" s="441"/>
      <c r="I553" s="441"/>
      <c r="J553" s="441"/>
      <c r="K553" s="441"/>
      <c r="L553" s="441"/>
      <c r="M553" s="441"/>
      <c r="N553" s="441"/>
      <c r="O553" s="441"/>
      <c r="P553" s="441"/>
      <c r="Q553" s="441"/>
      <c r="R553" s="118"/>
    </row>
    <row r="554" spans="2:18" ht="28.5" x14ac:dyDescent="0.2">
      <c r="B554" s="59" t="s">
        <v>999</v>
      </c>
      <c r="C554" s="62">
        <v>75000000</v>
      </c>
      <c r="D554" s="441"/>
      <c r="E554" s="441"/>
      <c r="F554" s="441"/>
      <c r="G554" s="441"/>
      <c r="H554" s="441"/>
      <c r="I554" s="441"/>
      <c r="J554" s="441"/>
      <c r="K554" s="441"/>
      <c r="L554" s="441"/>
      <c r="M554" s="441"/>
      <c r="N554" s="441"/>
      <c r="O554" s="441"/>
      <c r="P554" s="441"/>
      <c r="Q554" s="441"/>
      <c r="R554" s="118"/>
    </row>
    <row r="555" spans="2:18" x14ac:dyDescent="0.2">
      <c r="B555" s="59" t="s">
        <v>1000</v>
      </c>
      <c r="C555" s="62">
        <v>46000000</v>
      </c>
      <c r="D555" s="441"/>
      <c r="E555" s="441"/>
      <c r="F555" s="441"/>
      <c r="G555" s="441"/>
      <c r="H555" s="441"/>
      <c r="I555" s="441"/>
      <c r="J555" s="441"/>
      <c r="K555" s="441"/>
      <c r="L555" s="441"/>
      <c r="M555" s="441"/>
      <c r="N555" s="441"/>
      <c r="O555" s="441"/>
      <c r="P555" s="441"/>
      <c r="Q555" s="441"/>
      <c r="R555" s="118"/>
    </row>
    <row r="556" spans="2:18" ht="28.5" x14ac:dyDescent="0.2">
      <c r="B556" s="59" t="s">
        <v>1117</v>
      </c>
      <c r="C556" s="62">
        <v>23000000</v>
      </c>
      <c r="D556" s="441"/>
      <c r="E556" s="441"/>
      <c r="F556" s="441"/>
      <c r="G556" s="441"/>
      <c r="H556" s="441"/>
      <c r="I556" s="441"/>
      <c r="J556" s="441"/>
      <c r="K556" s="441"/>
      <c r="L556" s="441"/>
      <c r="M556" s="441"/>
      <c r="N556" s="441"/>
      <c r="O556" s="441"/>
      <c r="P556" s="441"/>
      <c r="Q556" s="441"/>
      <c r="R556" s="118"/>
    </row>
    <row r="557" spans="2:18" ht="28.5" x14ac:dyDescent="0.2">
      <c r="B557" s="59" t="s">
        <v>1120</v>
      </c>
      <c r="C557" s="62">
        <v>20000000</v>
      </c>
      <c r="D557" s="441"/>
      <c r="E557" s="441"/>
      <c r="F557" s="441"/>
      <c r="G557" s="441"/>
      <c r="H557" s="441"/>
      <c r="I557" s="441"/>
      <c r="J557" s="441"/>
      <c r="K557" s="441"/>
      <c r="L557" s="441"/>
      <c r="M557" s="441"/>
      <c r="N557" s="441"/>
      <c r="O557" s="441"/>
      <c r="P557" s="441"/>
      <c r="Q557" s="441"/>
      <c r="R557" s="118"/>
    </row>
    <row r="558" spans="2:18" ht="15" x14ac:dyDescent="0.25">
      <c r="B558" s="474" t="s">
        <v>1</v>
      </c>
      <c r="C558" s="476">
        <f>SUM(C552:C556)</f>
        <v>237000000</v>
      </c>
      <c r="D558" s="441"/>
      <c r="E558" s="441"/>
      <c r="F558" s="441"/>
      <c r="G558" s="441"/>
      <c r="H558" s="441"/>
      <c r="I558" s="441"/>
      <c r="J558" s="441"/>
      <c r="K558" s="441"/>
      <c r="L558" s="441"/>
      <c r="M558" s="441"/>
      <c r="N558" s="441"/>
      <c r="O558" s="441"/>
      <c r="P558" s="441"/>
      <c r="Q558" s="441"/>
      <c r="R558" s="118"/>
    </row>
    <row r="559" spans="2:18" ht="15" x14ac:dyDescent="0.25">
      <c r="B559" s="317" t="s">
        <v>1001</v>
      </c>
      <c r="C559"/>
      <c r="D559"/>
      <c r="E559"/>
      <c r="F559" s="441"/>
      <c r="G559" s="441"/>
      <c r="H559" s="441"/>
      <c r="I559" s="441"/>
      <c r="J559" s="441"/>
      <c r="K559" s="441"/>
      <c r="L559" s="441"/>
      <c r="M559" s="441"/>
      <c r="N559" s="441"/>
      <c r="O559" s="441"/>
      <c r="P559" s="441"/>
      <c r="Q559" s="441"/>
      <c r="R559" s="118"/>
    </row>
    <row r="560" spans="2:18" x14ac:dyDescent="0.2">
      <c r="B560" s="441"/>
      <c r="C560" s="441"/>
      <c r="D560" s="441"/>
      <c r="E560" s="441"/>
      <c r="F560" s="441"/>
      <c r="G560" s="441"/>
      <c r="H560" s="441"/>
      <c r="I560" s="441"/>
      <c r="J560" s="441"/>
      <c r="K560" s="441"/>
      <c r="L560" s="441"/>
      <c r="M560" s="441"/>
      <c r="N560" s="441"/>
      <c r="O560" s="441"/>
      <c r="P560" s="441"/>
      <c r="Q560" s="441"/>
      <c r="R560" s="118"/>
    </row>
    <row r="561" spans="2:24" ht="15" x14ac:dyDescent="0.25">
      <c r="B561" s="432" t="s">
        <v>1002</v>
      </c>
      <c r="C561" s="454"/>
      <c r="D561" s="455"/>
      <c r="E561" s="457"/>
      <c r="F561" s="443"/>
      <c r="G561" s="457"/>
      <c r="H561" s="458"/>
      <c r="I561" s="319"/>
      <c r="J561" s="319"/>
      <c r="K561" s="256"/>
      <c r="L561" s="256"/>
      <c r="M561" s="256"/>
      <c r="N561" s="256"/>
      <c r="O561" s="256"/>
      <c r="P561" s="256"/>
      <c r="Q561" s="256"/>
      <c r="R561" s="256"/>
    </row>
    <row r="562" spans="2:24" ht="15" x14ac:dyDescent="0.25">
      <c r="B562" s="432" t="s">
        <v>1003</v>
      </c>
      <c r="C562" s="454">
        <v>135000</v>
      </c>
      <c r="D562" s="455"/>
      <c r="E562" s="457"/>
      <c r="F562" s="443"/>
      <c r="G562" s="457"/>
      <c r="H562" s="458"/>
      <c r="I562" s="319"/>
      <c r="J562" s="319"/>
      <c r="K562" s="256"/>
      <c r="L562" s="256"/>
      <c r="M562" s="256"/>
      <c r="N562" s="256"/>
      <c r="O562" s="256"/>
      <c r="P562" s="256"/>
      <c r="Q562" s="256"/>
      <c r="R562" s="256"/>
    </row>
    <row r="563" spans="2:24" ht="15" x14ac:dyDescent="0.25">
      <c r="B563" s="372" t="s">
        <v>739</v>
      </c>
      <c r="C563" s="69">
        <v>90000</v>
      </c>
      <c r="D563" s="287"/>
    </row>
    <row r="564" spans="2:24" ht="15" x14ac:dyDescent="0.25">
      <c r="B564" s="372" t="s">
        <v>1004</v>
      </c>
      <c r="C564" s="450">
        <f>C563*80%</f>
        <v>72000</v>
      </c>
      <c r="D564" s="287"/>
    </row>
    <row r="565" spans="2:24" ht="15" x14ac:dyDescent="0.25">
      <c r="B565" s="372" t="s">
        <v>72</v>
      </c>
      <c r="C565" s="450">
        <f>C564/5</f>
        <v>14400</v>
      </c>
    </row>
    <row r="566" spans="2:24" ht="15" x14ac:dyDescent="0.25">
      <c r="B566" s="372" t="s">
        <v>1005</v>
      </c>
      <c r="C566" s="450">
        <v>200</v>
      </c>
    </row>
    <row r="567" spans="2:24" ht="15" x14ac:dyDescent="0.25">
      <c r="B567" s="372" t="s">
        <v>1006</v>
      </c>
      <c r="C567" s="372">
        <f>C565/C566</f>
        <v>72</v>
      </c>
    </row>
    <row r="568" spans="2:24" ht="15" x14ac:dyDescent="0.25">
      <c r="B568" s="372" t="s">
        <v>1007</v>
      </c>
      <c r="C568" s="372">
        <f>C562/C563</f>
        <v>1.5</v>
      </c>
      <c r="D568" s="287"/>
    </row>
    <row r="569" spans="2:24" x14ac:dyDescent="0.2">
      <c r="B569" s="456"/>
      <c r="C569" s="456"/>
      <c r="D569" s="455"/>
      <c r="E569" s="456"/>
      <c r="F569" s="443"/>
      <c r="G569" s="457"/>
      <c r="H569" s="443"/>
      <c r="I569" s="319"/>
      <c r="J569" s="319"/>
      <c r="K569" s="256"/>
      <c r="L569" s="256"/>
      <c r="M569" s="256"/>
      <c r="N569" s="256"/>
      <c r="O569" s="256"/>
      <c r="P569" s="256"/>
      <c r="Q569" s="256"/>
      <c r="R569" s="256"/>
    </row>
    <row r="570" spans="2:24" ht="15" x14ac:dyDescent="0.25">
      <c r="B570" s="477" t="s">
        <v>1008</v>
      </c>
      <c r="C570" s="441"/>
      <c r="D570" s="455"/>
      <c r="E570" s="456"/>
      <c r="F570" s="443"/>
      <c r="G570" s="457"/>
      <c r="H570" s="458"/>
      <c r="I570" s="319"/>
      <c r="J570" s="319"/>
      <c r="K570" s="256"/>
      <c r="L570" s="256"/>
      <c r="M570" s="256"/>
      <c r="N570" s="256"/>
      <c r="O570" s="256"/>
      <c r="P570" s="256"/>
      <c r="Q570" s="256"/>
      <c r="R570" s="256"/>
    </row>
    <row r="571" spans="2:24" ht="15" x14ac:dyDescent="0.25">
      <c r="B571" s="477" t="s">
        <v>1009</v>
      </c>
      <c r="C571" s="478">
        <v>1250000</v>
      </c>
      <c r="D571" s="455"/>
      <c r="E571" s="456"/>
      <c r="F571" s="443"/>
      <c r="G571" s="457"/>
      <c r="H571" s="458"/>
      <c r="I571" s="319"/>
      <c r="J571" s="319"/>
      <c r="K571" s="256"/>
      <c r="L571" s="256"/>
      <c r="M571" s="256"/>
      <c r="N571" s="256"/>
      <c r="O571" s="256"/>
      <c r="P571" s="256"/>
      <c r="Q571" s="256"/>
      <c r="R571" s="256"/>
      <c r="S571" s="256"/>
      <c r="T571" s="256"/>
      <c r="U571" s="256"/>
      <c r="V571" s="256"/>
      <c r="W571" s="256"/>
      <c r="X571" s="256"/>
    </row>
    <row r="572" spans="2:24" ht="15" x14ac:dyDescent="0.25">
      <c r="B572" s="466" t="s">
        <v>6</v>
      </c>
      <c r="C572" s="479">
        <v>28000</v>
      </c>
      <c r="D572" s="455"/>
      <c r="E572" s="480">
        <v>2025</v>
      </c>
      <c r="F572" s="480">
        <v>2026</v>
      </c>
      <c r="G572" s="480">
        <v>2027</v>
      </c>
      <c r="H572" s="480">
        <v>2028</v>
      </c>
      <c r="I572" s="480">
        <v>2029</v>
      </c>
      <c r="J572" s="480">
        <v>2030</v>
      </c>
      <c r="K572" s="480">
        <v>2031</v>
      </c>
      <c r="L572" s="480">
        <v>2032</v>
      </c>
      <c r="M572" s="480">
        <v>2033</v>
      </c>
      <c r="N572" s="480">
        <v>2034</v>
      </c>
      <c r="O572" s="480">
        <v>2035</v>
      </c>
      <c r="P572" s="480">
        <v>2036</v>
      </c>
      <c r="Q572" s="480">
        <v>2037</v>
      </c>
      <c r="R572" s="256"/>
      <c r="S572" s="256"/>
      <c r="T572" s="256"/>
      <c r="U572" s="256"/>
      <c r="V572" s="256"/>
      <c r="W572" s="256"/>
      <c r="X572" s="256"/>
    </row>
    <row r="573" spans="2:24" ht="15" x14ac:dyDescent="0.25">
      <c r="B573" s="477" t="s">
        <v>6</v>
      </c>
      <c r="C573" s="392">
        <v>13600</v>
      </c>
      <c r="D573" s="481">
        <v>15000</v>
      </c>
      <c r="E573" s="482">
        <f>D573+(D573*6%)</f>
        <v>15900</v>
      </c>
      <c r="F573" s="482">
        <f t="shared" ref="F573:Q573" si="4">E573+(E573*6%)</f>
        <v>16854</v>
      </c>
      <c r="G573" s="482">
        <f t="shared" si="4"/>
        <v>17865.240000000002</v>
      </c>
      <c r="H573" s="482">
        <f t="shared" si="4"/>
        <v>18937.154400000003</v>
      </c>
      <c r="I573" s="482">
        <f t="shared" si="4"/>
        <v>20073.383664000005</v>
      </c>
      <c r="J573" s="482">
        <f t="shared" si="4"/>
        <v>21277.786683840004</v>
      </c>
      <c r="K573" s="482">
        <f t="shared" si="4"/>
        <v>22554.453884870403</v>
      </c>
      <c r="L573" s="482">
        <f t="shared" si="4"/>
        <v>23907.721117962628</v>
      </c>
      <c r="M573" s="482">
        <f t="shared" si="4"/>
        <v>25342.184385040386</v>
      </c>
      <c r="N573" s="482">
        <f t="shared" si="4"/>
        <v>26862.715448142808</v>
      </c>
      <c r="O573" s="482">
        <f t="shared" si="4"/>
        <v>28474.478375031376</v>
      </c>
      <c r="P573" s="482">
        <f t="shared" si="4"/>
        <v>30182.947077533259</v>
      </c>
      <c r="Q573" s="482">
        <f t="shared" si="4"/>
        <v>31993.923902185255</v>
      </c>
      <c r="R573" s="256"/>
      <c r="S573" s="256"/>
      <c r="T573" s="256"/>
      <c r="U573" s="256"/>
      <c r="V573" s="256"/>
      <c r="W573" s="256"/>
      <c r="X573" s="256"/>
    </row>
    <row r="574" spans="2:24" ht="15" x14ac:dyDescent="0.25">
      <c r="B574" s="477" t="s">
        <v>1010</v>
      </c>
      <c r="C574" s="392"/>
      <c r="D574" s="483"/>
      <c r="E574" s="482">
        <f>$C$571*E573</f>
        <v>19875000000</v>
      </c>
      <c r="F574" s="482">
        <f>$C$571*F573</f>
        <v>21067500000</v>
      </c>
      <c r="G574" s="482">
        <f t="shared" ref="G574:Q574" si="5">$C$571*G573</f>
        <v>22331550000.000004</v>
      </c>
      <c r="H574" s="482">
        <f t="shared" si="5"/>
        <v>23671443000.000004</v>
      </c>
      <c r="I574" s="482">
        <f t="shared" si="5"/>
        <v>25091729580.000004</v>
      </c>
      <c r="J574" s="482">
        <f t="shared" si="5"/>
        <v>26597233354.800007</v>
      </c>
      <c r="K574" s="482">
        <f t="shared" si="5"/>
        <v>28193067356.088005</v>
      </c>
      <c r="L574" s="482">
        <f t="shared" si="5"/>
        <v>29884651397.453285</v>
      </c>
      <c r="M574" s="482">
        <f t="shared" si="5"/>
        <v>31677730481.300484</v>
      </c>
      <c r="N574" s="482">
        <f t="shared" si="5"/>
        <v>33578394310.178509</v>
      </c>
      <c r="O574" s="482">
        <f t="shared" si="5"/>
        <v>35593097968.789223</v>
      </c>
      <c r="P574" s="482">
        <f t="shared" si="5"/>
        <v>37728683846.916573</v>
      </c>
      <c r="Q574" s="482">
        <f t="shared" si="5"/>
        <v>39992404877.731567</v>
      </c>
      <c r="R574" s="256"/>
      <c r="S574" s="256"/>
      <c r="T574" s="256"/>
      <c r="U574" s="256"/>
      <c r="V574" s="256"/>
      <c r="W574" s="256"/>
      <c r="X574" s="256"/>
    </row>
    <row r="575" spans="2:24" ht="15" x14ac:dyDescent="0.25">
      <c r="B575" s="477" t="s">
        <v>1011</v>
      </c>
      <c r="C575" s="484">
        <v>0.15</v>
      </c>
      <c r="D575" s="483"/>
      <c r="E575" s="485">
        <f>$C$575*E574</f>
        <v>2981250000</v>
      </c>
      <c r="F575" s="485">
        <f t="shared" ref="F575:Q575" si="6">$C$575*F574</f>
        <v>3160125000</v>
      </c>
      <c r="G575" s="485">
        <f t="shared" si="6"/>
        <v>3349732500.0000005</v>
      </c>
      <c r="H575" s="485">
        <f t="shared" si="6"/>
        <v>3550716450.0000005</v>
      </c>
      <c r="I575" s="485">
        <f t="shared" si="6"/>
        <v>3763759437.0000005</v>
      </c>
      <c r="J575" s="485">
        <f t="shared" si="6"/>
        <v>3989585003.2200007</v>
      </c>
      <c r="K575" s="485">
        <f t="shared" si="6"/>
        <v>4228960103.4132004</v>
      </c>
      <c r="L575" s="485">
        <f t="shared" si="6"/>
        <v>4482697709.6179924</v>
      </c>
      <c r="M575" s="485">
        <f t="shared" si="6"/>
        <v>4751659572.1950722</v>
      </c>
      <c r="N575" s="485">
        <f t="shared" si="6"/>
        <v>5036759146.5267763</v>
      </c>
      <c r="O575" s="485">
        <f t="shared" si="6"/>
        <v>5338964695.3183832</v>
      </c>
      <c r="P575" s="485">
        <f t="shared" si="6"/>
        <v>5659302577.0374861</v>
      </c>
      <c r="Q575" s="485">
        <f t="shared" si="6"/>
        <v>5998860731.6597347</v>
      </c>
      <c r="R575" s="256"/>
      <c r="S575" s="256"/>
      <c r="T575" s="256"/>
      <c r="U575" s="256"/>
      <c r="V575" s="256"/>
      <c r="W575" s="256"/>
      <c r="X575" s="256"/>
    </row>
    <row r="576" spans="2:24" s="4" customFormat="1" ht="15" x14ac:dyDescent="0.25">
      <c r="B576" s="441" t="s">
        <v>1012</v>
      </c>
      <c r="C576" s="441"/>
      <c r="D576" s="441"/>
      <c r="E576" s="441"/>
      <c r="F576" s="441"/>
      <c r="G576" s="486"/>
      <c r="H576" s="486"/>
      <c r="I576" s="486"/>
      <c r="J576" s="486"/>
      <c r="K576" s="486"/>
      <c r="L576" s="486"/>
      <c r="M576" s="486"/>
      <c r="N576" s="486"/>
      <c r="O576" s="486"/>
      <c r="P576" s="486"/>
      <c r="Q576" s="486"/>
      <c r="R576" s="486"/>
      <c r="S576" s="486"/>
      <c r="T576" s="486"/>
      <c r="U576" s="486"/>
      <c r="V576" s="486"/>
      <c r="W576" s="486"/>
    </row>
    <row r="577" spans="2:23" s="4" customFormat="1" ht="15" x14ac:dyDescent="0.25">
      <c r="B577" s="441"/>
      <c r="C577" s="441"/>
      <c r="D577" s="441"/>
      <c r="E577" s="441"/>
      <c r="F577" s="441"/>
      <c r="G577" s="486"/>
      <c r="H577" s="486"/>
      <c r="I577" s="486"/>
      <c r="J577" s="486"/>
      <c r="K577" s="486"/>
      <c r="L577" s="486"/>
      <c r="M577" s="486"/>
      <c r="N577" s="486"/>
      <c r="O577" s="486"/>
      <c r="P577" s="486"/>
      <c r="Q577" s="486"/>
      <c r="R577" s="486"/>
      <c r="S577" s="486"/>
      <c r="T577" s="486"/>
      <c r="U577" s="486"/>
      <c r="V577" s="486"/>
      <c r="W577" s="486"/>
    </row>
    <row r="578" spans="2:23" x14ac:dyDescent="0.2">
      <c r="B578" s="457"/>
      <c r="C578" s="457"/>
      <c r="D578" s="457"/>
      <c r="E578" s="457"/>
      <c r="F578" s="443"/>
      <c r="G578" s="457"/>
      <c r="H578" s="458"/>
      <c r="I578" s="319"/>
      <c r="J578" s="319"/>
      <c r="K578" s="256"/>
      <c r="L578" s="256"/>
      <c r="M578" s="256"/>
      <c r="N578" s="256"/>
      <c r="O578" s="256"/>
      <c r="P578" s="256"/>
      <c r="Q578" s="256"/>
      <c r="R578" s="256"/>
    </row>
    <row r="579" spans="2:23" ht="15" x14ac:dyDescent="0.25">
      <c r="B579" s="406" t="s">
        <v>1013</v>
      </c>
      <c r="C579" s="487" t="s">
        <v>8</v>
      </c>
      <c r="D579" s="487" t="s">
        <v>1014</v>
      </c>
      <c r="E579" s="487" t="s">
        <v>74</v>
      </c>
      <c r="F579" s="443"/>
      <c r="G579" s="457"/>
      <c r="H579" s="458"/>
      <c r="I579" s="319"/>
      <c r="J579" s="319"/>
      <c r="K579" s="256"/>
      <c r="L579" s="256"/>
      <c r="M579" s="256"/>
      <c r="N579" s="256"/>
      <c r="O579" s="256"/>
      <c r="P579" s="256"/>
      <c r="Q579" s="256"/>
      <c r="R579" s="256"/>
    </row>
    <row r="580" spans="2:23" ht="15" x14ac:dyDescent="0.25">
      <c r="B580" s="406" t="s">
        <v>1015</v>
      </c>
      <c r="C580" s="488">
        <v>30000000</v>
      </c>
      <c r="D580" s="488">
        <v>50</v>
      </c>
      <c r="E580" s="69">
        <f>50*10</f>
        <v>500</v>
      </c>
      <c r="F580" s="443"/>
      <c r="G580" s="457"/>
      <c r="H580" s="458"/>
      <c r="I580" s="319"/>
      <c r="J580" s="319"/>
      <c r="K580" s="256"/>
      <c r="L580" s="256"/>
      <c r="M580" s="256"/>
      <c r="N580" s="256"/>
      <c r="O580" s="256"/>
      <c r="P580" s="256"/>
      <c r="Q580" s="256"/>
      <c r="R580" s="256"/>
    </row>
    <row r="581" spans="2:23" ht="15" x14ac:dyDescent="0.25">
      <c r="B581" s="406" t="s">
        <v>1016</v>
      </c>
      <c r="C581" s="488">
        <v>10000000</v>
      </c>
      <c r="D581" s="488">
        <v>100</v>
      </c>
      <c r="E581" s="69">
        <f>100*10</f>
        <v>1000</v>
      </c>
      <c r="F581" s="443"/>
      <c r="G581" s="457"/>
      <c r="H581" s="458"/>
      <c r="I581" s="319"/>
      <c r="J581" s="319"/>
      <c r="K581" s="256"/>
      <c r="L581" s="256"/>
      <c r="M581" s="256"/>
      <c r="N581" s="256"/>
      <c r="O581" s="256"/>
      <c r="P581" s="256"/>
      <c r="Q581" s="256"/>
      <c r="R581" s="256"/>
    </row>
    <row r="582" spans="2:23" x14ac:dyDescent="0.2">
      <c r="B582" s="457" t="s">
        <v>1017</v>
      </c>
      <c r="C582" s="457"/>
      <c r="D582" s="455"/>
      <c r="E582" s="456"/>
      <c r="F582" s="443"/>
      <c r="G582" s="457"/>
      <c r="H582" s="458"/>
      <c r="I582" s="319"/>
      <c r="J582" s="319"/>
      <c r="K582" s="256"/>
      <c r="L582" s="256"/>
      <c r="M582" s="256"/>
      <c r="N582" s="256"/>
      <c r="O582" s="256"/>
      <c r="P582" s="256"/>
      <c r="Q582" s="256"/>
      <c r="R582" s="256"/>
    </row>
    <row r="583" spans="2:23" x14ac:dyDescent="0.2">
      <c r="B583" s="457"/>
      <c r="C583" s="457"/>
      <c r="D583" s="455"/>
      <c r="E583" s="456"/>
      <c r="F583" s="443"/>
      <c r="G583" s="457"/>
      <c r="H583" s="458"/>
      <c r="I583" s="319"/>
      <c r="J583" s="319"/>
      <c r="K583" s="256"/>
      <c r="L583" s="256"/>
      <c r="M583" s="256"/>
      <c r="N583" s="256"/>
      <c r="O583" s="256"/>
      <c r="P583" s="256"/>
      <c r="Q583" s="256"/>
      <c r="R583" s="256"/>
    </row>
    <row r="584" spans="2:23" s="4" customFormat="1" ht="20.45" customHeight="1" x14ac:dyDescent="0.25">
      <c r="B584" s="406" t="s">
        <v>1018</v>
      </c>
      <c r="C584" s="336"/>
      <c r="D584" s="336"/>
    </row>
    <row r="585" spans="2:23" ht="21.6" customHeight="1" x14ac:dyDescent="0.2">
      <c r="B585" s="446" t="s">
        <v>952</v>
      </c>
      <c r="C585" s="30">
        <v>38004</v>
      </c>
      <c r="D585" s="256"/>
      <c r="E585" s="256"/>
      <c r="F585" s="443"/>
      <c r="G585" s="256"/>
      <c r="H585" s="256"/>
      <c r="I585" s="319"/>
      <c r="J585" s="319"/>
      <c r="K585" s="256"/>
      <c r="L585" s="256"/>
      <c r="M585" s="256"/>
      <c r="N585" s="256"/>
      <c r="O585" s="256"/>
      <c r="P585" s="256"/>
      <c r="Q585" s="256"/>
      <c r="R585" s="256"/>
    </row>
    <row r="586" spans="2:23" ht="46.5" customHeight="1" x14ac:dyDescent="0.2">
      <c r="B586" s="447" t="s">
        <v>953</v>
      </c>
      <c r="C586" s="448" t="s">
        <v>954</v>
      </c>
      <c r="D586" s="448" t="s">
        <v>955</v>
      </c>
      <c r="E586" s="448" t="s">
        <v>1019</v>
      </c>
      <c r="F586" s="448" t="s">
        <v>957</v>
      </c>
      <c r="G586" s="448" t="s">
        <v>1020</v>
      </c>
      <c r="H586" s="448" t="s">
        <v>1021</v>
      </c>
      <c r="I586" s="319"/>
      <c r="J586" s="319"/>
      <c r="K586" s="256"/>
      <c r="L586" s="256"/>
      <c r="M586" s="256"/>
      <c r="N586" s="256"/>
      <c r="O586" s="256"/>
      <c r="P586" s="256"/>
      <c r="Q586" s="256"/>
      <c r="R586" s="256"/>
    </row>
    <row r="587" spans="2:23" x14ac:dyDescent="0.2">
      <c r="B587" s="449" t="s">
        <v>960</v>
      </c>
      <c r="C587" s="67">
        <v>23563</v>
      </c>
      <c r="D587" s="450">
        <f>C585*C587</f>
        <v>895488252</v>
      </c>
      <c r="E587" s="451">
        <v>0.03</v>
      </c>
      <c r="F587" s="30">
        <f>D587*E587</f>
        <v>26864647.559999999</v>
      </c>
      <c r="G587" s="451">
        <v>0.5</v>
      </c>
      <c r="H587" s="30">
        <f>F587*G587</f>
        <v>13432323.779999999</v>
      </c>
      <c r="I587" s="319"/>
      <c r="J587" s="319"/>
      <c r="K587" s="256"/>
      <c r="L587" s="256"/>
      <c r="M587" s="256"/>
      <c r="N587" s="256"/>
      <c r="O587" s="256"/>
      <c r="P587" s="256"/>
      <c r="Q587" s="256"/>
      <c r="R587" s="256"/>
    </row>
    <row r="588" spans="2:23" x14ac:dyDescent="0.2">
      <c r="B588" s="452" t="s">
        <v>961</v>
      </c>
      <c r="C588" s="67">
        <v>204995</v>
      </c>
      <c r="D588" s="450">
        <f>C585*C588</f>
        <v>7790629980</v>
      </c>
      <c r="E588" s="451">
        <v>0.02</v>
      </c>
      <c r="F588" s="30">
        <f>D588*E588</f>
        <v>155812599.59999999</v>
      </c>
      <c r="G588" s="451">
        <v>0.15</v>
      </c>
      <c r="H588" s="30">
        <f>F588*G588</f>
        <v>23371889.939999998</v>
      </c>
      <c r="I588" s="319"/>
      <c r="J588" s="319"/>
      <c r="K588" s="256"/>
      <c r="L588" s="256"/>
      <c r="M588" s="256"/>
      <c r="N588" s="256"/>
      <c r="O588" s="256"/>
      <c r="P588" s="256"/>
      <c r="Q588" s="256"/>
      <c r="R588" s="256"/>
    </row>
    <row r="589" spans="2:23" x14ac:dyDescent="0.2">
      <c r="B589" s="449" t="s">
        <v>962</v>
      </c>
      <c r="C589" s="67">
        <v>1736565</v>
      </c>
      <c r="D589" s="450">
        <f>C585*C589</f>
        <v>65996416260</v>
      </c>
      <c r="E589" s="453">
        <v>5.0000000000000001E-3</v>
      </c>
      <c r="F589" s="30">
        <f>D589*E589</f>
        <v>329982081.30000001</v>
      </c>
      <c r="G589" s="451">
        <v>0.1</v>
      </c>
      <c r="H589" s="30">
        <f>F589*G589</f>
        <v>32998208.130000003</v>
      </c>
      <c r="I589" s="319"/>
      <c r="J589" s="319"/>
      <c r="K589" s="256"/>
      <c r="L589" s="256"/>
      <c r="M589" s="256"/>
      <c r="N589" s="256"/>
      <c r="O589" s="256"/>
      <c r="P589" s="256"/>
      <c r="Q589" s="256"/>
      <c r="R589" s="256"/>
    </row>
    <row r="590" spans="2:23" s="4" customFormat="1" ht="36.6" customHeight="1" x14ac:dyDescent="0.2">
      <c r="B590" s="457"/>
      <c r="C590" s="457"/>
    </row>
    <row r="591" spans="2:23" ht="15" x14ac:dyDescent="0.25">
      <c r="B591" s="477" t="s">
        <v>1022</v>
      </c>
      <c r="C591" s="432" t="s">
        <v>8</v>
      </c>
      <c r="D591"/>
      <c r="E591"/>
      <c r="F591"/>
      <c r="G591"/>
      <c r="H591"/>
      <c r="I591"/>
      <c r="J591" s="489"/>
    </row>
    <row r="592" spans="2:23" ht="15" x14ac:dyDescent="0.25">
      <c r="B592" s="29" t="s">
        <v>1023</v>
      </c>
      <c r="C592" s="490">
        <v>185000000</v>
      </c>
      <c r="D592"/>
      <c r="E592"/>
      <c r="F592"/>
      <c r="G592"/>
      <c r="H592"/>
      <c r="I592"/>
      <c r="J592" s="489"/>
    </row>
    <row r="593" spans="2:18" ht="15" x14ac:dyDescent="0.25">
      <c r="B593" s="33" t="s">
        <v>1024</v>
      </c>
      <c r="C593" s="491">
        <f>C601</f>
        <v>88530750</v>
      </c>
      <c r="D593"/>
      <c r="E593"/>
      <c r="F593"/>
      <c r="G593"/>
      <c r="H593"/>
      <c r="I593"/>
      <c r="J593" s="489"/>
    </row>
    <row r="594" spans="2:18" ht="15" x14ac:dyDescent="0.25">
      <c r="B594" s="29" t="s">
        <v>1025</v>
      </c>
      <c r="C594" s="490">
        <v>18200000</v>
      </c>
      <c r="E594"/>
      <c r="F594"/>
      <c r="G594"/>
      <c r="H594"/>
      <c r="I594"/>
      <c r="J594" s="489"/>
    </row>
    <row r="595" spans="2:18" ht="15" x14ac:dyDescent="0.25">
      <c r="B595" s="29" t="s">
        <v>1026</v>
      </c>
      <c r="C595" s="490">
        <v>125433000</v>
      </c>
      <c r="E595"/>
      <c r="F595"/>
      <c r="G595"/>
      <c r="H595"/>
      <c r="I595"/>
      <c r="J595" s="489"/>
    </row>
    <row r="596" spans="2:18" ht="15" x14ac:dyDescent="0.25">
      <c r="B596" s="477" t="s">
        <v>1027</v>
      </c>
      <c r="C596" s="392">
        <f>SUM(C592:C594)</f>
        <v>291730750</v>
      </c>
      <c r="D596"/>
      <c r="E596" s="489"/>
      <c r="F596" s="489"/>
      <c r="G596" s="489"/>
      <c r="H596" s="489"/>
      <c r="I596" s="489"/>
      <c r="J596" s="489"/>
    </row>
    <row r="597" spans="2:18" ht="15" x14ac:dyDescent="0.25">
      <c r="B597" s="489" t="s">
        <v>1028</v>
      </c>
      <c r="C597"/>
      <c r="D597"/>
      <c r="E597" s="489"/>
      <c r="F597" s="489"/>
      <c r="G597" s="489"/>
      <c r="H597" s="489"/>
      <c r="I597" s="489"/>
      <c r="J597" s="489"/>
    </row>
    <row r="598" spans="2:18" ht="15" x14ac:dyDescent="0.25">
      <c r="B598" s="489"/>
      <c r="C598"/>
      <c r="D598"/>
      <c r="E598" s="489"/>
      <c r="F598" s="489"/>
      <c r="G598" s="489"/>
      <c r="H598" s="489"/>
      <c r="I598" s="489"/>
      <c r="J598" s="489"/>
    </row>
    <row r="599" spans="2:18" s="4" customFormat="1" ht="15" x14ac:dyDescent="0.25">
      <c r="B599" s="59" t="s">
        <v>1024</v>
      </c>
      <c r="C599" s="492">
        <v>72534000</v>
      </c>
    </row>
    <row r="600" spans="2:18" ht="15" x14ac:dyDescent="0.25">
      <c r="B600" s="59" t="s">
        <v>1029</v>
      </c>
      <c r="C600" s="492">
        <v>104527500</v>
      </c>
      <c r="E600" s="489"/>
      <c r="F600" s="489"/>
      <c r="G600" s="489"/>
      <c r="H600" s="489"/>
      <c r="I600" s="489"/>
      <c r="J600" s="489"/>
    </row>
    <row r="601" spans="2:18" ht="15" x14ac:dyDescent="0.25">
      <c r="B601" s="477" t="s">
        <v>1030</v>
      </c>
      <c r="C601" s="392">
        <f>AVERAGE(C599:C600)</f>
        <v>88530750</v>
      </c>
      <c r="E601" s="489"/>
      <c r="F601" s="489"/>
      <c r="G601" s="489"/>
      <c r="H601" s="489"/>
      <c r="I601" s="489"/>
      <c r="J601" s="489"/>
    </row>
    <row r="602" spans="2:18" x14ac:dyDescent="0.2">
      <c r="B602" s="489" t="s">
        <v>1031</v>
      </c>
      <c r="C602" s="489"/>
      <c r="E602" s="489"/>
      <c r="F602" s="489"/>
      <c r="G602" s="489"/>
      <c r="H602" s="489"/>
      <c r="I602" s="489"/>
      <c r="J602" s="489"/>
    </row>
    <row r="603" spans="2:18" ht="15" x14ac:dyDescent="0.25">
      <c r="B603" s="493"/>
      <c r="C603" s="494"/>
      <c r="D603" s="494"/>
      <c r="E603" s="489"/>
      <c r="F603" s="489"/>
      <c r="G603" s="489"/>
      <c r="H603" s="489"/>
      <c r="I603" s="489"/>
      <c r="J603" s="489"/>
    </row>
    <row r="604" spans="2:18" ht="15" x14ac:dyDescent="0.25">
      <c r="B604" s="495" t="s">
        <v>1032</v>
      </c>
      <c r="C604" s="496" t="s">
        <v>8</v>
      </c>
      <c r="E604" s="489"/>
      <c r="F604" s="441"/>
      <c r="G604" s="441"/>
      <c r="H604" s="441"/>
      <c r="I604" s="441"/>
      <c r="J604" s="441"/>
      <c r="K604" s="441"/>
      <c r="L604" s="441"/>
      <c r="M604" s="441"/>
      <c r="N604" s="441"/>
      <c r="O604" s="441"/>
      <c r="P604" s="441"/>
      <c r="Q604" s="441"/>
      <c r="R604" s="118"/>
    </row>
    <row r="605" spans="2:18" ht="28.5" x14ac:dyDescent="0.2">
      <c r="B605" s="59" t="s">
        <v>997</v>
      </c>
      <c r="C605" s="62">
        <v>45000000</v>
      </c>
      <c r="D605" s="441" t="s">
        <v>1033</v>
      </c>
      <c r="E605" s="489"/>
      <c r="F605" s="441"/>
      <c r="G605" s="441"/>
      <c r="H605" s="441"/>
      <c r="I605" s="441"/>
      <c r="J605" s="441"/>
      <c r="K605" s="441"/>
      <c r="L605" s="441"/>
      <c r="M605" s="441"/>
      <c r="N605" s="441"/>
      <c r="O605" s="441"/>
      <c r="P605" s="441"/>
      <c r="Q605" s="441"/>
      <c r="R605" s="118"/>
    </row>
    <row r="606" spans="2:18" x14ac:dyDescent="0.2">
      <c r="B606" s="59" t="s">
        <v>998</v>
      </c>
      <c r="C606" s="62">
        <v>48000000</v>
      </c>
      <c r="D606" s="441"/>
      <c r="E606" s="489"/>
      <c r="F606" s="441"/>
      <c r="G606" s="441"/>
      <c r="H606" s="441"/>
      <c r="I606" s="441"/>
      <c r="J606" s="441"/>
      <c r="K606" s="441"/>
      <c r="L606" s="441"/>
      <c r="M606" s="441"/>
      <c r="N606" s="441"/>
      <c r="O606" s="441"/>
      <c r="P606" s="441"/>
      <c r="Q606" s="441"/>
      <c r="R606" s="118"/>
    </row>
    <row r="607" spans="2:18" ht="28.5" x14ac:dyDescent="0.2">
      <c r="B607" s="59" t="s">
        <v>1034</v>
      </c>
      <c r="C607" s="62">
        <v>78000000</v>
      </c>
      <c r="D607" s="441"/>
      <c r="E607" s="441"/>
      <c r="F607" s="441"/>
      <c r="G607" s="441"/>
      <c r="H607" s="441"/>
      <c r="I607" s="441"/>
      <c r="J607" s="441"/>
      <c r="K607" s="441"/>
      <c r="L607" s="441"/>
      <c r="M607" s="441"/>
      <c r="N607" s="441"/>
      <c r="O607" s="441"/>
      <c r="P607" s="441"/>
      <c r="Q607" s="441"/>
      <c r="R607" s="118"/>
    </row>
    <row r="608" spans="2:18" x14ac:dyDescent="0.2">
      <c r="B608" s="59" t="s">
        <v>1035</v>
      </c>
      <c r="C608" s="62">
        <v>36000000</v>
      </c>
      <c r="D608" s="441"/>
      <c r="E608" s="441"/>
      <c r="F608" s="441"/>
      <c r="G608" s="441"/>
      <c r="H608" s="441"/>
      <c r="I608" s="441"/>
      <c r="J608" s="441"/>
      <c r="K608" s="441"/>
      <c r="L608" s="441"/>
      <c r="M608" s="441"/>
      <c r="N608" s="441"/>
      <c r="O608" s="441"/>
      <c r="P608" s="441"/>
      <c r="Q608" s="441"/>
      <c r="R608" s="118"/>
    </row>
    <row r="609" spans="2:18" ht="28.5" x14ac:dyDescent="0.2">
      <c r="B609" s="59" t="s">
        <v>1036</v>
      </c>
      <c r="C609" s="62">
        <v>72000000</v>
      </c>
      <c r="D609" s="441"/>
      <c r="E609" s="441"/>
      <c r="F609" s="441"/>
      <c r="G609" s="441"/>
      <c r="H609" s="441"/>
      <c r="I609" s="441"/>
      <c r="J609" s="441"/>
      <c r="K609" s="441"/>
      <c r="L609" s="441"/>
      <c r="M609" s="441"/>
      <c r="N609" s="441"/>
      <c r="O609" s="441"/>
      <c r="P609" s="441"/>
      <c r="Q609" s="441"/>
      <c r="R609" s="118"/>
    </row>
    <row r="610" spans="2:18" ht="28.5" x14ac:dyDescent="0.2">
      <c r="B610" s="59" t="s">
        <v>1037</v>
      </c>
      <c r="C610" s="62">
        <v>46000000</v>
      </c>
      <c r="D610" s="441"/>
      <c r="E610" s="441"/>
      <c r="F610" s="441"/>
      <c r="G610" s="441"/>
      <c r="H610" s="441"/>
      <c r="I610" s="441"/>
      <c r="J610" s="441"/>
      <c r="K610" s="441"/>
      <c r="L610" s="441"/>
      <c r="M610" s="441"/>
      <c r="N610" s="441"/>
      <c r="O610" s="441"/>
      <c r="P610" s="441"/>
      <c r="Q610" s="441"/>
      <c r="R610" s="118"/>
    </row>
    <row r="611" spans="2:18" x14ac:dyDescent="0.2">
      <c r="B611" s="59" t="s">
        <v>1116</v>
      </c>
      <c r="C611" s="62">
        <v>23000000</v>
      </c>
      <c r="D611" s="441"/>
      <c r="E611" s="441"/>
      <c r="F611" s="441"/>
      <c r="G611" s="441"/>
      <c r="H611" s="441"/>
      <c r="I611" s="441"/>
      <c r="J611" s="441"/>
      <c r="K611" s="441"/>
      <c r="L611" s="441"/>
      <c r="M611" s="441"/>
      <c r="N611" s="441"/>
      <c r="O611" s="441"/>
      <c r="P611" s="441"/>
      <c r="Q611" s="441"/>
      <c r="R611" s="118"/>
    </row>
    <row r="612" spans="2:18" ht="28.5" x14ac:dyDescent="0.2">
      <c r="B612" s="59" t="s">
        <v>1117</v>
      </c>
      <c r="C612" s="62">
        <v>24000000</v>
      </c>
      <c r="D612" s="441"/>
      <c r="E612" s="441"/>
      <c r="F612" s="441"/>
      <c r="G612" s="441"/>
      <c r="H612" s="441"/>
      <c r="I612" s="441"/>
      <c r="J612" s="441"/>
      <c r="K612" s="441"/>
      <c r="L612" s="441"/>
      <c r="M612" s="441"/>
      <c r="N612" s="441"/>
      <c r="O612" s="441"/>
      <c r="P612" s="441"/>
      <c r="Q612" s="441"/>
      <c r="R612" s="118"/>
    </row>
    <row r="613" spans="2:18" x14ac:dyDescent="0.2">
      <c r="B613" s="59" t="s">
        <v>1118</v>
      </c>
      <c r="C613" s="62">
        <v>20000000</v>
      </c>
      <c r="D613" s="441"/>
      <c r="E613" s="441"/>
      <c r="F613" s="441"/>
      <c r="G613" s="441"/>
      <c r="H613" s="441"/>
      <c r="I613" s="441"/>
      <c r="J613" s="441"/>
      <c r="K613" s="441"/>
      <c r="L613" s="441"/>
      <c r="M613" s="441"/>
      <c r="N613" s="441"/>
      <c r="O613" s="441"/>
      <c r="P613" s="441"/>
      <c r="Q613" s="441"/>
      <c r="R613" s="118"/>
    </row>
    <row r="614" spans="2:18" ht="15" x14ac:dyDescent="0.25">
      <c r="B614" s="495" t="s">
        <v>1</v>
      </c>
      <c r="C614" s="476">
        <f>SUM(C605:C613)</f>
        <v>392000000</v>
      </c>
      <c r="D614" s="441"/>
      <c r="E614" s="441"/>
      <c r="F614" s="441"/>
      <c r="G614" s="441"/>
      <c r="H614" s="441"/>
      <c r="I614" s="441"/>
      <c r="J614" s="441"/>
      <c r="K614" s="441"/>
      <c r="L614" s="441"/>
      <c r="M614" s="441"/>
      <c r="N614" s="441"/>
      <c r="O614" s="441"/>
      <c r="P614" s="441"/>
      <c r="Q614" s="441"/>
      <c r="R614" s="118"/>
    </row>
    <row r="615" spans="2:18" ht="15" x14ac:dyDescent="0.25">
      <c r="B615" s="317" t="s">
        <v>1001</v>
      </c>
      <c r="C615"/>
      <c r="D615" s="441"/>
      <c r="E615" s="441"/>
      <c r="F615" s="441"/>
      <c r="G615" s="441"/>
      <c r="H615" s="441"/>
      <c r="I615" s="441"/>
      <c r="J615" s="441"/>
      <c r="K615" s="441"/>
      <c r="L615" s="441"/>
      <c r="M615" s="441"/>
      <c r="N615" s="441"/>
      <c r="O615" s="441"/>
      <c r="P615" s="441"/>
      <c r="Q615" s="441"/>
      <c r="R615" s="118"/>
    </row>
    <row r="616" spans="2:18" x14ac:dyDescent="0.2">
      <c r="B616" s="441"/>
      <c r="C616" s="441"/>
      <c r="D616" s="441"/>
      <c r="E616" s="441"/>
      <c r="F616" s="441"/>
      <c r="G616" s="441"/>
      <c r="H616" s="441"/>
      <c r="I616" s="441"/>
      <c r="J616" s="441"/>
      <c r="K616" s="441"/>
      <c r="L616" s="441"/>
      <c r="M616" s="441"/>
      <c r="N616" s="441"/>
      <c r="O616" s="441"/>
      <c r="P616" s="441"/>
      <c r="Q616" s="441"/>
      <c r="R616" s="118"/>
    </row>
    <row r="617" spans="2:18" s="4" customFormat="1" ht="15" x14ac:dyDescent="0.25">
      <c r="B617" s="406" t="s">
        <v>1038</v>
      </c>
      <c r="C617" s="336"/>
      <c r="D617" s="336"/>
    </row>
    <row r="618" spans="2:18" x14ac:dyDescent="0.2">
      <c r="B618" s="446" t="s">
        <v>952</v>
      </c>
      <c r="C618" s="30">
        <v>38004</v>
      </c>
      <c r="D618" s="256"/>
      <c r="E618" s="256"/>
      <c r="F618" s="443"/>
      <c r="G618" s="256"/>
      <c r="H618" s="256"/>
      <c r="I618" s="319"/>
      <c r="J618" s="319"/>
      <c r="K618" s="256"/>
      <c r="L618" s="256"/>
      <c r="M618" s="256"/>
      <c r="N618" s="256"/>
      <c r="O618" s="256"/>
      <c r="P618" s="256"/>
      <c r="Q618" s="256"/>
      <c r="R618" s="256"/>
    </row>
    <row r="619" spans="2:18" ht="30" x14ac:dyDescent="0.2">
      <c r="B619" s="447" t="s">
        <v>953</v>
      </c>
      <c r="C619" s="448" t="s">
        <v>954</v>
      </c>
      <c r="D619" s="448" t="s">
        <v>955</v>
      </c>
      <c r="E619" s="448" t="s">
        <v>1019</v>
      </c>
      <c r="F619" s="448" t="s">
        <v>957</v>
      </c>
      <c r="G619" s="448" t="s">
        <v>1020</v>
      </c>
      <c r="H619" s="448" t="s">
        <v>1039</v>
      </c>
      <c r="I619" s="319"/>
      <c r="J619" s="319"/>
      <c r="K619" s="256"/>
      <c r="L619" s="256"/>
      <c r="M619" s="256"/>
      <c r="N619" s="256"/>
      <c r="O619" s="256"/>
      <c r="P619" s="256"/>
      <c r="Q619" s="256"/>
      <c r="R619" s="256"/>
    </row>
    <row r="620" spans="2:18" x14ac:dyDescent="0.2">
      <c r="B620" s="452" t="s">
        <v>961</v>
      </c>
      <c r="C620" s="67">
        <v>204995</v>
      </c>
      <c r="D620" s="450">
        <f>C618*C620</f>
        <v>7790629980</v>
      </c>
      <c r="E620" s="451">
        <v>0.02</v>
      </c>
      <c r="F620" s="30">
        <f>D620*E620</f>
        <v>155812599.59999999</v>
      </c>
      <c r="G620" s="451">
        <v>0.35</v>
      </c>
      <c r="H620" s="30">
        <f>F620*G620</f>
        <v>54534409.859999992</v>
      </c>
      <c r="I620" s="319"/>
      <c r="J620" s="319"/>
      <c r="K620" s="256"/>
      <c r="L620" s="256"/>
      <c r="M620" s="256"/>
      <c r="N620" s="256"/>
      <c r="O620" s="256"/>
      <c r="P620" s="256"/>
      <c r="Q620" s="256"/>
      <c r="R620" s="256"/>
    </row>
    <row r="621" spans="2:18" x14ac:dyDescent="0.2">
      <c r="B621" s="449" t="s">
        <v>962</v>
      </c>
      <c r="C621" s="67">
        <v>1736565</v>
      </c>
      <c r="D621" s="450">
        <f>C618*C621</f>
        <v>65996416260</v>
      </c>
      <c r="E621" s="453">
        <v>5.0000000000000001E-3</v>
      </c>
      <c r="F621" s="30">
        <f>D621*E621</f>
        <v>329982081.30000001</v>
      </c>
      <c r="G621" s="451">
        <v>0.35</v>
      </c>
      <c r="H621" s="30">
        <f>F621*G621</f>
        <v>115493728.455</v>
      </c>
      <c r="I621" s="319"/>
      <c r="J621" s="319"/>
      <c r="K621" s="256"/>
      <c r="L621" s="256"/>
      <c r="M621" s="256"/>
      <c r="N621" s="256"/>
      <c r="O621" s="256"/>
      <c r="P621" s="256"/>
      <c r="Q621" s="256"/>
      <c r="R621" s="256"/>
    </row>
    <row r="622" spans="2:18" x14ac:dyDescent="0.2">
      <c r="B622" s="319"/>
      <c r="C622" s="454"/>
      <c r="D622" s="455"/>
      <c r="E622" s="456"/>
      <c r="F622" s="443"/>
      <c r="G622" s="457"/>
      <c r="H622" s="443"/>
      <c r="I622" s="319"/>
      <c r="J622" s="319"/>
      <c r="K622" s="256"/>
      <c r="L622" s="256"/>
      <c r="M622" s="256"/>
      <c r="N622" s="256"/>
      <c r="O622" s="256"/>
      <c r="P622" s="256"/>
      <c r="Q622" s="256"/>
      <c r="R622" s="256"/>
    </row>
    <row r="623" spans="2:18" x14ac:dyDescent="0.2">
      <c r="B623" s="489"/>
      <c r="C623" s="489"/>
      <c r="D623" s="489"/>
      <c r="E623" s="489"/>
      <c r="F623" s="489"/>
      <c r="G623" s="489"/>
      <c r="H623" s="489"/>
      <c r="I623" s="489"/>
      <c r="J623" s="489"/>
      <c r="K623" s="489"/>
      <c r="L623" s="489"/>
      <c r="M623" s="489"/>
      <c r="N623" s="489"/>
      <c r="O623" s="489"/>
      <c r="P623" s="489"/>
      <c r="Q623" s="489"/>
      <c r="R623" s="489"/>
    </row>
    <row r="624" spans="2:18" s="4" customFormat="1" ht="20.45" customHeight="1" x14ac:dyDescent="0.25">
      <c r="B624" s="406" t="s">
        <v>1040</v>
      </c>
      <c r="C624" s="336"/>
      <c r="D624" s="336"/>
    </row>
    <row r="625" spans="2:18" ht="21.6" customHeight="1" x14ac:dyDescent="0.2">
      <c r="B625" s="446" t="s">
        <v>952</v>
      </c>
      <c r="C625" s="30">
        <v>38004</v>
      </c>
      <c r="D625" s="256"/>
      <c r="E625" s="256"/>
      <c r="F625" s="443"/>
      <c r="G625" s="256"/>
      <c r="H625" s="256"/>
      <c r="I625" s="319"/>
      <c r="J625" s="319"/>
      <c r="K625" s="256"/>
      <c r="L625" s="256"/>
      <c r="M625" s="256"/>
      <c r="N625" s="256"/>
      <c r="O625" s="256"/>
      <c r="P625" s="256"/>
      <c r="Q625" s="256"/>
      <c r="R625" s="256"/>
    </row>
    <row r="626" spans="2:18" ht="46.5" customHeight="1" x14ac:dyDescent="0.2">
      <c r="B626" s="447" t="s">
        <v>953</v>
      </c>
      <c r="C626" s="448" t="s">
        <v>954</v>
      </c>
      <c r="D626" s="448" t="s">
        <v>955</v>
      </c>
      <c r="E626" s="448" t="s">
        <v>1041</v>
      </c>
      <c r="F626" s="448" t="s">
        <v>957</v>
      </c>
      <c r="G626" s="448" t="s">
        <v>1020</v>
      </c>
      <c r="H626" s="448" t="s">
        <v>1021</v>
      </c>
      <c r="I626" s="319"/>
      <c r="J626" s="319"/>
      <c r="K626" s="256"/>
      <c r="L626" s="256"/>
      <c r="M626" s="256"/>
      <c r="N626" s="256"/>
      <c r="O626" s="256"/>
      <c r="P626" s="256"/>
      <c r="Q626" s="256"/>
      <c r="R626" s="256"/>
    </row>
    <row r="627" spans="2:18" x14ac:dyDescent="0.2">
      <c r="B627" s="452" t="s">
        <v>961</v>
      </c>
      <c r="C627" s="67">
        <v>204995</v>
      </c>
      <c r="D627" s="450">
        <f>C625*C627</f>
        <v>7790629980</v>
      </c>
      <c r="E627" s="451">
        <v>0.02</v>
      </c>
      <c r="F627" s="30">
        <f>D627*E627</f>
        <v>155812599.59999999</v>
      </c>
      <c r="G627" s="451">
        <v>0.25</v>
      </c>
      <c r="H627" s="30">
        <f>F627*G627</f>
        <v>38953149.899999999</v>
      </c>
      <c r="I627" s="319"/>
      <c r="J627" s="319"/>
      <c r="K627" s="256"/>
      <c r="L627" s="256"/>
      <c r="M627" s="256"/>
      <c r="N627" s="256"/>
      <c r="O627" s="256"/>
      <c r="P627" s="256"/>
      <c r="Q627" s="256"/>
      <c r="R627" s="256"/>
    </row>
    <row r="628" spans="2:18" x14ac:dyDescent="0.2">
      <c r="B628" s="449" t="s">
        <v>962</v>
      </c>
      <c r="C628" s="67">
        <v>1736565</v>
      </c>
      <c r="D628" s="450">
        <f>C625*C628</f>
        <v>65996416260</v>
      </c>
      <c r="E628" s="453">
        <v>5.0000000000000001E-3</v>
      </c>
      <c r="F628" s="30">
        <f>D628*E628</f>
        <v>329982081.30000001</v>
      </c>
      <c r="G628" s="451">
        <v>0.15</v>
      </c>
      <c r="H628" s="30">
        <f>F628*G628</f>
        <v>49497312.195</v>
      </c>
      <c r="I628" s="319"/>
      <c r="J628" s="319"/>
      <c r="K628" s="256"/>
      <c r="L628" s="256"/>
      <c r="M628" s="256"/>
      <c r="N628" s="256"/>
      <c r="O628" s="256"/>
      <c r="P628" s="256"/>
      <c r="Q628" s="256"/>
      <c r="R628" s="256"/>
    </row>
    <row r="629" spans="2:18" x14ac:dyDescent="0.2">
      <c r="B629" s="489"/>
      <c r="C629" s="489"/>
      <c r="D629" s="455"/>
      <c r="E629" s="456"/>
      <c r="F629" s="443"/>
      <c r="G629" s="457"/>
      <c r="H629" s="443"/>
      <c r="I629" s="319"/>
      <c r="J629" s="319"/>
      <c r="K629" s="256"/>
      <c r="L629" s="256"/>
      <c r="M629" s="256"/>
      <c r="N629" s="256"/>
      <c r="O629" s="256"/>
      <c r="P629" s="256"/>
      <c r="Q629" s="256"/>
      <c r="R629" s="256"/>
    </row>
    <row r="630" spans="2:18" ht="26.45" customHeight="1" x14ac:dyDescent="0.25">
      <c r="B630" s="406" t="s">
        <v>1042</v>
      </c>
      <c r="C630" s="454"/>
      <c r="F630" s="443"/>
      <c r="G630" s="457"/>
      <c r="H630" s="458"/>
      <c r="I630" s="319"/>
      <c r="J630" s="319"/>
      <c r="K630" s="256"/>
      <c r="L630" s="256"/>
      <c r="M630" s="256"/>
      <c r="N630" s="256"/>
      <c r="O630" s="256"/>
      <c r="P630" s="256"/>
      <c r="Q630" s="256"/>
      <c r="R630" s="256"/>
    </row>
    <row r="631" spans="2:18" x14ac:dyDescent="0.2">
      <c r="B631" s="449" t="s">
        <v>1043</v>
      </c>
      <c r="C631" s="472">
        <v>1000000</v>
      </c>
      <c r="F631" s="443"/>
      <c r="G631" s="457"/>
      <c r="H631" s="458"/>
      <c r="I631" s="319"/>
      <c r="J631" s="319"/>
      <c r="K631" s="256"/>
      <c r="L631" s="256"/>
      <c r="M631" s="256"/>
      <c r="N631" s="256"/>
      <c r="O631" s="256"/>
      <c r="P631" s="256"/>
      <c r="Q631" s="256"/>
      <c r="R631" s="256"/>
    </row>
    <row r="632" spans="2:18" x14ac:dyDescent="0.2">
      <c r="B632" s="29" t="s">
        <v>1044</v>
      </c>
      <c r="C632" s="67">
        <f>5000/20</f>
        <v>250</v>
      </c>
      <c r="D632" s="2" t="s">
        <v>1045</v>
      </c>
      <c r="F632" s="443"/>
      <c r="G632" s="457"/>
      <c r="H632" s="458"/>
      <c r="I632" s="319"/>
      <c r="J632" s="319"/>
      <c r="K632" s="256"/>
      <c r="L632" s="256"/>
      <c r="M632" s="256"/>
      <c r="N632" s="256"/>
      <c r="O632" s="256"/>
      <c r="P632" s="256"/>
      <c r="Q632" s="256"/>
      <c r="R632" s="256"/>
    </row>
    <row r="633" spans="2:18" ht="15" x14ac:dyDescent="0.25">
      <c r="B633" s="473" t="s">
        <v>1046</v>
      </c>
      <c r="C633" s="473">
        <f>C631*C632</f>
        <v>250000000</v>
      </c>
      <c r="F633" s="443"/>
      <c r="G633" s="457"/>
      <c r="H633" s="458"/>
      <c r="I633" s="319"/>
      <c r="J633" s="319"/>
      <c r="K633" s="256"/>
      <c r="L633" s="256"/>
      <c r="M633" s="256"/>
      <c r="N633" s="256"/>
      <c r="O633" s="256"/>
      <c r="P633" s="256"/>
      <c r="Q633" s="256"/>
      <c r="R633" s="256"/>
    </row>
    <row r="634" spans="2:18" s="4" customFormat="1" ht="15" x14ac:dyDescent="0.25">
      <c r="B634" s="497"/>
      <c r="C634" s="498"/>
      <c r="F634" s="499"/>
      <c r="G634" s="500"/>
      <c r="H634" s="501"/>
      <c r="I634" s="98"/>
      <c r="J634" s="98"/>
      <c r="K634" s="260"/>
      <c r="L634" s="260"/>
      <c r="M634" s="260"/>
      <c r="N634" s="260"/>
      <c r="O634" s="260"/>
      <c r="P634" s="260"/>
      <c r="Q634" s="260"/>
      <c r="R634" s="260"/>
    </row>
    <row r="635" spans="2:18" ht="21" customHeight="1" x14ac:dyDescent="0.25">
      <c r="B635" s="477" t="s">
        <v>1047</v>
      </c>
      <c r="C635" s="441"/>
      <c r="D635" s="441"/>
      <c r="E635" s="441"/>
      <c r="F635" s="441"/>
      <c r="G635" s="441"/>
      <c r="H635" s="441"/>
      <c r="I635" s="441"/>
      <c r="J635" s="441"/>
      <c r="K635" s="441"/>
      <c r="L635" s="441"/>
      <c r="M635" s="441"/>
      <c r="N635" s="441"/>
      <c r="O635" s="441"/>
      <c r="P635" s="441"/>
      <c r="Q635" s="441"/>
      <c r="R635" s="118"/>
    </row>
    <row r="636" spans="2:18" ht="15" x14ac:dyDescent="0.25">
      <c r="B636" s="477" t="s">
        <v>413</v>
      </c>
      <c r="C636" s="502" t="s">
        <v>1048</v>
      </c>
      <c r="D636" s="502" t="s">
        <v>1049</v>
      </c>
      <c r="E636" s="502" t="s">
        <v>1</v>
      </c>
      <c r="F636" s="441"/>
      <c r="G636" s="441"/>
      <c r="H636" s="441"/>
      <c r="I636" s="441"/>
      <c r="J636" s="441"/>
      <c r="K636" s="441"/>
      <c r="L636" s="441"/>
      <c r="M636" s="441"/>
      <c r="N636" s="441"/>
      <c r="O636" s="441"/>
      <c r="P636" s="441"/>
      <c r="Q636" s="441"/>
      <c r="R636" s="118"/>
    </row>
    <row r="637" spans="2:18" x14ac:dyDescent="0.2">
      <c r="B637" s="467" t="s">
        <v>1050</v>
      </c>
      <c r="C637" s="467" t="s">
        <v>46</v>
      </c>
      <c r="D637" s="467"/>
      <c r="E637" s="467"/>
      <c r="F637" s="441"/>
      <c r="G637" s="441"/>
      <c r="H637" s="441"/>
      <c r="I637" s="441"/>
      <c r="J637" s="441"/>
      <c r="K637" s="441"/>
      <c r="L637" s="441"/>
      <c r="M637" s="441"/>
      <c r="N637" s="441"/>
      <c r="O637" s="441"/>
      <c r="P637" s="441"/>
      <c r="Q637" s="441"/>
      <c r="R637" s="118"/>
    </row>
    <row r="638" spans="2:18" x14ac:dyDescent="0.2">
      <c r="B638" s="467" t="s">
        <v>1051</v>
      </c>
      <c r="C638" s="467">
        <v>120</v>
      </c>
      <c r="D638" s="471">
        <v>1200000</v>
      </c>
      <c r="E638" s="503">
        <f>C638*D638</f>
        <v>144000000</v>
      </c>
      <c r="F638" s="441"/>
      <c r="G638" s="441"/>
      <c r="H638" s="441"/>
      <c r="I638" s="441"/>
      <c r="J638" s="441"/>
      <c r="K638" s="441"/>
      <c r="L638" s="441"/>
      <c r="M638" s="441"/>
      <c r="N638" s="441"/>
      <c r="O638" s="441"/>
      <c r="P638" s="441"/>
      <c r="Q638" s="441"/>
      <c r="R638" s="118"/>
    </row>
    <row r="639" spans="2:18" x14ac:dyDescent="0.2">
      <c r="B639" s="467" t="s">
        <v>1052</v>
      </c>
      <c r="C639" s="471"/>
      <c r="D639" s="471"/>
      <c r="E639" s="471">
        <v>60000000</v>
      </c>
      <c r="F639" s="441"/>
      <c r="G639" s="441"/>
      <c r="H639" s="441"/>
      <c r="I639" s="441"/>
      <c r="J639" s="441"/>
      <c r="K639" s="441"/>
      <c r="L639" s="441"/>
      <c r="M639" s="441"/>
      <c r="N639" s="441"/>
      <c r="O639" s="441"/>
      <c r="P639" s="441"/>
      <c r="Q639" s="441"/>
      <c r="R639" s="118"/>
    </row>
    <row r="640" spans="2:18" ht="15" x14ac:dyDescent="0.25">
      <c r="B640" s="477" t="s">
        <v>1</v>
      </c>
      <c r="C640" s="467"/>
      <c r="D640" s="467"/>
      <c r="E640" s="476">
        <f>E638+E639</f>
        <v>204000000</v>
      </c>
      <c r="F640" s="441"/>
      <c r="G640" s="441"/>
      <c r="H640" s="441"/>
      <c r="I640" s="441"/>
      <c r="J640" s="441"/>
      <c r="K640" s="441"/>
      <c r="L640" s="441"/>
      <c r="M640" s="441"/>
      <c r="N640" s="441"/>
      <c r="O640" s="441"/>
      <c r="P640" s="441"/>
      <c r="Q640" s="441"/>
      <c r="R640" s="118"/>
    </row>
    <row r="641" spans="1:18" s="4" customFormat="1" ht="15" x14ac:dyDescent="0.25">
      <c r="B641" s="441"/>
      <c r="C641" s="441"/>
      <c r="D641" s="441"/>
      <c r="E641" s="504"/>
      <c r="F641" s="441"/>
      <c r="G641" s="441"/>
      <c r="H641" s="441"/>
      <c r="I641" s="441"/>
      <c r="J641" s="441"/>
      <c r="K641" s="441"/>
      <c r="L641" s="441"/>
      <c r="M641" s="441"/>
      <c r="N641" s="441"/>
      <c r="O641" s="441"/>
      <c r="P641" s="441"/>
      <c r="Q641" s="441"/>
      <c r="R641" s="119"/>
    </row>
    <row r="642" spans="1:18" ht="18" customHeight="1" x14ac:dyDescent="0.25">
      <c r="B642" s="477" t="s">
        <v>1053</v>
      </c>
      <c r="C642" s="441"/>
      <c r="D642" s="441"/>
      <c r="E642" s="441"/>
      <c r="F642" s="441"/>
      <c r="G642" s="441"/>
      <c r="H642" s="441"/>
      <c r="I642" s="441"/>
      <c r="J642" s="441"/>
      <c r="K642" s="441"/>
      <c r="L642" s="441"/>
      <c r="M642" s="441"/>
      <c r="N642" s="441"/>
      <c r="O642" s="441"/>
      <c r="P642" s="441"/>
      <c r="Q642" s="441"/>
      <c r="R642" s="118"/>
    </row>
    <row r="643" spans="1:18" ht="15" x14ac:dyDescent="0.25">
      <c r="B643" s="466" t="s">
        <v>1054</v>
      </c>
      <c r="C643" s="502" t="s">
        <v>1048</v>
      </c>
      <c r="D643" s="502" t="s">
        <v>1055</v>
      </c>
      <c r="E643" s="502" t="s">
        <v>1</v>
      </c>
      <c r="F643" s="441"/>
      <c r="G643" s="441"/>
      <c r="H643" s="441"/>
      <c r="I643" s="441"/>
      <c r="J643" s="441"/>
      <c r="K643" s="441"/>
      <c r="L643" s="441"/>
      <c r="M643" s="441"/>
      <c r="N643" s="441"/>
      <c r="O643" s="441"/>
      <c r="P643" s="441"/>
      <c r="Q643" s="441"/>
      <c r="R643" s="118"/>
    </row>
    <row r="644" spans="1:18" x14ac:dyDescent="0.2">
      <c r="B644" s="467" t="s">
        <v>1050</v>
      </c>
      <c r="C644" s="467" t="s">
        <v>46</v>
      </c>
      <c r="D644" s="467"/>
      <c r="E644" s="467"/>
      <c r="F644" s="441"/>
      <c r="G644" s="441"/>
      <c r="H644" s="441"/>
      <c r="I644" s="441"/>
      <c r="J644" s="441"/>
      <c r="K644" s="441"/>
      <c r="L644" s="441"/>
      <c r="M644" s="441"/>
      <c r="N644" s="441"/>
      <c r="O644" s="441"/>
      <c r="P644" s="441"/>
      <c r="Q644" s="441"/>
      <c r="R644" s="118"/>
    </row>
    <row r="645" spans="1:18" x14ac:dyDescent="0.2">
      <c r="B645" s="467" t="s">
        <v>1051</v>
      </c>
      <c r="C645" s="467">
        <v>1000</v>
      </c>
      <c r="D645" s="471">
        <v>750000</v>
      </c>
      <c r="E645" s="503">
        <f>C645*D645</f>
        <v>750000000</v>
      </c>
      <c r="F645" s="441"/>
      <c r="G645" s="441"/>
      <c r="H645" s="441"/>
      <c r="I645" s="441"/>
      <c r="J645" s="441"/>
      <c r="K645" s="441"/>
      <c r="L645" s="441"/>
      <c r="M645" s="441"/>
      <c r="N645" s="441"/>
      <c r="O645" s="441"/>
      <c r="P645" s="441"/>
      <c r="Q645" s="441"/>
      <c r="R645" s="118"/>
    </row>
    <row r="646" spans="1:18" x14ac:dyDescent="0.2">
      <c r="B646" s="467" t="s">
        <v>1052</v>
      </c>
      <c r="C646" s="471"/>
      <c r="D646" s="471"/>
      <c r="E646" s="503">
        <v>240000000</v>
      </c>
      <c r="F646" s="441"/>
      <c r="G646" s="441"/>
      <c r="H646" s="441"/>
      <c r="I646" s="441"/>
      <c r="J646" s="441"/>
      <c r="K646" s="441"/>
      <c r="L646" s="441"/>
      <c r="M646" s="441"/>
      <c r="N646" s="441"/>
      <c r="O646" s="441"/>
      <c r="P646" s="441"/>
      <c r="Q646" s="441"/>
      <c r="R646" s="118"/>
    </row>
    <row r="647" spans="1:18" ht="15" x14ac:dyDescent="0.25">
      <c r="B647" s="477" t="s">
        <v>1</v>
      </c>
      <c r="C647" s="441"/>
      <c r="D647" s="441"/>
      <c r="E647" s="476">
        <f>E645+E646</f>
        <v>990000000</v>
      </c>
      <c r="F647" s="441"/>
      <c r="G647" s="441"/>
      <c r="H647" s="441"/>
      <c r="I647" s="441"/>
      <c r="J647" s="441"/>
      <c r="K647" s="441"/>
      <c r="L647" s="441"/>
      <c r="M647" s="441"/>
      <c r="N647" s="441"/>
      <c r="O647" s="441"/>
      <c r="P647" s="441"/>
      <c r="Q647" s="441"/>
      <c r="R647" s="118"/>
    </row>
    <row r="648" spans="1:18" s="4" customFormat="1" ht="15" x14ac:dyDescent="0.25">
      <c r="A648" s="441"/>
      <c r="B648" s="441"/>
      <c r="C648" s="441"/>
      <c r="D648" s="441"/>
      <c r="E648" s="504"/>
      <c r="F648" s="441"/>
      <c r="G648" s="441"/>
      <c r="H648" s="441"/>
      <c r="I648" s="441"/>
      <c r="J648" s="441"/>
      <c r="K648" s="441"/>
      <c r="L648" s="441"/>
      <c r="M648" s="441"/>
      <c r="N648" s="441"/>
      <c r="O648" s="441"/>
      <c r="P648" s="441"/>
      <c r="Q648" s="441"/>
      <c r="R648" s="119"/>
    </row>
    <row r="649" spans="1:18" s="4" customFormat="1" ht="15" x14ac:dyDescent="0.25">
      <c r="A649" s="441"/>
      <c r="B649" s="441"/>
      <c r="C649" s="441"/>
      <c r="D649" s="441"/>
      <c r="E649" s="504"/>
      <c r="F649" s="441"/>
      <c r="G649" s="441"/>
      <c r="H649" s="441"/>
      <c r="I649" s="441"/>
      <c r="J649" s="441"/>
      <c r="K649" s="441"/>
      <c r="L649" s="441"/>
      <c r="M649" s="441"/>
      <c r="N649" s="441"/>
      <c r="O649" s="441"/>
      <c r="P649" s="441"/>
      <c r="Q649" s="441"/>
      <c r="R649" s="119"/>
    </row>
    <row r="650" spans="1:18" s="4" customFormat="1" ht="20.45" customHeight="1" x14ac:dyDescent="0.25">
      <c r="B650" s="406" t="s">
        <v>1056</v>
      </c>
      <c r="C650" s="336"/>
      <c r="D650" s="336"/>
    </row>
    <row r="651" spans="1:18" ht="21.6" customHeight="1" x14ac:dyDescent="0.2">
      <c r="B651" s="446" t="s">
        <v>952</v>
      </c>
      <c r="C651" s="30">
        <v>38004</v>
      </c>
      <c r="D651" s="256"/>
      <c r="E651" s="256"/>
      <c r="F651" s="443"/>
      <c r="G651" s="256"/>
      <c r="H651" s="256"/>
      <c r="I651" s="319"/>
      <c r="J651" s="319"/>
      <c r="K651" s="256"/>
      <c r="L651" s="256"/>
      <c r="M651" s="256"/>
      <c r="N651" s="256"/>
      <c r="O651" s="256"/>
      <c r="P651" s="256"/>
      <c r="Q651" s="256"/>
      <c r="R651" s="256"/>
    </row>
    <row r="652" spans="1:18" ht="46.5" customHeight="1" x14ac:dyDescent="0.2">
      <c r="B652" s="447" t="s">
        <v>953</v>
      </c>
      <c r="C652" s="448" t="s">
        <v>954</v>
      </c>
      <c r="D652" s="448" t="s">
        <v>955</v>
      </c>
      <c r="E652" s="448" t="s">
        <v>1041</v>
      </c>
      <c r="F652" s="448" t="s">
        <v>957</v>
      </c>
      <c r="G652" s="448" t="s">
        <v>1020</v>
      </c>
      <c r="H652" s="448" t="s">
        <v>1021</v>
      </c>
      <c r="I652" s="319"/>
      <c r="J652" s="319"/>
      <c r="K652" s="256"/>
      <c r="L652" s="256"/>
      <c r="M652" s="256"/>
      <c r="N652" s="256"/>
      <c r="O652" s="256"/>
      <c r="P652" s="256"/>
      <c r="Q652" s="256"/>
      <c r="R652" s="256"/>
    </row>
    <row r="653" spans="1:18" x14ac:dyDescent="0.2">
      <c r="B653" s="449" t="s">
        <v>960</v>
      </c>
      <c r="C653" s="67">
        <v>23563</v>
      </c>
      <c r="D653" s="450">
        <f>C651*C653</f>
        <v>895488252</v>
      </c>
      <c r="E653" s="451">
        <v>0.03</v>
      </c>
      <c r="F653" s="30">
        <f>D653*E653</f>
        <v>26864647.559999999</v>
      </c>
      <c r="G653" s="451"/>
      <c r="H653" s="30">
        <f>F653*G653</f>
        <v>0</v>
      </c>
      <c r="I653" s="319"/>
      <c r="J653" s="319"/>
      <c r="K653" s="256"/>
      <c r="L653" s="256"/>
      <c r="M653" s="256"/>
      <c r="N653" s="256"/>
      <c r="O653" s="256"/>
      <c r="P653" s="256"/>
      <c r="Q653" s="256"/>
      <c r="R653" s="256"/>
    </row>
    <row r="654" spans="1:18" ht="15" x14ac:dyDescent="0.2">
      <c r="B654" s="452" t="s">
        <v>961</v>
      </c>
      <c r="C654" s="67">
        <v>204995</v>
      </c>
      <c r="D654" s="450">
        <f>C651*C654</f>
        <v>7790629980</v>
      </c>
      <c r="E654" s="451">
        <v>0.02</v>
      </c>
      <c r="F654" s="30">
        <f>D654*E654</f>
        <v>155812599.59999999</v>
      </c>
      <c r="G654" s="451">
        <v>0.25</v>
      </c>
      <c r="H654" s="288">
        <f>F654*G654</f>
        <v>38953149.899999999</v>
      </c>
      <c r="I654" s="319"/>
      <c r="J654" s="319"/>
      <c r="K654" s="256"/>
      <c r="L654" s="256"/>
      <c r="M654" s="256"/>
      <c r="N654" s="256"/>
      <c r="O654" s="256"/>
      <c r="P654" s="256"/>
      <c r="Q654" s="256"/>
      <c r="R654" s="256"/>
    </row>
    <row r="655" spans="1:18" x14ac:dyDescent="0.2">
      <c r="B655" s="449" t="s">
        <v>962</v>
      </c>
      <c r="C655" s="67">
        <v>1736565</v>
      </c>
      <c r="D655" s="450">
        <f>C651*C655</f>
        <v>65996416260</v>
      </c>
      <c r="E655" s="453">
        <v>5.0000000000000001E-3</v>
      </c>
      <c r="F655" s="30">
        <f>D655*E655</f>
        <v>329982081.30000001</v>
      </c>
      <c r="G655" s="451"/>
      <c r="H655" s="30">
        <f>F655*G655</f>
        <v>0</v>
      </c>
      <c r="I655" s="319"/>
      <c r="J655" s="319"/>
      <c r="K655" s="256"/>
      <c r="L655" s="256"/>
      <c r="M655" s="256"/>
      <c r="N655" s="256"/>
      <c r="O655" s="256"/>
      <c r="P655" s="256"/>
      <c r="Q655" s="256"/>
      <c r="R655" s="256"/>
    </row>
    <row r="656" spans="1:18" ht="15" x14ac:dyDescent="0.25">
      <c r="B656" s="505"/>
      <c r="C656"/>
      <c r="D656"/>
      <c r="E656" s="489"/>
      <c r="F656" s="489"/>
      <c r="G656" s="489"/>
      <c r="H656" s="489"/>
      <c r="I656" s="489"/>
      <c r="J656" s="489"/>
    </row>
    <row r="657" spans="2:18" s="4" customFormat="1" ht="20.45" customHeight="1" x14ac:dyDescent="0.25">
      <c r="B657" s="406" t="s">
        <v>1057</v>
      </c>
      <c r="C657" s="336"/>
      <c r="D657" s="336"/>
    </row>
    <row r="658" spans="2:18" ht="21.6" customHeight="1" x14ac:dyDescent="0.2">
      <c r="B658" s="446" t="s">
        <v>952</v>
      </c>
      <c r="C658" s="30">
        <v>38004</v>
      </c>
      <c r="D658" s="256"/>
      <c r="E658" s="256"/>
      <c r="F658" s="443"/>
      <c r="G658" s="256"/>
      <c r="H658" s="256"/>
      <c r="I658" s="319"/>
      <c r="J658" s="319"/>
      <c r="K658" s="256"/>
      <c r="L658" s="256"/>
      <c r="M658" s="256"/>
      <c r="N658" s="256"/>
      <c r="O658" s="256"/>
      <c r="P658" s="256"/>
      <c r="Q658" s="256"/>
      <c r="R658" s="256"/>
    </row>
    <row r="659" spans="2:18" ht="46.5" customHeight="1" x14ac:dyDescent="0.2">
      <c r="B659" s="447" t="s">
        <v>953</v>
      </c>
      <c r="C659" s="448" t="s">
        <v>954</v>
      </c>
      <c r="D659" s="448" t="s">
        <v>955</v>
      </c>
      <c r="E659" s="448" t="s">
        <v>1019</v>
      </c>
      <c r="F659" s="448" t="s">
        <v>957</v>
      </c>
      <c r="G659" s="448" t="s">
        <v>1020</v>
      </c>
      <c r="H659" s="448" t="s">
        <v>1021</v>
      </c>
      <c r="I659" s="319"/>
      <c r="J659" s="319"/>
      <c r="K659" s="256"/>
      <c r="L659" s="256"/>
      <c r="M659" s="256"/>
      <c r="N659" s="256"/>
      <c r="O659" s="256"/>
      <c r="P659" s="256"/>
      <c r="Q659" s="256"/>
      <c r="R659" s="256"/>
    </row>
    <row r="660" spans="2:18" x14ac:dyDescent="0.2">
      <c r="B660" s="449" t="s">
        <v>960</v>
      </c>
      <c r="C660" s="67">
        <v>23563</v>
      </c>
      <c r="D660" s="450">
        <f>C658*C660</f>
        <v>895488252</v>
      </c>
      <c r="E660" s="451">
        <v>0.03</v>
      </c>
      <c r="F660" s="30">
        <f>D660*E660</f>
        <v>26864647.559999999</v>
      </c>
      <c r="G660" s="451"/>
      <c r="H660" s="30">
        <f>F660*G660</f>
        <v>0</v>
      </c>
      <c r="I660" s="319"/>
      <c r="J660" s="319"/>
      <c r="K660" s="256"/>
      <c r="L660" s="256"/>
      <c r="M660" s="256"/>
      <c r="N660" s="256"/>
      <c r="O660" s="256"/>
      <c r="P660" s="256"/>
      <c r="Q660" s="256"/>
      <c r="R660" s="256"/>
    </row>
    <row r="661" spans="2:18" x14ac:dyDescent="0.2">
      <c r="B661" s="452" t="s">
        <v>961</v>
      </c>
      <c r="C661" s="67">
        <v>204995</v>
      </c>
      <c r="D661" s="450">
        <f>C658*C661</f>
        <v>7790629980</v>
      </c>
      <c r="E661" s="451">
        <v>0.02</v>
      </c>
      <c r="F661" s="30">
        <f>D661*E661</f>
        <v>155812599.59999999</v>
      </c>
      <c r="G661" s="451">
        <v>0.4</v>
      </c>
      <c r="H661" s="30">
        <f>F661*G661</f>
        <v>62325039.840000004</v>
      </c>
      <c r="I661" s="319"/>
      <c r="J661" s="319"/>
      <c r="K661" s="256"/>
      <c r="L661" s="256"/>
      <c r="M661" s="256"/>
      <c r="N661" s="256"/>
      <c r="O661" s="256"/>
      <c r="P661" s="256"/>
      <c r="Q661" s="256"/>
      <c r="R661" s="256"/>
    </row>
    <row r="662" spans="2:18" x14ac:dyDescent="0.2">
      <c r="B662" s="449" t="s">
        <v>962</v>
      </c>
      <c r="C662" s="67">
        <v>1736565</v>
      </c>
      <c r="D662" s="450">
        <f>C658*C662</f>
        <v>65996416260</v>
      </c>
      <c r="E662" s="453">
        <v>5.0000000000000001E-3</v>
      </c>
      <c r="F662" s="30">
        <f>D662*E662</f>
        <v>329982081.30000001</v>
      </c>
      <c r="G662" s="451">
        <v>0.3</v>
      </c>
      <c r="H662" s="30">
        <f>F662*G662</f>
        <v>98994624.390000001</v>
      </c>
      <c r="I662" s="319"/>
      <c r="J662" s="319"/>
      <c r="K662" s="256"/>
      <c r="L662" s="256"/>
      <c r="M662" s="256"/>
      <c r="N662" s="256"/>
      <c r="O662" s="256"/>
      <c r="P662" s="256"/>
      <c r="Q662" s="256"/>
      <c r="R662" s="256"/>
    </row>
    <row r="663" spans="2:18" s="4" customFormat="1" x14ac:dyDescent="0.2">
      <c r="D663" s="2"/>
    </row>
    <row r="664" spans="2:18" s="184" customFormat="1" ht="26.45" customHeight="1" x14ac:dyDescent="0.25">
      <c r="B664" s="506" t="s">
        <v>1058</v>
      </c>
      <c r="C664" s="507"/>
      <c r="F664" s="508"/>
      <c r="G664" s="509"/>
      <c r="H664" s="510"/>
      <c r="I664" s="511"/>
      <c r="J664" s="511"/>
      <c r="K664" s="512"/>
      <c r="L664" s="512"/>
      <c r="M664" s="512"/>
      <c r="N664" s="512"/>
      <c r="O664" s="512"/>
      <c r="P664" s="512"/>
      <c r="Q664" s="512"/>
      <c r="R664" s="512"/>
    </row>
    <row r="665" spans="2:18" s="184" customFormat="1" x14ac:dyDescent="0.2">
      <c r="B665" s="513" t="s">
        <v>1059</v>
      </c>
      <c r="C665" s="514">
        <v>1000000</v>
      </c>
      <c r="F665" s="508"/>
      <c r="G665" s="509"/>
      <c r="H665" s="510"/>
      <c r="I665" s="511"/>
      <c r="J665" s="511"/>
      <c r="K665" s="512"/>
      <c r="L665" s="512"/>
      <c r="M665" s="512"/>
      <c r="N665" s="512"/>
      <c r="O665" s="512"/>
      <c r="P665" s="512"/>
      <c r="Q665" s="512"/>
      <c r="R665" s="512"/>
    </row>
    <row r="666" spans="2:18" s="184" customFormat="1" x14ac:dyDescent="0.2">
      <c r="B666" s="33" t="s">
        <v>1060</v>
      </c>
      <c r="C666" s="89">
        <f>8000/20</f>
        <v>400</v>
      </c>
      <c r="F666" s="508"/>
      <c r="G666" s="509"/>
      <c r="H666" s="510"/>
      <c r="I666" s="511"/>
      <c r="J666" s="511"/>
      <c r="K666" s="512"/>
      <c r="L666" s="512"/>
      <c r="M666" s="512"/>
      <c r="N666" s="512"/>
      <c r="O666" s="512"/>
      <c r="P666" s="512"/>
      <c r="Q666" s="512"/>
      <c r="R666" s="512"/>
    </row>
    <row r="667" spans="2:18" s="184" customFormat="1" ht="15" x14ac:dyDescent="0.25">
      <c r="B667" s="515" t="s">
        <v>1046</v>
      </c>
      <c r="C667" s="515">
        <f>C665*C666</f>
        <v>400000000</v>
      </c>
      <c r="F667" s="508"/>
      <c r="G667" s="509"/>
      <c r="H667" s="510"/>
      <c r="I667" s="511"/>
      <c r="J667" s="511"/>
      <c r="K667" s="512"/>
      <c r="L667" s="512"/>
      <c r="M667" s="512"/>
      <c r="N667" s="512"/>
      <c r="O667" s="512"/>
      <c r="P667" s="512"/>
      <c r="Q667" s="512"/>
      <c r="R667" s="512"/>
    </row>
    <row r="668" spans="2:18" x14ac:dyDescent="0.2">
      <c r="B668" s="455"/>
      <c r="C668" s="454"/>
      <c r="D668" s="455" t="s">
        <v>1061</v>
      </c>
      <c r="E668" s="457"/>
      <c r="F668" s="443"/>
      <c r="G668" s="457"/>
      <c r="H668" s="458"/>
      <c r="I668" s="319"/>
      <c r="J668" s="319"/>
      <c r="K668" s="256"/>
      <c r="L668" s="256"/>
      <c r="M668" s="256"/>
      <c r="N668" s="256"/>
      <c r="O668" s="256"/>
      <c r="P668" s="256"/>
      <c r="Q668" s="256"/>
      <c r="R668" s="256"/>
    </row>
    <row r="669" spans="2:18" x14ac:dyDescent="0.2">
      <c r="B669" s="287"/>
      <c r="C669" s="287"/>
      <c r="D669" s="287"/>
    </row>
    <row r="670" spans="2:18" s="4" customFormat="1" ht="46.5" customHeight="1" x14ac:dyDescent="0.25">
      <c r="B670" s="406" t="s">
        <v>1062</v>
      </c>
      <c r="C670" s="336"/>
      <c r="D670" s="336"/>
    </row>
    <row r="671" spans="2:18" ht="21.6" customHeight="1" x14ac:dyDescent="0.2">
      <c r="B671" s="446" t="s">
        <v>1063</v>
      </c>
      <c r="C671" s="30">
        <v>38004</v>
      </c>
      <c r="D671" s="256"/>
      <c r="E671" s="256"/>
      <c r="F671" s="443"/>
      <c r="G671" s="256"/>
      <c r="H671" s="256"/>
      <c r="I671" s="319"/>
      <c r="J671" s="319"/>
      <c r="K671" s="256"/>
      <c r="L671" s="256"/>
      <c r="M671" s="256"/>
      <c r="N671" s="256"/>
      <c r="O671" s="256"/>
      <c r="P671" s="256"/>
      <c r="Q671" s="256"/>
      <c r="R671" s="256"/>
    </row>
    <row r="672" spans="2:18" ht="46.5" customHeight="1" x14ac:dyDescent="0.2">
      <c r="B672" s="447" t="s">
        <v>953</v>
      </c>
      <c r="C672" s="448" t="s">
        <v>954</v>
      </c>
      <c r="D672" s="448" t="s">
        <v>955</v>
      </c>
      <c r="E672" s="448" t="s">
        <v>1019</v>
      </c>
      <c r="F672" s="448" t="s">
        <v>957</v>
      </c>
      <c r="G672" s="448" t="s">
        <v>1020</v>
      </c>
      <c r="H672" s="448" t="s">
        <v>1021</v>
      </c>
      <c r="I672" s="319"/>
      <c r="J672" s="319"/>
      <c r="K672" s="256"/>
      <c r="L672" s="256"/>
      <c r="M672" s="256"/>
      <c r="N672" s="256"/>
      <c r="O672" s="256"/>
      <c r="P672" s="256"/>
      <c r="Q672" s="256"/>
      <c r="R672" s="256"/>
    </row>
    <row r="673" spans="2:18" x14ac:dyDescent="0.2">
      <c r="B673" s="449" t="s">
        <v>960</v>
      </c>
      <c r="C673" s="67">
        <v>23563</v>
      </c>
      <c r="D673" s="450">
        <f>C671*C673</f>
        <v>895488252</v>
      </c>
      <c r="E673" s="451">
        <v>0.03</v>
      </c>
      <c r="F673" s="30">
        <f>D673*E673</f>
        <v>26864647.559999999</v>
      </c>
      <c r="G673" s="451">
        <v>0.5</v>
      </c>
      <c r="H673" s="516">
        <f>F673*G673</f>
        <v>13432323.779999999</v>
      </c>
      <c r="I673" s="319"/>
      <c r="J673" s="319"/>
      <c r="K673" s="256"/>
      <c r="L673" s="256"/>
      <c r="M673" s="256"/>
      <c r="N673" s="256"/>
      <c r="O673" s="256"/>
      <c r="P673" s="256"/>
      <c r="Q673" s="256"/>
      <c r="R673" s="256"/>
    </row>
    <row r="674" spans="2:18" x14ac:dyDescent="0.2">
      <c r="B674" s="452" t="s">
        <v>961</v>
      </c>
      <c r="C674" s="67">
        <v>204995</v>
      </c>
      <c r="D674" s="450">
        <f>C671*C674</f>
        <v>7790629980</v>
      </c>
      <c r="E674" s="451">
        <v>0.02</v>
      </c>
      <c r="F674" s="30">
        <f>D674*E674</f>
        <v>155812599.59999999</v>
      </c>
      <c r="G674" s="451">
        <v>0.15</v>
      </c>
      <c r="H674" s="516">
        <f>F674*G674</f>
        <v>23371889.939999998</v>
      </c>
      <c r="I674" s="319"/>
      <c r="J674" s="319"/>
      <c r="K674" s="256"/>
      <c r="L674" s="256"/>
      <c r="M674" s="256"/>
      <c r="N674" s="256"/>
      <c r="O674" s="256"/>
      <c r="P674" s="256"/>
      <c r="Q674" s="256"/>
      <c r="R674" s="256"/>
    </row>
    <row r="675" spans="2:18" x14ac:dyDescent="0.2">
      <c r="B675" s="449" t="s">
        <v>962</v>
      </c>
      <c r="C675" s="67">
        <v>1736565</v>
      </c>
      <c r="D675" s="450">
        <f>C671*C675</f>
        <v>65996416260</v>
      </c>
      <c r="E675" s="453">
        <v>5.0000000000000001E-3</v>
      </c>
      <c r="F675" s="30">
        <f>D675*E675</f>
        <v>329982081.30000001</v>
      </c>
      <c r="G675" s="451">
        <v>0.1</v>
      </c>
      <c r="H675" s="516">
        <f>F675*G675</f>
        <v>32998208.130000003</v>
      </c>
      <c r="I675" s="319"/>
      <c r="J675" s="319"/>
      <c r="K675" s="256"/>
      <c r="L675" s="256"/>
      <c r="M675" s="256"/>
      <c r="N675" s="256"/>
      <c r="O675" s="256"/>
      <c r="P675" s="256"/>
      <c r="Q675" s="256"/>
      <c r="R675" s="256"/>
    </row>
    <row r="676" spans="2:18" customFormat="1" ht="15" x14ac:dyDescent="0.25"/>
    <row r="677" spans="2:18" s="518" customFormat="1" ht="12.95" customHeight="1" x14ac:dyDescent="0.2">
      <c r="B677" s="517"/>
      <c r="C677" s="517"/>
      <c r="E677" s="519"/>
    </row>
    <row r="678" spans="2:18" s="518" customFormat="1" ht="12.95" customHeight="1" x14ac:dyDescent="0.2">
      <c r="B678" s="517"/>
      <c r="C678" s="517"/>
      <c r="E678" s="519"/>
    </row>
    <row r="679" spans="2:18" ht="15" x14ac:dyDescent="0.25">
      <c r="B679" s="406" t="s">
        <v>1064</v>
      </c>
      <c r="C679" s="489"/>
      <c r="D679" s="455"/>
      <c r="E679" s="457"/>
      <c r="F679" s="443"/>
      <c r="G679" s="457"/>
      <c r="H679" s="458"/>
      <c r="I679" s="319"/>
      <c r="J679" s="319"/>
      <c r="K679" s="256"/>
      <c r="L679" s="256"/>
      <c r="M679" s="256"/>
      <c r="N679" s="256"/>
      <c r="O679" s="256"/>
      <c r="P679" s="256"/>
      <c r="Q679" s="256"/>
      <c r="R679" s="256"/>
    </row>
    <row r="680" spans="2:18" x14ac:dyDescent="0.2">
      <c r="B680" s="520" t="s">
        <v>1065</v>
      </c>
      <c r="C680" s="521">
        <f>+C150*5%</f>
        <v>9841.1404999999995</v>
      </c>
      <c r="D680" s="455"/>
      <c r="E680" s="457"/>
      <c r="F680" s="443"/>
      <c r="G680" s="457"/>
      <c r="H680" s="458"/>
      <c r="I680" s="319"/>
      <c r="J680" s="319"/>
      <c r="K680" s="256"/>
      <c r="L680" s="256"/>
      <c r="M680" s="256"/>
      <c r="N680" s="256"/>
      <c r="O680" s="256"/>
      <c r="P680" s="256"/>
      <c r="Q680" s="256"/>
      <c r="R680" s="256"/>
    </row>
    <row r="681" spans="2:18" x14ac:dyDescent="0.2">
      <c r="B681" s="520" t="s">
        <v>1066</v>
      </c>
      <c r="C681" s="152">
        <v>0.2</v>
      </c>
      <c r="D681" s="455"/>
      <c r="E681" s="457"/>
      <c r="F681" s="443"/>
      <c r="G681" s="457"/>
      <c r="H681" s="458"/>
      <c r="I681" s="319"/>
      <c r="J681" s="319"/>
      <c r="K681" s="256"/>
      <c r="L681" s="256"/>
      <c r="M681" s="256"/>
      <c r="N681" s="256"/>
      <c r="O681" s="256"/>
      <c r="P681" s="256"/>
      <c r="Q681" s="256"/>
      <c r="R681" s="256"/>
    </row>
    <row r="682" spans="2:18" x14ac:dyDescent="0.2">
      <c r="B682" s="520" t="s">
        <v>1067</v>
      </c>
      <c r="C682" s="521">
        <f>+C680*C681</f>
        <v>1968.2281</v>
      </c>
      <c r="D682" s="455"/>
      <c r="E682" s="457"/>
      <c r="F682" s="443"/>
      <c r="G682" s="457"/>
      <c r="H682" s="458"/>
      <c r="I682" s="319"/>
      <c r="J682" s="319"/>
      <c r="K682" s="256"/>
      <c r="L682" s="256"/>
      <c r="M682" s="256"/>
      <c r="N682" s="256"/>
      <c r="O682" s="256"/>
      <c r="P682" s="256"/>
      <c r="Q682" s="256"/>
      <c r="R682" s="256"/>
    </row>
    <row r="683" spans="2:18" ht="15" x14ac:dyDescent="0.25">
      <c r="B683" s="520" t="s">
        <v>1068</v>
      </c>
      <c r="C683" s="522">
        <v>6000000</v>
      </c>
      <c r="D683" s="455"/>
      <c r="E683" s="457"/>
      <c r="F683" s="443"/>
      <c r="G683" s="457"/>
      <c r="H683" s="458"/>
      <c r="I683" s="319"/>
      <c r="J683" s="319"/>
      <c r="K683" s="256"/>
      <c r="L683" s="256"/>
      <c r="M683" s="256"/>
      <c r="N683" s="256"/>
      <c r="O683" s="256"/>
      <c r="P683" s="256"/>
      <c r="Q683" s="256"/>
      <c r="R683" s="256"/>
    </row>
    <row r="684" spans="2:18" x14ac:dyDescent="0.2">
      <c r="B684" s="319"/>
      <c r="C684" s="454"/>
      <c r="D684" s="455"/>
      <c r="E684" s="457"/>
      <c r="F684" s="443"/>
      <c r="G684" s="457"/>
      <c r="H684" s="458"/>
      <c r="I684" s="319"/>
      <c r="J684" s="319"/>
      <c r="K684" s="256"/>
      <c r="L684" s="256"/>
      <c r="M684" s="256"/>
      <c r="N684" s="256"/>
      <c r="O684" s="256"/>
      <c r="P684" s="256"/>
      <c r="Q684" s="256"/>
      <c r="R684" s="256"/>
    </row>
    <row r="685" spans="2:18" x14ac:dyDescent="0.2">
      <c r="B685" s="319"/>
      <c r="C685" s="454"/>
      <c r="D685" s="455"/>
      <c r="E685" s="457"/>
      <c r="F685" s="443"/>
      <c r="G685" s="457"/>
      <c r="H685" s="458"/>
      <c r="I685" s="319"/>
      <c r="J685" s="319"/>
      <c r="K685" s="256"/>
      <c r="L685" s="256"/>
      <c r="M685" s="256"/>
      <c r="N685" s="256"/>
      <c r="O685" s="256"/>
      <c r="P685" s="256"/>
      <c r="Q685" s="256"/>
      <c r="R685" s="256"/>
    </row>
    <row r="686" spans="2:18" ht="15" x14ac:dyDescent="0.25">
      <c r="B686" s="406" t="s">
        <v>1069</v>
      </c>
      <c r="C686" s="489"/>
      <c r="D686" s="489"/>
    </row>
    <row r="687" spans="2:18" x14ac:dyDescent="0.2">
      <c r="B687" s="520" t="s">
        <v>1070</v>
      </c>
      <c r="C687" s="521">
        <f>C150</f>
        <v>196822.80999999997</v>
      </c>
      <c r="D687" s="489"/>
    </row>
    <row r="688" spans="2:18" x14ac:dyDescent="0.2">
      <c r="B688" s="520" t="s">
        <v>1071</v>
      </c>
      <c r="C688" s="152">
        <v>0.05</v>
      </c>
      <c r="D688" s="489"/>
    </row>
    <row r="689" spans="2:18" x14ac:dyDescent="0.2">
      <c r="B689" s="520" t="s">
        <v>1067</v>
      </c>
      <c r="C689" s="521">
        <f>+C687*C688</f>
        <v>9841.1404999999995</v>
      </c>
      <c r="D689" s="489"/>
    </row>
    <row r="690" spans="2:18" ht="15" x14ac:dyDescent="0.25">
      <c r="B690" s="520" t="s">
        <v>1068</v>
      </c>
      <c r="C690" s="522">
        <v>1500000</v>
      </c>
      <c r="D690" s="489"/>
    </row>
    <row r="691" spans="2:18" customFormat="1" ht="15" x14ac:dyDescent="0.25"/>
    <row r="692" spans="2:18" customFormat="1" ht="15" x14ac:dyDescent="0.25"/>
    <row r="693" spans="2:18" ht="15" x14ac:dyDescent="0.25">
      <c r="B693" s="406" t="s">
        <v>1072</v>
      </c>
      <c r="C693" s="256"/>
      <c r="D693" s="256"/>
      <c r="E693" s="256"/>
      <c r="F693" s="443"/>
      <c r="G693" s="256"/>
      <c r="H693" s="256"/>
      <c r="I693" s="319"/>
      <c r="J693" s="319"/>
      <c r="K693" s="256"/>
      <c r="L693" s="256"/>
      <c r="M693" s="256"/>
      <c r="N693" s="256"/>
      <c r="O693" s="256"/>
      <c r="P693" s="256"/>
      <c r="Q693" s="256"/>
      <c r="R693" s="256"/>
    </row>
    <row r="694" spans="2:18" x14ac:dyDescent="0.2">
      <c r="B694" s="446" t="s">
        <v>952</v>
      </c>
      <c r="C694" s="30">
        <f>C671</f>
        <v>38004</v>
      </c>
      <c r="D694" s="256"/>
      <c r="E694" s="256"/>
      <c r="F694" s="443"/>
      <c r="G694" s="256"/>
      <c r="H694" s="256"/>
      <c r="I694" s="319"/>
      <c r="J694" s="319"/>
      <c r="K694" s="256"/>
      <c r="L694" s="256"/>
      <c r="M694" s="256"/>
      <c r="N694" s="256"/>
      <c r="O694" s="256"/>
      <c r="P694" s="256"/>
      <c r="Q694" s="256"/>
      <c r="R694" s="256"/>
    </row>
    <row r="695" spans="2:18" ht="30" x14ac:dyDescent="0.2">
      <c r="B695" s="447" t="s">
        <v>953</v>
      </c>
      <c r="C695" s="448" t="s">
        <v>954</v>
      </c>
      <c r="D695" s="448" t="s">
        <v>955</v>
      </c>
      <c r="E695" s="448" t="s">
        <v>1019</v>
      </c>
      <c r="F695" s="448" t="s">
        <v>957</v>
      </c>
      <c r="G695" s="448" t="s">
        <v>1020</v>
      </c>
      <c r="H695" s="448" t="s">
        <v>1021</v>
      </c>
      <c r="I695" s="319"/>
      <c r="J695" s="319"/>
      <c r="K695" s="256"/>
      <c r="L695" s="256"/>
      <c r="M695" s="256"/>
      <c r="N695" s="256"/>
      <c r="O695" s="256"/>
      <c r="P695" s="256"/>
      <c r="Q695" s="256"/>
      <c r="R695" s="256"/>
    </row>
    <row r="696" spans="2:18" x14ac:dyDescent="0.2">
      <c r="B696" s="449" t="s">
        <v>960</v>
      </c>
      <c r="C696" s="67">
        <v>23563</v>
      </c>
      <c r="D696" s="450">
        <f>C694*C696</f>
        <v>895488252</v>
      </c>
      <c r="E696" s="451">
        <v>0.03</v>
      </c>
      <c r="F696" s="30">
        <f>D696*E696</f>
        <v>26864647.559999999</v>
      </c>
      <c r="G696" s="451">
        <v>0.4</v>
      </c>
      <c r="H696" s="516">
        <f>F696*G696</f>
        <v>10745859.024</v>
      </c>
      <c r="I696" s="319"/>
      <c r="J696" s="319"/>
      <c r="K696" s="256"/>
      <c r="L696" s="256"/>
      <c r="M696" s="256"/>
      <c r="N696" s="256"/>
      <c r="O696" s="256"/>
      <c r="P696" s="256"/>
      <c r="Q696" s="256"/>
      <c r="R696" s="256"/>
    </row>
    <row r="697" spans="2:18" x14ac:dyDescent="0.2">
      <c r="B697" s="452" t="s">
        <v>961</v>
      </c>
      <c r="C697" s="67">
        <v>204995</v>
      </c>
      <c r="D697" s="450">
        <f>C694*C697</f>
        <v>7790629980</v>
      </c>
      <c r="E697" s="451">
        <v>0.02</v>
      </c>
      <c r="F697" s="30">
        <f>D697*E697</f>
        <v>155812599.59999999</v>
      </c>
      <c r="G697" s="451">
        <v>0.25</v>
      </c>
      <c r="H697" s="516">
        <f>F697*G697</f>
        <v>38953149.899999999</v>
      </c>
      <c r="I697" s="319"/>
      <c r="J697" s="319"/>
      <c r="K697" s="256"/>
      <c r="L697" s="256"/>
      <c r="M697" s="256"/>
      <c r="N697" s="256"/>
      <c r="O697" s="256"/>
      <c r="P697" s="256"/>
      <c r="Q697" s="256"/>
      <c r="R697" s="256"/>
    </row>
    <row r="698" spans="2:18" x14ac:dyDescent="0.2">
      <c r="B698" s="449" t="s">
        <v>962</v>
      </c>
      <c r="C698" s="67">
        <v>1736565</v>
      </c>
      <c r="D698" s="450">
        <f>C694*C698</f>
        <v>65996416260</v>
      </c>
      <c r="E698" s="453">
        <v>5.0000000000000001E-3</v>
      </c>
      <c r="F698" s="30">
        <f>D698*E698</f>
        <v>329982081.30000001</v>
      </c>
      <c r="G698" s="451">
        <v>0.15</v>
      </c>
      <c r="H698" s="516">
        <f>F698*G698</f>
        <v>49497312.195</v>
      </c>
      <c r="I698" s="319"/>
      <c r="J698" s="319"/>
      <c r="K698" s="256"/>
      <c r="L698" s="256"/>
      <c r="M698" s="256"/>
      <c r="N698" s="256"/>
      <c r="O698" s="256"/>
      <c r="P698" s="256"/>
      <c r="Q698" s="256"/>
      <c r="R698" s="256"/>
    </row>
    <row r="699" spans="2:18" x14ac:dyDescent="0.2">
      <c r="B699" s="319"/>
      <c r="C699" s="454"/>
      <c r="D699" s="455"/>
      <c r="E699" s="457"/>
      <c r="F699" s="443"/>
      <c r="G699" s="457"/>
      <c r="H699" s="458"/>
      <c r="I699" s="319"/>
      <c r="J699" s="319"/>
      <c r="K699" s="256"/>
      <c r="L699" s="256"/>
      <c r="M699" s="256"/>
      <c r="N699" s="256"/>
      <c r="O699" s="256"/>
      <c r="P699" s="256"/>
      <c r="Q699" s="256"/>
      <c r="R699" s="256"/>
    </row>
    <row r="700" spans="2:18" x14ac:dyDescent="0.2">
      <c r="B700" s="489"/>
      <c r="C700" s="489"/>
      <c r="D700" s="489"/>
      <c r="E700" s="489"/>
      <c r="F700" s="489"/>
      <c r="G700" s="489"/>
      <c r="H700" s="489"/>
      <c r="I700" s="489"/>
      <c r="J700" s="489"/>
      <c r="K700" s="489"/>
      <c r="L700" s="489"/>
      <c r="M700" s="489"/>
      <c r="N700" s="489"/>
      <c r="O700" s="489"/>
      <c r="P700" s="489"/>
      <c r="Q700" s="489"/>
      <c r="R700" s="489"/>
    </row>
    <row r="701" spans="2:18" ht="15" x14ac:dyDescent="0.25">
      <c r="B701" s="466" t="s">
        <v>1073</v>
      </c>
      <c r="C701" s="523"/>
      <c r="D701" s="489"/>
      <c r="E701" s="489"/>
      <c r="F701" s="489"/>
      <c r="G701" s="489"/>
      <c r="H701" s="489"/>
      <c r="I701" s="489"/>
      <c r="J701" s="489"/>
    </row>
    <row r="702" spans="2:18" x14ac:dyDescent="0.2">
      <c r="B702" s="523" t="s">
        <v>1074</v>
      </c>
      <c r="C702" s="524">
        <v>70000000</v>
      </c>
      <c r="D702" s="489"/>
      <c r="E702" s="489"/>
      <c r="F702" s="489"/>
      <c r="G702" s="489"/>
      <c r="H702" s="489"/>
      <c r="I702" s="489"/>
      <c r="J702" s="489"/>
    </row>
    <row r="703" spans="2:18" x14ac:dyDescent="0.2">
      <c r="B703" s="523" t="s">
        <v>1075</v>
      </c>
      <c r="C703" s="523">
        <v>30</v>
      </c>
      <c r="D703" s="489"/>
      <c r="E703" s="489"/>
      <c r="F703" s="489"/>
      <c r="G703" s="489"/>
      <c r="H703" s="489"/>
      <c r="I703" s="489"/>
      <c r="J703" s="489"/>
    </row>
    <row r="704" spans="2:18" ht="15" x14ac:dyDescent="0.2">
      <c r="B704" s="523" t="s">
        <v>1076</v>
      </c>
      <c r="C704" s="525">
        <f>C702*30%</f>
        <v>21000000</v>
      </c>
      <c r="D704" s="489"/>
      <c r="E704" s="489"/>
      <c r="F704" s="489"/>
      <c r="G704" s="489"/>
      <c r="H704" s="489"/>
      <c r="I704" s="489"/>
      <c r="J704" s="489"/>
    </row>
    <row r="705" spans="2:18" x14ac:dyDescent="0.2">
      <c r="B705" s="489"/>
      <c r="C705" s="489"/>
      <c r="D705" s="489"/>
      <c r="E705" s="489"/>
      <c r="F705" s="489"/>
      <c r="G705" s="489"/>
      <c r="H705" s="489"/>
      <c r="I705" s="489"/>
      <c r="J705" s="489"/>
    </row>
    <row r="706" spans="2:18" ht="15" x14ac:dyDescent="0.25">
      <c r="B706" s="466" t="s">
        <v>1077</v>
      </c>
      <c r="C706" s="526">
        <v>50000</v>
      </c>
      <c r="D706" s="489"/>
      <c r="E706" s="489"/>
      <c r="F706" s="489"/>
      <c r="G706" s="489"/>
      <c r="H706" s="489"/>
      <c r="I706" s="489"/>
      <c r="J706" s="489"/>
    </row>
    <row r="707" spans="2:18" ht="15" x14ac:dyDescent="0.2">
      <c r="B707" s="523" t="s">
        <v>1078</v>
      </c>
      <c r="C707" s="525">
        <f>C706*50%</f>
        <v>25000</v>
      </c>
      <c r="D707" s="489"/>
      <c r="E707" s="489"/>
      <c r="F707" s="489"/>
      <c r="G707" s="489"/>
      <c r="H707" s="489"/>
      <c r="I707" s="489"/>
      <c r="J707" s="489"/>
    </row>
    <row r="708" spans="2:18" x14ac:dyDescent="0.2">
      <c r="B708" s="489"/>
      <c r="C708" s="489"/>
      <c r="D708" s="489"/>
      <c r="E708" s="489"/>
      <c r="F708" s="489"/>
      <c r="G708" s="489"/>
      <c r="H708" s="489"/>
      <c r="I708" s="489"/>
      <c r="J708" s="489"/>
    </row>
    <row r="709" spans="2:18" s="4" customFormat="1" ht="15" x14ac:dyDescent="0.25">
      <c r="B709" s="3"/>
      <c r="D709" s="527"/>
    </row>
    <row r="710" spans="2:18" ht="15" x14ac:dyDescent="0.25">
      <c r="B710" s="466" t="s">
        <v>1079</v>
      </c>
      <c r="C710" s="489"/>
      <c r="D710" s="489"/>
      <c r="E710" s="489"/>
      <c r="F710" s="489"/>
      <c r="G710" s="489"/>
      <c r="H710" s="489"/>
      <c r="I710" s="489"/>
      <c r="J710" s="489"/>
    </row>
    <row r="711" spans="2:18" ht="15" x14ac:dyDescent="0.2">
      <c r="B711" s="523" t="s">
        <v>1080</v>
      </c>
      <c r="C711" s="525">
        <v>300000</v>
      </c>
      <c r="D711" s="489"/>
      <c r="E711" s="489"/>
      <c r="F711" s="489"/>
      <c r="G711" s="489"/>
      <c r="H711" s="489"/>
      <c r="I711" s="489"/>
      <c r="J711" s="489"/>
    </row>
    <row r="712" spans="2:18" x14ac:dyDescent="0.2">
      <c r="B712" s="528"/>
      <c r="C712" s="529"/>
      <c r="D712" s="489"/>
      <c r="E712" s="489"/>
      <c r="F712" s="489"/>
      <c r="G712" s="489"/>
      <c r="H712" s="489"/>
      <c r="I712" s="489"/>
      <c r="J712" s="489"/>
    </row>
    <row r="713" spans="2:18" ht="15" x14ac:dyDescent="0.25">
      <c r="B713" s="466" t="s">
        <v>1081</v>
      </c>
      <c r="C713" s="467"/>
      <c r="D713" s="489"/>
      <c r="E713" s="489"/>
      <c r="F713" s="489"/>
      <c r="G713" s="489"/>
      <c r="H713" s="489"/>
      <c r="I713" s="489"/>
      <c r="J713" s="489"/>
    </row>
    <row r="714" spans="2:18" x14ac:dyDescent="0.2">
      <c r="B714" s="467" t="s">
        <v>1082</v>
      </c>
      <c r="C714" s="530">
        <v>50000</v>
      </c>
      <c r="D714" s="489"/>
      <c r="E714" s="489"/>
      <c r="F714" s="489"/>
      <c r="G714" s="489"/>
      <c r="H714" s="489"/>
      <c r="I714" s="489"/>
      <c r="J714" s="489"/>
    </row>
    <row r="715" spans="2:18" ht="15" x14ac:dyDescent="0.2">
      <c r="B715" s="467" t="s">
        <v>1082</v>
      </c>
      <c r="C715" s="525">
        <v>600000</v>
      </c>
      <c r="D715" s="489"/>
      <c r="E715" s="489"/>
      <c r="F715" s="489"/>
      <c r="G715" s="489"/>
      <c r="H715" s="489"/>
      <c r="I715" s="489"/>
      <c r="J715" s="489"/>
    </row>
    <row r="716" spans="2:18" x14ac:dyDescent="0.2">
      <c r="D716" s="489"/>
      <c r="E716" s="489"/>
      <c r="F716" s="489"/>
      <c r="G716" s="489"/>
      <c r="H716" s="489"/>
      <c r="I716" s="489"/>
      <c r="J716" s="489"/>
    </row>
    <row r="718" spans="2:18" ht="15" x14ac:dyDescent="0.25">
      <c r="B718" s="406" t="s">
        <v>1083</v>
      </c>
      <c r="C718" s="489"/>
      <c r="D718" s="489"/>
      <c r="E718" s="489"/>
      <c r="F718" s="489"/>
      <c r="G718" s="489"/>
      <c r="H718" s="489"/>
      <c r="I718" s="489"/>
      <c r="J718" s="489"/>
      <c r="K718" s="489"/>
      <c r="L718" s="489"/>
      <c r="M718" s="489"/>
      <c r="N718" s="489"/>
      <c r="O718" s="489"/>
      <c r="P718" s="489"/>
      <c r="Q718" s="489"/>
      <c r="R718" s="489"/>
    </row>
    <row r="719" spans="2:18" s="4" customFormat="1" ht="15" x14ac:dyDescent="0.25">
      <c r="B719" s="531" t="s">
        <v>1084</v>
      </c>
      <c r="C719" s="441">
        <v>15</v>
      </c>
      <c r="D719" s="441"/>
      <c r="E719" s="441"/>
      <c r="F719" s="441"/>
      <c r="G719" s="441"/>
      <c r="H719" s="441"/>
      <c r="I719" s="441"/>
      <c r="J719" s="441"/>
      <c r="K719" s="441"/>
      <c r="L719" s="441"/>
      <c r="M719" s="441"/>
      <c r="N719" s="441"/>
      <c r="O719" s="441"/>
      <c r="P719" s="441"/>
      <c r="Q719" s="441"/>
      <c r="R719" s="441"/>
    </row>
    <row r="720" spans="2:18" x14ac:dyDescent="0.2">
      <c r="B720" s="523" t="s">
        <v>1085</v>
      </c>
      <c r="C720" s="532">
        <v>1800000</v>
      </c>
      <c r="D720" s="489"/>
      <c r="E720" s="489"/>
      <c r="F720" s="489"/>
      <c r="G720" s="489"/>
      <c r="H720" s="489"/>
      <c r="I720" s="489"/>
      <c r="J720" s="489"/>
      <c r="K720" s="489"/>
      <c r="L720" s="489"/>
      <c r="M720" s="489"/>
      <c r="N720" s="489"/>
      <c r="O720" s="489"/>
      <c r="P720" s="489"/>
      <c r="Q720" s="489"/>
      <c r="R720" s="489"/>
    </row>
    <row r="721" spans="2:18" ht="15" x14ac:dyDescent="0.25">
      <c r="B721" s="406" t="s">
        <v>1086</v>
      </c>
      <c r="C721" s="525">
        <f>C719*C720</f>
        <v>27000000</v>
      </c>
      <c r="D721" s="489"/>
      <c r="E721" s="489"/>
      <c r="F721" s="489"/>
      <c r="G721" s="489"/>
      <c r="H721" s="489"/>
      <c r="I721" s="489"/>
      <c r="J721" s="489"/>
      <c r="K721" s="489"/>
      <c r="L721" s="489"/>
      <c r="M721" s="489"/>
      <c r="N721" s="489"/>
      <c r="O721" s="489"/>
      <c r="P721" s="489"/>
      <c r="Q721" s="489"/>
      <c r="R721" s="489"/>
    </row>
    <row r="722" spans="2:18" x14ac:dyDescent="0.2">
      <c r="B722" s="489"/>
      <c r="C722" s="489"/>
      <c r="D722" s="489"/>
      <c r="E722" s="489"/>
      <c r="F722" s="489"/>
      <c r="G722" s="489"/>
      <c r="H722" s="489"/>
      <c r="I722" s="489"/>
      <c r="J722" s="489"/>
      <c r="K722" s="489"/>
      <c r="L722" s="489"/>
      <c r="M722" s="489"/>
      <c r="N722" s="489"/>
      <c r="O722" s="489"/>
      <c r="P722" s="489"/>
      <c r="Q722" s="489"/>
      <c r="R722" s="489"/>
    </row>
    <row r="723" spans="2:18" s="184" customFormat="1" ht="26.45" customHeight="1" x14ac:dyDescent="0.25">
      <c r="B723" s="506" t="s">
        <v>1087</v>
      </c>
      <c r="C723" s="507"/>
      <c r="F723" s="508"/>
      <c r="G723" s="509"/>
      <c r="H723" s="510"/>
      <c r="I723" s="511"/>
      <c r="J723" s="511"/>
      <c r="K723" s="512"/>
      <c r="L723" s="512"/>
      <c r="M723" s="512"/>
      <c r="N723" s="512"/>
      <c r="O723" s="512"/>
      <c r="P723" s="512"/>
      <c r="Q723" s="512"/>
      <c r="R723" s="512"/>
    </row>
    <row r="724" spans="2:18" s="184" customFormat="1" x14ac:dyDescent="0.2">
      <c r="B724" s="513" t="s">
        <v>1059</v>
      </c>
      <c r="C724" s="514">
        <v>1000000</v>
      </c>
      <c r="F724" s="508"/>
      <c r="G724" s="509"/>
      <c r="H724" s="510"/>
      <c r="I724" s="511"/>
      <c r="J724" s="511"/>
      <c r="K724" s="512"/>
      <c r="L724" s="512"/>
      <c r="M724" s="512"/>
      <c r="N724" s="512"/>
      <c r="O724" s="512"/>
      <c r="P724" s="512"/>
      <c r="Q724" s="512"/>
      <c r="R724" s="512"/>
    </row>
    <row r="725" spans="2:18" s="184" customFormat="1" x14ac:dyDescent="0.2">
      <c r="B725" s="33" t="s">
        <v>1060</v>
      </c>
      <c r="C725" s="89">
        <f>8000/20</f>
        <v>400</v>
      </c>
      <c r="F725" s="508"/>
      <c r="G725" s="509"/>
      <c r="H725" s="510"/>
      <c r="I725" s="511"/>
      <c r="J725" s="511"/>
      <c r="K725" s="512"/>
      <c r="L725" s="512"/>
      <c r="M725" s="512"/>
      <c r="N725" s="512"/>
      <c r="O725" s="512"/>
      <c r="P725" s="512"/>
      <c r="Q725" s="512"/>
      <c r="R725" s="512"/>
    </row>
    <row r="726" spans="2:18" s="184" customFormat="1" ht="15" x14ac:dyDescent="0.25">
      <c r="B726" s="515" t="s">
        <v>1046</v>
      </c>
      <c r="C726" s="515">
        <f>C724*C725</f>
        <v>400000000</v>
      </c>
      <c r="F726" s="508"/>
      <c r="G726" s="509"/>
      <c r="H726" s="510"/>
      <c r="I726" s="511"/>
      <c r="J726" s="511"/>
      <c r="K726" s="512"/>
      <c r="L726" s="512"/>
      <c r="M726" s="512"/>
      <c r="N726" s="512"/>
      <c r="O726" s="512"/>
      <c r="P726" s="512"/>
      <c r="Q726" s="512"/>
      <c r="R726" s="512"/>
    </row>
    <row r="729" spans="2:18" s="4" customFormat="1" ht="15" x14ac:dyDescent="0.25">
      <c r="B729" s="406" t="s">
        <v>1088</v>
      </c>
      <c r="C729" s="336"/>
      <c r="D729" s="336"/>
    </row>
    <row r="730" spans="2:18" x14ac:dyDescent="0.2">
      <c r="B730" s="446" t="s">
        <v>952</v>
      </c>
      <c r="C730" s="30">
        <v>38004</v>
      </c>
      <c r="D730" s="256"/>
      <c r="E730" s="256"/>
      <c r="F730" s="443"/>
      <c r="G730" s="256"/>
      <c r="H730" s="256"/>
      <c r="I730" s="319"/>
      <c r="J730" s="319"/>
      <c r="K730" s="256"/>
      <c r="L730" s="256"/>
      <c r="M730" s="256"/>
      <c r="N730" s="256"/>
      <c r="O730" s="256"/>
      <c r="P730" s="256"/>
      <c r="Q730" s="256"/>
      <c r="R730" s="256"/>
    </row>
    <row r="731" spans="2:18" ht="30" x14ac:dyDescent="0.2">
      <c r="B731" s="447" t="s">
        <v>953</v>
      </c>
      <c r="C731" s="448" t="s">
        <v>954</v>
      </c>
      <c r="D731" s="448" t="s">
        <v>955</v>
      </c>
      <c r="E731" s="448" t="s">
        <v>1089</v>
      </c>
      <c r="F731" s="448" t="s">
        <v>957</v>
      </c>
      <c r="G731" s="448" t="s">
        <v>1090</v>
      </c>
      <c r="H731" s="448" t="s">
        <v>1021</v>
      </c>
      <c r="I731" s="319"/>
      <c r="J731" s="319"/>
      <c r="K731" s="256"/>
      <c r="L731" s="256"/>
      <c r="M731" s="256"/>
      <c r="N731" s="256"/>
      <c r="O731" s="256"/>
      <c r="P731" s="256"/>
      <c r="Q731" s="256"/>
      <c r="R731" s="256"/>
    </row>
    <row r="732" spans="2:18" x14ac:dyDescent="0.2">
      <c r="B732" s="449" t="s">
        <v>960</v>
      </c>
      <c r="C732" s="67">
        <v>23563</v>
      </c>
      <c r="D732" s="450">
        <f>C730*C732</f>
        <v>895488252</v>
      </c>
      <c r="E732" s="451">
        <v>0.03</v>
      </c>
      <c r="F732" s="30">
        <f>D732*E732</f>
        <v>26864647.559999999</v>
      </c>
      <c r="G732" s="451">
        <v>0.5</v>
      </c>
      <c r="H732" s="516">
        <f>F732*G732</f>
        <v>13432323.779999999</v>
      </c>
      <c r="I732" s="319"/>
      <c r="J732" s="319"/>
      <c r="K732" s="256"/>
      <c r="L732" s="256"/>
      <c r="M732" s="256"/>
      <c r="N732" s="256"/>
      <c r="O732" s="256"/>
      <c r="P732" s="256"/>
      <c r="Q732" s="256"/>
      <c r="R732" s="256"/>
    </row>
    <row r="733" spans="2:18" x14ac:dyDescent="0.2">
      <c r="B733" s="452" t="s">
        <v>961</v>
      </c>
      <c r="C733" s="67">
        <v>204995</v>
      </c>
      <c r="D733" s="450">
        <f>C730*C733</f>
        <v>7790629980</v>
      </c>
      <c r="E733" s="451">
        <v>0.02</v>
      </c>
      <c r="F733" s="30">
        <f>D733*E733</f>
        <v>155812599.59999999</v>
      </c>
      <c r="G733" s="451">
        <v>0.25</v>
      </c>
      <c r="H733" s="516">
        <f>F733*G733</f>
        <v>38953149.899999999</v>
      </c>
      <c r="I733" s="319"/>
      <c r="J733" s="319"/>
      <c r="K733" s="256"/>
      <c r="L733" s="256"/>
      <c r="M733" s="256"/>
      <c r="N733" s="256"/>
      <c r="O733" s="256"/>
      <c r="P733" s="256"/>
      <c r="Q733" s="256"/>
      <c r="R733" s="256"/>
    </row>
    <row r="734" spans="2:18" x14ac:dyDescent="0.2">
      <c r="B734" s="449" t="s">
        <v>962</v>
      </c>
      <c r="C734" s="67">
        <v>1736565</v>
      </c>
      <c r="D734" s="450">
        <f>C730*C734</f>
        <v>65996416260</v>
      </c>
      <c r="E734" s="453">
        <v>5.0000000000000001E-3</v>
      </c>
      <c r="F734" s="30">
        <f>D734*E734</f>
        <v>329982081.30000001</v>
      </c>
      <c r="G734" s="451">
        <v>0.15</v>
      </c>
      <c r="H734" s="516">
        <f>F734*G734</f>
        <v>49497312.195</v>
      </c>
      <c r="I734" s="319"/>
      <c r="J734" s="319"/>
      <c r="K734" s="256"/>
      <c r="L734" s="256"/>
      <c r="M734" s="256"/>
      <c r="N734" s="256"/>
      <c r="O734" s="256"/>
      <c r="P734" s="256"/>
      <c r="Q734" s="256"/>
      <c r="R734" s="256"/>
    </row>
  </sheetData>
  <sheetProtection algorithmName="SHA-512" hashValue="Q9BosYdRVVkONkXgrYzSgykPnhmCZoef+29I8QCGfQqKIhT6BQZcfQckcrHbt9rGCA89xV16r0RuyynTPDy80g==" saltValue="+Rugp6v5XCvIbBeCAnKfPw==" spinCount="100000" sheet="1" objects="1" scenarios="1"/>
  <mergeCells count="20">
    <mergeCell ref="B367:C367"/>
    <mergeCell ref="B373:C373"/>
    <mergeCell ref="B300:C300"/>
    <mergeCell ref="B305:C305"/>
    <mergeCell ref="B331:C331"/>
    <mergeCell ref="B343:C343"/>
    <mergeCell ref="B358:C358"/>
    <mergeCell ref="B361:C361"/>
    <mergeCell ref="B290:C290"/>
    <mergeCell ref="B1:J1"/>
    <mergeCell ref="B6:E6"/>
    <mergeCell ref="B71:D71"/>
    <mergeCell ref="C73:C83"/>
    <mergeCell ref="B95:C95"/>
    <mergeCell ref="B108:C108"/>
    <mergeCell ref="B109:C109"/>
    <mergeCell ref="B119:C119"/>
    <mergeCell ref="B215:C215"/>
    <mergeCell ref="B232:C232"/>
    <mergeCell ref="B261:D261"/>
  </mergeCells>
  <hyperlinks>
    <hyperlink ref="B33"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zoomScale="60" zoomScaleNormal="60" workbookViewId="0">
      <pane xSplit="4" ySplit="1" topLeftCell="E2" activePane="bottomRight" state="frozen"/>
      <selection activeCell="A2" sqref="A2:X2"/>
      <selection pane="topRight" activeCell="A2" sqref="A2:X2"/>
      <selection pane="bottomLeft" activeCell="A2" sqref="A2:X2"/>
      <selection pane="bottomRight"/>
    </sheetView>
  </sheetViews>
  <sheetFormatPr baseColWidth="10" defaultColWidth="11.42578125" defaultRowHeight="15" x14ac:dyDescent="0.2"/>
  <cols>
    <col min="1" max="1" width="22.140625" style="92" customWidth="1"/>
    <col min="2" max="2" width="22.42578125" style="92" customWidth="1"/>
    <col min="3" max="3" width="20.42578125" style="92" customWidth="1"/>
    <col min="4" max="4" width="24.42578125" style="92" customWidth="1"/>
    <col min="5" max="5" width="101.42578125" style="92" customWidth="1"/>
    <col min="6" max="6" width="89.140625" style="325" customWidth="1"/>
    <col min="7" max="7" width="26.7109375" style="327" bestFit="1" customWidth="1"/>
    <col min="8" max="16384" width="11.42578125" style="92"/>
  </cols>
  <sheetData>
    <row r="1" spans="1:7" s="90" customFormat="1" ht="57" customHeight="1" x14ac:dyDescent="0.2">
      <c r="A1" s="582" t="s">
        <v>105</v>
      </c>
      <c r="B1" s="582" t="s">
        <v>106</v>
      </c>
      <c r="C1" s="582" t="s">
        <v>107</v>
      </c>
      <c r="D1" s="582" t="s">
        <v>108</v>
      </c>
      <c r="E1" s="582" t="s">
        <v>1145</v>
      </c>
      <c r="F1" s="582" t="s">
        <v>563</v>
      </c>
      <c r="G1" s="583" t="s">
        <v>562</v>
      </c>
    </row>
    <row r="2" spans="1:7" s="91" customFormat="1" ht="72" customHeight="1" x14ac:dyDescent="0.25">
      <c r="A2" s="669" t="s">
        <v>109</v>
      </c>
      <c r="B2" s="669" t="s">
        <v>287</v>
      </c>
      <c r="C2" s="669" t="s">
        <v>1144</v>
      </c>
      <c r="D2" s="669" t="s">
        <v>110</v>
      </c>
      <c r="E2" s="104" t="s">
        <v>111</v>
      </c>
      <c r="F2" s="672" t="str">
        <f>'P1 '!B58</f>
        <v>Se supone la intervención en 10 regiones, que involucren las principales ciudades consumidoras, las cuales pueden ser modificadas cada año, para intervenir regiones distintas enfocadas al consumo. Se estima la realización de mesas de trabajo presenciales (10)  y virtuales (1) para intervenir las regiones mencionadas, se estiman 10 talleres y/o eventos de divulgación nacionales y/o regionales, se estima un pago de suscripción anual a plataformas de información por un valor de $3000 dólares año y un desarrollador de aplicaciones  que pueda implementar estrategias de análisis a través de herramientas TI, con un salario mensual de $6.604.729   por un período de 4 meses.  Se estima 1 campaña publicitaria institucional nacional, 5 campañas publicitarias regionales, 2  stands de promoción y divulgación a nivel nacional y 20 a nivel regional, 5 pendones por región  para apoyar en eventos comerciales a los agricultores o asociaciones, es decir 60. Para complementar las campañas regionales a otras regiones no intervenidas se estima un plan de medios radial institucional a otras 10 regiones del país, también se estima 10 vallas publicitarias regionales, un monto global para impresión de folletos- recetarios que promuevan el consumo, también se estima un monto global para pautas en redes sociales como otra forma distinta de divulgación. Se estima degustaciones en canales de comercialización como supermercados, plazas de mercados, entre otros, se estiman 1000 en total, como resultantes de 10 al mes por región, por 10 meses. Se estiman 6 personas que realicen capacitación a tenderos por 10 meses, con un salario y valor para degustaciones de $2.300.000, también se estima apoyar a 4 tiendas especializadas de papa al año, cuyo valor see estimó en $19 millones, se estimó un incentivo marcas y sellos microempresas, el cual se halló partiendo de la clasificación de empresas realizadas por la Dian, a la cual se le estimó el 3% , 2% y 0.5% de sus ingresos y se supuso un apoyo del  30%, 10% y 8% de acuerdo al tamaño de la empresa, los valores propuestos serían $8.059.394 para microempresas, $15.581.260 para pequeñas empresas y  $26.398.567 para medianas empresas, se estiman apoyar con el 50% del costo de las certificaciones diferenciadores, una por región. Como complemento a la educación al consumidor y a compradores, se estima la realización de 5 cursos libres virtuales por región, un curso corto por región de manera presencial y uno virtual.  Se estima un equipo humano de 5 personas a nivel nacional con un salario promedio mensual de $7.862.772 por 12 meses, se estima 4 desplazamientos aéreos,  con sus tiquetes y viáticos y 4 terrestres. Se estima equipo de trabajo, rodamiento, y apoyos tecnológicos en las 10 regiones a intervenir. Se deja por definir  convenios con expertos, con médicos, universidades, establecimientos de horeca (hoteles, restaurantes y caterings y  otras formas de incremento.</v>
      </c>
      <c r="G2" s="673">
        <f>'P1 '!Y8</f>
        <v>60601163879.637314</v>
      </c>
    </row>
    <row r="3" spans="1:7" s="91" customFormat="1" ht="90" customHeight="1" x14ac:dyDescent="0.25">
      <c r="A3" s="669"/>
      <c r="B3" s="669"/>
      <c r="C3" s="669"/>
      <c r="D3" s="669"/>
      <c r="E3" s="104" t="s">
        <v>154</v>
      </c>
      <c r="F3" s="672"/>
      <c r="G3" s="673"/>
    </row>
    <row r="4" spans="1:7" s="91" customFormat="1" ht="114.75" customHeight="1" x14ac:dyDescent="0.25">
      <c r="A4" s="669"/>
      <c r="B4" s="669"/>
      <c r="C4" s="669"/>
      <c r="D4" s="669"/>
      <c r="E4" s="322" t="s">
        <v>288</v>
      </c>
      <c r="F4" s="672"/>
      <c r="G4" s="673"/>
    </row>
    <row r="5" spans="1:7" s="91" customFormat="1" ht="78" customHeight="1" x14ac:dyDescent="0.25">
      <c r="A5" s="669"/>
      <c r="B5" s="669"/>
      <c r="C5" s="669"/>
      <c r="D5" s="669"/>
      <c r="E5" s="105" t="s">
        <v>1129</v>
      </c>
      <c r="F5" s="672"/>
      <c r="G5" s="673"/>
    </row>
    <row r="6" spans="1:7" s="91" customFormat="1" ht="90" customHeight="1" x14ac:dyDescent="0.25">
      <c r="A6" s="669"/>
      <c r="B6" s="669"/>
      <c r="C6" s="669"/>
      <c r="D6" s="669"/>
      <c r="E6" s="322" t="s">
        <v>397</v>
      </c>
      <c r="F6" s="672"/>
      <c r="G6" s="673"/>
    </row>
    <row r="7" spans="1:7" s="91" customFormat="1" ht="108.75" customHeight="1" x14ac:dyDescent="0.25">
      <c r="A7" s="669" t="s">
        <v>109</v>
      </c>
      <c r="B7" s="669" t="s">
        <v>289</v>
      </c>
      <c r="C7" s="669" t="s">
        <v>1144</v>
      </c>
      <c r="D7" s="669" t="s">
        <v>1147</v>
      </c>
      <c r="E7" s="106" t="s">
        <v>1130</v>
      </c>
      <c r="F7" s="672" t="str">
        <f>'P1 '!B98</f>
        <v>Se estiman 12 mesas de trabajo presencial y 12 virtuales (una por mes y por región), pago en la suscripción de plataformas  base de datos por un valor de $3.000 dólares anuales. Se suponen dos viajes internacionales con sus viáticos, 3 misiones comerciales, participación en 2 ferias comerciales internacionales para apoyar a empresarios a abrir mercados. Se estiman incentivos para valor agregado de acuerdo al tamaño de la empresa, el cual se halló partiendo de la clasificación de empresas realizadas por la Dian, a la cual se le estimó el 3% , 2% y 0.5% de sus ingresos y se supuso un apoyo del  40%, 20% y 15% de acuerdo al tamaño de la empresa, se estima un incentivo para pequeñas y medianas empresas y no para microempresas ya que se considera que no estarían listos para el mercado de exportación, los valores propuestos serían $31.162.520 para pequeñas y un valor de $49.497.312 para dos medianas. También se estiman la realización de 12 giras técnicas  o visitas a regiones, una por región,  4 ruedas de negocios virtuales para terminar de concertar acercamientos realizados en los viajes y misiones comerciales.  Se estima apoyar con el 50% del costo de certificaciones diferenciadoras o sellos  a 4 empresas al año. Se estima un monto para pautas en redes sociales de $10 millones.  Se estimó un incentivo marcas y sellos el cual se halló partiendo de la clasificación de empresas realizadas por la Dian, a la cual se le estimó en 2% y 0.5% de sus ingresos y se supuso un apoyo del   10% y 8% de acuerdo al tamaño de la empresa, los valores propuestos serían  $15.581.260 para pequeñas empresas y  $26.398.567 para medianas empresas, no se estima incentivo para microempresa ya que se considera difícil que incursionen en el mercado exportador. Se estima un equipo humano  de 4 personas  con un salario promedio mensual de $7.862.772 por 12 meses, se estima 4 desplazamientos  aéreos con sus tiquetes y viáticos y 8 desplazamientos terrestres. Se estima una persona por región, para gestionar las actividades planteadas, que incluye honorarios, rodamiento y apoyos tecnológicos. Se deja por definir  otras formas de posicionamiento.</v>
      </c>
      <c r="G7" s="673">
        <f>'P1 '!Y9</f>
        <v>26501767604.909996</v>
      </c>
    </row>
    <row r="8" spans="1:7" s="91" customFormat="1" ht="87.75" customHeight="1" x14ac:dyDescent="0.25">
      <c r="A8" s="669"/>
      <c r="B8" s="669"/>
      <c r="C8" s="669"/>
      <c r="D8" s="669"/>
      <c r="E8" s="223" t="s">
        <v>290</v>
      </c>
      <c r="F8" s="672"/>
      <c r="G8" s="673"/>
    </row>
    <row r="9" spans="1:7" s="91" customFormat="1" ht="51" customHeight="1" x14ac:dyDescent="0.25">
      <c r="A9" s="669"/>
      <c r="B9" s="669"/>
      <c r="C9" s="669"/>
      <c r="D9" s="669"/>
      <c r="E9" s="223" t="s">
        <v>155</v>
      </c>
      <c r="F9" s="672"/>
      <c r="G9" s="673"/>
    </row>
    <row r="10" spans="1:7" s="91" customFormat="1" ht="50.1" customHeight="1" x14ac:dyDescent="0.25">
      <c r="A10" s="669"/>
      <c r="B10" s="669"/>
      <c r="C10" s="669"/>
      <c r="D10" s="669"/>
      <c r="E10" s="223" t="s">
        <v>156</v>
      </c>
      <c r="F10" s="672"/>
      <c r="G10" s="673"/>
    </row>
    <row r="11" spans="1:7" s="91" customFormat="1" ht="50.25" customHeight="1" x14ac:dyDescent="0.25">
      <c r="A11" s="669"/>
      <c r="B11" s="669"/>
      <c r="C11" s="669"/>
      <c r="D11" s="669"/>
      <c r="E11" s="106" t="s">
        <v>398</v>
      </c>
      <c r="F11" s="672"/>
      <c r="G11" s="673"/>
    </row>
    <row r="12" spans="1:7" s="91" customFormat="1" ht="62.45" customHeight="1" x14ac:dyDescent="0.25">
      <c r="A12" s="669"/>
      <c r="B12" s="669"/>
      <c r="C12" s="669"/>
      <c r="D12" s="669"/>
      <c r="E12" s="106" t="s">
        <v>157</v>
      </c>
      <c r="F12" s="672"/>
      <c r="G12" s="673"/>
    </row>
    <row r="13" spans="1:7" s="91" customFormat="1" ht="86.25" customHeight="1" x14ac:dyDescent="0.25">
      <c r="A13" s="669" t="s">
        <v>109</v>
      </c>
      <c r="B13" s="669" t="s">
        <v>287</v>
      </c>
      <c r="C13" s="669" t="s">
        <v>1144</v>
      </c>
      <c r="D13" s="669" t="s">
        <v>291</v>
      </c>
      <c r="E13" s="106" t="s">
        <v>399</v>
      </c>
      <c r="F13" s="672" t="str">
        <f>'P1 '!B140</f>
        <v>Se estiman 12 mesas de trabajo presencial y 12 virtuales (una por mes y por región),se estiman 24 talleres y/o eventos de divulgación nacionales y/o regionales presenciales y 24 virtuales para brindar acompañamiento técnico a productores y organizaciones de productores, también se estiman giras técnicas y/o visitas para realizar acercamientos con clientes y revisar requisitos de comercialización. Se estima realización de 24 ruedas de negocios presenciales y 24 virtuales, se estima realizar 4 mercados campesinos y/o circuitos cortos de comercialización por región al año, se estima participación en 12 ferias comerciales nacionales. Se estima un monto global para pautas en redes sociales como otra forma distinta de apoyo a la comercialización.  Se estiman 6 desarrolladores de aplicaciones para desarrollar aplicaciones que apoyen a los productores y organizaciones de productores a comercializar por aplicaciones tecnológicas. Se sugiere la creación de un incentivo para el pago de la comisión FAG de contratos de suministro,  se estima 4 millones de toneladas de papa anuales, de las cuales, se estima que el 10% , es decir 400.000 toneladas se estima que suscriban contratos de suministro. Se supuso un valor de papa de $1.000.000 por tonelada  y se estimó que el porcentaje de comisión del FAG es del 3.75% y el registro en la BMC del vendedor es de 0.04% del valor de la negociación, lo que arroja un valor de $37.900 por tonelada de papa  registrada en la BMC, se estima que el 50% de este valor sea asumido por el estado durante los ocho primeros años. Se estima un incentivo para posicionar marcas y sellos a los productores y/organización de productores una por región, se estima un incentivo al valor agregado se calculó partiendo de la clasificación de la DIAN, a la cual se le estimó el 3% , 2% y 0.5% de sus ingresos y se supuso un apoyo del  40%, 20% y 15% de acuerdo al tamaño de la empresa, los valores propuestos serían $10.745.859 para microempresas,  $31. 162.520 para pequeñas empresas y $49.497.312 para medianas empresas, se estima apoyar a 2 empresas al año de cada tamaño. Se estima el requerimiento de recursos para fortalecer infraestructura de comercialización local y/o regional por medio de la mejora en la planta física, la cual tiene un valor de $750 millones, como resultado de un área estimada de 500 mts con un costo por metro cuadrado de $1.500.000,  se sugiere apoyar 4 sitios de mejora al año, durante 8 años, se estima que este apoyo sea asumido por el ente territorial en su totalidad. Se estima un equipo humano  de 3 personas para los proyectos con un salario promedio mensual de $7.862.772 por 12 meses, se estima 3 desplazamientos aéreos,  con sus tiquetes y viáticos y 9 terrestres. Se estima equipo de trabajo, rodamiento, y apoyos tecnológicos en las 12 regiones a intervenir. Se deja por definir  fomento compras convenios públicos, incentivo a seguros agropecuarios y/o instrumentos de mitigación de riesgos, implementación de otros instrumentos de comercialización para la cadena y  otras formas de aumento.</v>
      </c>
      <c r="G13" s="673">
        <f>'P1 '!Y10</f>
        <v>116746944445.37466</v>
      </c>
    </row>
    <row r="14" spans="1:7" s="91" customFormat="1" ht="132.75" customHeight="1" x14ac:dyDescent="0.25">
      <c r="A14" s="669"/>
      <c r="B14" s="669"/>
      <c r="C14" s="669"/>
      <c r="D14" s="669"/>
      <c r="E14" s="106" t="s">
        <v>292</v>
      </c>
      <c r="F14" s="672"/>
      <c r="G14" s="673"/>
    </row>
    <row r="15" spans="1:7" s="91" customFormat="1" ht="82.5" customHeight="1" x14ac:dyDescent="0.25">
      <c r="A15" s="669"/>
      <c r="B15" s="669"/>
      <c r="C15" s="669"/>
      <c r="D15" s="669"/>
      <c r="E15" s="106" t="s">
        <v>293</v>
      </c>
      <c r="F15" s="672"/>
      <c r="G15" s="673"/>
    </row>
    <row r="16" spans="1:7" s="91" customFormat="1" ht="60.75" customHeight="1" x14ac:dyDescent="0.25">
      <c r="A16" s="669"/>
      <c r="B16" s="669"/>
      <c r="C16" s="669"/>
      <c r="D16" s="669"/>
      <c r="E16" s="224" t="s">
        <v>1131</v>
      </c>
      <c r="F16" s="672"/>
      <c r="G16" s="673"/>
    </row>
    <row r="17" spans="1:7" s="91" customFormat="1" ht="88.5" customHeight="1" x14ac:dyDescent="0.25">
      <c r="A17" s="669"/>
      <c r="B17" s="669"/>
      <c r="C17" s="669"/>
      <c r="D17" s="669"/>
      <c r="E17" s="224" t="s">
        <v>400</v>
      </c>
      <c r="F17" s="672"/>
      <c r="G17" s="673"/>
    </row>
    <row r="18" spans="1:7" s="91" customFormat="1" ht="69" customHeight="1" x14ac:dyDescent="0.25">
      <c r="A18" s="669"/>
      <c r="B18" s="669"/>
      <c r="C18" s="669"/>
      <c r="D18" s="669"/>
      <c r="E18" s="106" t="s">
        <v>294</v>
      </c>
      <c r="F18" s="672"/>
      <c r="G18" s="673"/>
    </row>
    <row r="19" spans="1:7" s="91" customFormat="1" ht="82.5" customHeight="1" x14ac:dyDescent="0.25">
      <c r="A19" s="669" t="s">
        <v>295</v>
      </c>
      <c r="B19" s="669" t="s">
        <v>296</v>
      </c>
      <c r="C19" s="669" t="s">
        <v>158</v>
      </c>
      <c r="D19" s="669" t="s">
        <v>297</v>
      </c>
      <c r="E19" s="106" t="s">
        <v>298</v>
      </c>
      <c r="F19" s="672" t="str">
        <f>'P2'!B56</f>
        <v xml:space="preserve">Se estiman 12 mesas de trabajo presencial y 12 virtuales (una por mes y por región),  se estima la realización de 12  talleres y/o eventos de divulgación nacionales y/o regionales presenciales y 12 virtuales como una forma para capacitar a los agricultores y asociaciones,  se estiman 4 asesorías especializadas por 10 meses, se estima un incentivo para la realización de análisis biológicos de suelos 50 por región, incentivo del 30% para la realización de 40  análisis de virus por región,  se estiman talleres especializados y/o encuentros técnicos, se estima la realización de parcelas demostrativas o lotes modelos de semilla certificadas 4 por región, se supone realizar talleres prácticos  4 por región, se estima la realización de 12 campañas institucionales, una por región, se estima la realización de 48 ruedas de negocios presenciales (4 por región) y 36   ruedas de negocios virtual (3 por región), se estima un monto global para pautas en redes sociales de $3.000.000 para 12 regiones, se estima un material de divulgación por un valor  de $5 millones para 12 regiones, se estima un incentivo a la producción de semilla certificada  para 2 empresas, el cual se halló, estimando el valor de requerimientos de laboratorios, casa de malla y registro por un valor de 95 millones para lo cual se estimó un ICR del 40%, también se estimó un valor para la producción de semilla certificada fase 2, para lo cual se estimó requerimiento en la compra de mini tubérculos, bodega, canastillas y selladoras y el registro por un valor de $50 millones para 10 empresas al año, para lo cual se estimó un ICR del 40%,  se estima dos planes de medios radiales por región, se estima un LEC del 7,% para capital de trabajo para comercialización de semilla para 8 empresas al año, el valor calculado por empresa es $375 millones, que es el resultado de estimar un valor promedio por tonelada de semilla de papa en el mercado y suponer 400 toneladas de semillas anuales, es decir 6000 bultos de semilla,  para comercializar por una asociación/empresa. Se estimó equipos para el manejo poscosecha de semilla certificada, a través de procesos de selección, clasificación, limpieza y disposición, para su posterior comercialización, para lo cual se estimó un ICR del 20%., Se estima apoyar a 4 asociaciones/empresas año, durante 5 años con un incentivo del ICR del 20%. Se estima la realización de plan de medios radial institucional para socializar los talleres y eventos a realizar. Se estima un equipo humano de 3 personas con un salario promedio mensual de $8.963.563  por 12 meses, se estima 8 desplazamientos terrestres  con sus viáticos y desplazamientos,  cuatro desplazamientos aéreos con sus tiquetes y viáticos, se estima una persona en región con su rodamiento y apoyos tecnológicos.  Se deja por definir  otras formas de implementación. </v>
      </c>
      <c r="G19" s="673">
        <f>'P2'!Y8</f>
        <v>89318745704</v>
      </c>
    </row>
    <row r="20" spans="1:7" s="91" customFormat="1" ht="66.75" customHeight="1" x14ac:dyDescent="0.25">
      <c r="A20" s="669"/>
      <c r="B20" s="669"/>
      <c r="C20" s="669"/>
      <c r="D20" s="669"/>
      <c r="E20" s="104" t="s">
        <v>299</v>
      </c>
      <c r="F20" s="672"/>
      <c r="G20" s="673"/>
    </row>
    <row r="21" spans="1:7" s="91" customFormat="1" ht="119.25" customHeight="1" x14ac:dyDescent="0.25">
      <c r="A21" s="669"/>
      <c r="B21" s="669"/>
      <c r="C21" s="669"/>
      <c r="D21" s="669"/>
      <c r="E21" s="223" t="s">
        <v>300</v>
      </c>
      <c r="F21" s="672"/>
      <c r="G21" s="673"/>
    </row>
    <row r="22" spans="1:7" s="91" customFormat="1" ht="72.95" customHeight="1" x14ac:dyDescent="0.25">
      <c r="A22" s="669"/>
      <c r="B22" s="669"/>
      <c r="C22" s="669"/>
      <c r="D22" s="669"/>
      <c r="E22" s="223" t="s">
        <v>1121</v>
      </c>
      <c r="F22" s="672"/>
      <c r="G22" s="673"/>
    </row>
    <row r="23" spans="1:7" s="91" customFormat="1" ht="65.099999999999994" customHeight="1" x14ac:dyDescent="0.25">
      <c r="A23" s="669"/>
      <c r="B23" s="669"/>
      <c r="C23" s="669"/>
      <c r="D23" s="669"/>
      <c r="E23" s="104" t="s">
        <v>401</v>
      </c>
      <c r="F23" s="672"/>
      <c r="G23" s="673"/>
    </row>
    <row r="24" spans="1:7" ht="122.25" customHeight="1" x14ac:dyDescent="0.2">
      <c r="A24" s="669" t="s">
        <v>109</v>
      </c>
      <c r="B24" s="669" t="s">
        <v>301</v>
      </c>
      <c r="C24" s="669" t="s">
        <v>158</v>
      </c>
      <c r="D24" s="669" t="s">
        <v>302</v>
      </c>
      <c r="E24" s="223" t="s">
        <v>303</v>
      </c>
      <c r="F24" s="672" t="str">
        <f>'P2'!B112</f>
        <v xml:space="preserve">Se estiman 12 mesas de trabajo presencial y 12 virtuales  (una por mes y por región),  se estima la realización de 48 talleres y/o eventos de divulgación nacionales y/o regionales presenciales y 48 virtuales, es decir 4 por región,  para clasificar, priorizar y también para realizar acompañamiento a los agricultores y asociaciones en distintos temas,  se estima la realización de plan de medios radial institucional 2 por región, para socializar los talleres y eventos a realizar y también como un mecanismo alternativo para divulgación y capacitación. Se estima un apoyo del 25% al costo de análisis de agua, suelos, foliar y multiresiduos  con un costo de $1 millón de pesos para el paquete de análisis, para  el 50% del total  de UPAS productoras (40.952) durante 19 años, es decir 2368 UPAS al año, también se estima 72 agricultores para realizar asistencia técnica dirigido a pequeños productores, cifra que se halló, partiendo de 90.000 productores de papa, y estimando que se va a realizar asistencia técnica al 80% de estos productores (72.000)  durante 5 años (14.400), se supone que una persona realice asistencia técnica a 200 productores al año, asumiendo que en promedio cada productor tendría una hectárea, por lo que se requeriría 72 asistentes técnicos, también se estiman 2 asesores especializados con un salario promedio de $14.467.506 durante 2 meses.  Para capacitar y brindar asistencia técnica integral, se estiman 60 cursos libres virtuales 5 por región productoras, cursos cortos por región, cursos cortos virtuales por región, días de campo, y/o giras técnicas y/ o demostraciones de método, 3 por región, 12 parcelas demostrativas o lotes modelos por región. Se estima realizar 24 ruedas de negocios virtuales y 24 presenciales  para conectar empresas especializadas en diferentes temas como semilla, insumos, servicios  y productores. Se estiman  desarrolladores para realizar monitoreo con honorarios promedio mensuales de $5.661.197 por cinco meses, se estiman talleres especializados y/o encuentros técnicos por región. Se estima el 50% del costo de certificaciones BPA para 5 empresas/productores para las 12 regiones, se estima apoyar con el 50% del valor de las certificaciones o sellos por región.  Se sugiere la creación de un incentivo para la agregación del valor de acuerdo al tamaño de la empresa, valores que se hallaron basados en la clasificación de la DIAN a la cual se le estimó el 3% , 2% y 0.5% de sus ingresos y se supuso un apoyo del  40%, 20% y 15% de acuerdo al tamaño de la empresa, los valores propuestos serían $10.745.859 para dos microempresas, $31.162.520,  para dos pequeñas empresas y $49.497.312 para dos medianas empresas, que requieran un apoyo para lograr generar valor agregado en su producto. Se sugiere un incentivo del 80% a un valor de apoyo de $30 millones a suelos degradados en distritos de riesgo, se estima apoyar a 50 has año,  también se sugiere un incentivo a suelos degradados el cual es el  60%  de $10 millones  estimados.  Se estima Kits de maquinaria y equipo producción primaria compuesta por un tractor, una sembradora, un arado de cincel y una cosechadora que permita mejorar la eficiencia de las labores de cultivo por un valor global de $291.730.750 para 10 regiones durante 10 años, se estima in ICR del 30% para esta maquinaria. Se estima kit de equipos para adecuación de papa compuestos por  módulos para recepción, selección por calidad, clasificación, lavado, escurrido y secado de papa con sus respectivos controles eléctricos de velocidad y controles de encendido y apagado, estimados en $392 millones.  Se estima 5 kits por año durante 5 años, con un ICR del 20%.  Se estima un equipo humano de 5 personas con un salario promedio mensual de $8.963.563  por 12 meses, se estima 8 desplazamientos terrestres  con sus viáticos y desplazamientos,  cuatro desplazamientos aéreos con sus tiquetes y viáticos, se estima una persona en región con su rodamiento y apoyos tecnológicos.  Se deja por definir  otras formas de implementación.  Se calculó un incentivo a la compra de semilla certificada, el cual se estimo de manera creciente suponiendo un incremento anual el uso de semillas certificadas, se parte de un valor has 13.600 has sembrada con semilla certificada en el 2017, por tanto se parte en el cuarto año de un valor de 15.600 has sembradas con semilla certificada y se estima un crecimiento anual del 6% por 10 años, se estima un  valor en el precio de la semilla de $1.250.000 y se estima un apoyo del 25% para la compra de la semilla certificada. </v>
      </c>
      <c r="G24" s="673">
        <f>'P2'!Y9</f>
        <v>221715376443.89209</v>
      </c>
    </row>
    <row r="25" spans="1:7" ht="129.75" customHeight="1" x14ac:dyDescent="0.2">
      <c r="A25" s="669"/>
      <c r="B25" s="669"/>
      <c r="C25" s="669"/>
      <c r="D25" s="669"/>
      <c r="E25" s="223" t="s">
        <v>304</v>
      </c>
      <c r="F25" s="672"/>
      <c r="G25" s="673"/>
    </row>
    <row r="26" spans="1:7" ht="122.25" customHeight="1" x14ac:dyDescent="0.2">
      <c r="A26" s="669"/>
      <c r="B26" s="669"/>
      <c r="C26" s="669"/>
      <c r="D26" s="669"/>
      <c r="E26" s="223" t="s">
        <v>305</v>
      </c>
      <c r="F26" s="672"/>
      <c r="G26" s="673"/>
    </row>
    <row r="27" spans="1:7" ht="107.25" customHeight="1" x14ac:dyDescent="0.2">
      <c r="A27" s="669"/>
      <c r="B27" s="669"/>
      <c r="C27" s="669"/>
      <c r="D27" s="669"/>
      <c r="E27" s="223" t="s">
        <v>306</v>
      </c>
      <c r="F27" s="672"/>
      <c r="G27" s="673"/>
    </row>
    <row r="28" spans="1:7" ht="91.5" customHeight="1" x14ac:dyDescent="0.2">
      <c r="A28" s="669"/>
      <c r="B28" s="669"/>
      <c r="C28" s="669"/>
      <c r="D28" s="669"/>
      <c r="E28" s="223" t="s">
        <v>1122</v>
      </c>
      <c r="F28" s="672"/>
      <c r="G28" s="673"/>
    </row>
    <row r="29" spans="1:7" ht="145.5" customHeight="1" x14ac:dyDescent="0.2">
      <c r="A29" s="669"/>
      <c r="B29" s="669"/>
      <c r="C29" s="669"/>
      <c r="D29" s="669"/>
      <c r="E29" s="223" t="s">
        <v>307</v>
      </c>
      <c r="F29" s="672"/>
      <c r="G29" s="673"/>
    </row>
    <row r="30" spans="1:7" ht="95.25" customHeight="1" x14ac:dyDescent="0.2">
      <c r="A30" s="669"/>
      <c r="B30" s="669"/>
      <c r="C30" s="669"/>
      <c r="D30" s="669"/>
      <c r="E30" s="223" t="s">
        <v>308</v>
      </c>
      <c r="F30" s="672"/>
      <c r="G30" s="673"/>
    </row>
    <row r="31" spans="1:7" ht="44.45" customHeight="1" x14ac:dyDescent="0.2">
      <c r="A31" s="669"/>
      <c r="B31" s="669"/>
      <c r="C31" s="669"/>
      <c r="D31" s="669"/>
      <c r="E31" s="223" t="s">
        <v>1123</v>
      </c>
      <c r="F31" s="672"/>
      <c r="G31" s="673"/>
    </row>
    <row r="32" spans="1:7" ht="12" customHeight="1" x14ac:dyDescent="0.2">
      <c r="A32" s="669"/>
      <c r="B32" s="669"/>
      <c r="C32" s="669"/>
      <c r="D32" s="669"/>
      <c r="E32" s="223" t="s">
        <v>309</v>
      </c>
      <c r="F32" s="672"/>
      <c r="G32" s="673"/>
    </row>
    <row r="33" spans="1:7" ht="105.75" customHeight="1" x14ac:dyDescent="0.2">
      <c r="A33" s="669" t="s">
        <v>109</v>
      </c>
      <c r="B33" s="669" t="s">
        <v>301</v>
      </c>
      <c r="C33" s="669" t="s">
        <v>158</v>
      </c>
      <c r="D33" s="669" t="s">
        <v>310</v>
      </c>
      <c r="E33" s="104" t="s">
        <v>311</v>
      </c>
      <c r="F33" s="672" t="str">
        <f>'P2'!B162</f>
        <v xml:space="preserve">Se estima 20 mesas de trabajo presencial y virtuales que son las zonas que se consideran con componente industrial, dos por zonas,   se estiman 4 asesores especializados durante 2 meses para profundizar en distintas regiones del país sobre temas especializados, se estima la realización de una gira técnica y/o visita y/ demostración de método por región, se estima  2 talleres y/o eventos de divulgación presenciales  por región, 2 talleres y/o eventos virtuales por región,  1 taller y/o eventos prácticos por región, un monto global de material divulgativo por región por $3 millones para 10 regiones, también se estiman 2 talleres y/o encuentros especializados por región, se estima plan de medios radial regional para promocionar los distintos eventos grupales para realizar capacitación, se estima pautas en redes sociales por región por un valor de $2 millones.  Se estima la realización de 2 ruedas de negocios presenciales por región y 2 ruedas de negocios virtuales, se estima la realización de 2 cursos cortar por región, 2 cursos cortos virtuales por región, 2 cursos libres presenciales y virtuales por región, así como 2 diplomados presenciales y 2 virtuales por región. Se estima la realización de 4 ferias comerciales nacionales.  Se estima incentivar la agregación de valor de acuerdo al tamaño de la empresa, el valor estimado se halla de acuerdo a la Resolución 957 del 2019  de la DIAN, relacionado con la clasificación de las empresas por el valor de ingresos, en micro, pequeñas y medianas, se tomó el valor de los ingresos  y se estimó un porcentaje del 3%, 1% y 0.2%, partiendo de este valor, se consideró un incentivo de 40%, 25% y 20% respectivamente, los valores propuestos serían $10.745.859 para dos microempresas, $31.162.520,  para dos pequeñas empresas y $49.497.312 para dos medianas empresas, que requieran un apoyo para generar valor agregado.  Se estima el 50% del costo de certificaciones BPA para 4 empresas al año, se estima apoyar con el 50% del valor de cuatro certificaciones o sellos al año, durante 10 años.  Se estima incentivar el desarrollo de procesos para 3 pequeñas y 2 medianas empresas al año, el valor estimado se halla de acuerdo a la Resolución 957 del 2019  de la DIAN, relacionado con la  clasificación de las empresas por el valor de ingresos, se tomó el valor de los ingresos  y se estimó un porcentaje del 2% y 0.5%, partiendo de este valor, se consideró un incentivo de 35% para los cosas, los valores propuestos son $54.534.956 y $115.493.728 por diez años.   Se estima un equipo humano de 4 personas con un salario promedio mensual de $8.963.563  por 12 meses, se estima 8 desplazamientos terrestres  con sus viáticos y desplazamientos,  cuatro desplazamientos aéreos con sus tiquetes y viáticos, se estima una persona en región con su rodamiento y apoyos tecnológicos.  Se deja por definir  otras formas de implementación. </v>
      </c>
      <c r="G33" s="673">
        <f>'P2'!Y10</f>
        <v>46567542514.728317</v>
      </c>
    </row>
    <row r="34" spans="1:7" ht="81.75" customHeight="1" x14ac:dyDescent="0.2">
      <c r="A34" s="669"/>
      <c r="B34" s="669"/>
      <c r="C34" s="669"/>
      <c r="D34" s="669"/>
      <c r="E34" s="104" t="s">
        <v>312</v>
      </c>
      <c r="F34" s="672"/>
      <c r="G34" s="673"/>
    </row>
    <row r="35" spans="1:7" ht="108" customHeight="1" x14ac:dyDescent="0.2">
      <c r="A35" s="669"/>
      <c r="B35" s="669"/>
      <c r="C35" s="669"/>
      <c r="D35" s="669"/>
      <c r="E35" s="104" t="s">
        <v>313</v>
      </c>
      <c r="F35" s="672"/>
      <c r="G35" s="673"/>
    </row>
    <row r="36" spans="1:7" ht="105" customHeight="1" x14ac:dyDescent="0.2">
      <c r="A36" s="669"/>
      <c r="B36" s="669"/>
      <c r="C36" s="669"/>
      <c r="D36" s="669"/>
      <c r="E36" s="104" t="s">
        <v>314</v>
      </c>
      <c r="F36" s="672"/>
      <c r="G36" s="673"/>
    </row>
    <row r="37" spans="1:7" ht="106.5" customHeight="1" x14ac:dyDescent="0.2">
      <c r="A37" s="669"/>
      <c r="B37" s="669"/>
      <c r="C37" s="669"/>
      <c r="D37" s="669"/>
      <c r="E37" s="104" t="s">
        <v>315</v>
      </c>
      <c r="F37" s="672"/>
      <c r="G37" s="673"/>
    </row>
    <row r="38" spans="1:7" ht="69.75" customHeight="1" x14ac:dyDescent="0.2">
      <c r="A38" s="669"/>
      <c r="B38" s="669"/>
      <c r="C38" s="669"/>
      <c r="D38" s="669"/>
      <c r="E38" s="104" t="s">
        <v>316</v>
      </c>
      <c r="F38" s="672"/>
      <c r="G38" s="673"/>
    </row>
    <row r="39" spans="1:7" ht="69.75" customHeight="1" x14ac:dyDescent="0.2">
      <c r="A39" s="669" t="s">
        <v>109</v>
      </c>
      <c r="B39" s="669" t="s">
        <v>301</v>
      </c>
      <c r="C39" s="669" t="s">
        <v>158</v>
      </c>
      <c r="D39" s="669" t="s">
        <v>317</v>
      </c>
      <c r="E39" s="104" t="s">
        <v>1137</v>
      </c>
      <c r="F39" s="672" t="str">
        <f>'P2'!B204</f>
        <v xml:space="preserve">Se estima 24 mesas de trabajo presencial y 24 virtuales, es decir dos por región, se estima asesoría especializada para profundizar sobre temas de interés durante dos meses, se estiman giras técnicas, visitas y/o demostraciones de método una por región, se estima la realización de 2 talleres y/o eventos de divulgación presenciales por región y 2 talleres y/o eventos virtuales por región, se estima un monto de $ 3 millones de material divulgativo por región, se estiman talleres especializados uno por región, un plan de medios radial por región para realizar divulgación, se estiman pautas en redes sociales por un monto de $2 millones, una por región, Se estiman 2 ruedas de negocios presenciales y 12 virtuales, Se estima la realización de 2 cursos cortos presenciales por región, 2 virtuales por región, 2 cursos libres por región, 2 cursos libres virtuales por región, también se considera la participación en 4 ferias comerciales nacionales.  Se estima incentivar al desarrollo de marcas y sellos para pequeñas dos por año, por un valor de $15. 581.260 , valor que se halló  de acuerdo a la Resolución 957 del 2019  de la DIAN, relacionado con la clasificación de las empresas por el valor de ingresos y se tomo solo el valor para pequeñas empresas, estimando un %10 del valor de los ingresos, este incentivo se considera por 10 años. Adicionalmente se consideró un incentivo para el desarrollo de procesos de transformación para pequeñas y medianas, el cual se halló de la misma manera, pero se consideró un 2% y 0.5% del valor de los ingresos para pequeñas y medianas y se consideró un incentivo de 35% para ambos casos. Adicionalmente se sugiere un incentivo para la integración vertical y horizontal para 2 empresas pequeñas y 2 empresas medianas, cuyo valor se halló partiendo también de un 2% y un 0.5% del valor de los ingresos  y se considera un incentivo del 25% y 15% respectivamente.  Se estima un equipo humano de 4 personas con un salario promedio mensual de $8.963.563  por 12 meses, se estima 8 desplazamientos terrestres  con sus viáticos y desplazamientos,  cuatro desplazamientos aéreos con sus tiquetes y viáticos, se estima una persona en región con su rodamiento y apoyos tecnológicos.  Se deja por definir  otros mecanismos. </v>
      </c>
      <c r="G39" s="673">
        <f>'P2'!Y11</f>
        <v>40483625093.166664</v>
      </c>
    </row>
    <row r="40" spans="1:7" ht="75.75" customHeight="1" x14ac:dyDescent="0.2">
      <c r="A40" s="669"/>
      <c r="B40" s="669"/>
      <c r="C40" s="669"/>
      <c r="D40" s="669"/>
      <c r="E40" s="104" t="s">
        <v>318</v>
      </c>
      <c r="F40" s="672"/>
      <c r="G40" s="673"/>
    </row>
    <row r="41" spans="1:7" ht="165.6" customHeight="1" x14ac:dyDescent="0.2">
      <c r="A41" s="669"/>
      <c r="B41" s="669"/>
      <c r="C41" s="669"/>
      <c r="D41" s="669"/>
      <c r="E41" s="104" t="s">
        <v>319</v>
      </c>
      <c r="F41" s="672"/>
      <c r="G41" s="673"/>
    </row>
    <row r="42" spans="1:7" ht="99" customHeight="1" x14ac:dyDescent="0.2">
      <c r="A42" s="669" t="s">
        <v>109</v>
      </c>
      <c r="B42" s="669" t="s">
        <v>301</v>
      </c>
      <c r="C42" s="669" t="s">
        <v>158</v>
      </c>
      <c r="D42" s="669" t="s">
        <v>1138</v>
      </c>
      <c r="E42" s="322" t="s">
        <v>1132</v>
      </c>
      <c r="F42" s="672" t="str">
        <f>'P2'!B248</f>
        <v xml:space="preserve">Se estiman 12 mesas de trabajo presencial y 12 virtuales (una por mes y por región), se estima 1 visita y/o gira técnica por región,  se estiman 12 talleres y/o eventos de divulgación nacionales y/o regionales presenciales y 12 virtuales. Se estiman dos viajes internacional y sus viáticos a dos empresarios para que conozcan otras experiencias en el acopio, almacenamiento y procesamiento de la papa. Se estiman capacitaciones dirigidas a fortalecer los empresarios a través de cursos cortos por región de manera presencial y curso cortos virtuales, cursos libres presenciales por región, también  cursos libres virtuales por región, 6 diplomados presenciales y 6 virtuales. Se estima un monto global requerido para capital de trabajo para el procesamiento para 30 empresas al año, se sugiere un LEC para capital de trabajo para el procesamiento de papa con aptitud industrial, el cual se halló considerando $ 1 millón como valor promedio para la tonelada de papa con aptitud industrial se estima que una empresa procese 250 toneladas al año, es decir 5.000 bultos de papa industrial , para lo cual se sugiere existe una línea especial de crédito del 7,5% anual.  Adicionalmente se estima un ICR del 20% para incentiva la adecuación de 6 bodegas de mediana capacidad (hasta 120 ton de papa) por un valor de $204 millones que incluye obra civil, implementos y equipamientos, se estima 8 bodegas de gran capacidad y el valor  comercial se estima en 990 millones, el cual incluye el costo de obra civil, equipamiento e implementos. Se estima un ICR del 30%, al mejoramiento de infraestructura de procesamiento para pequeñas y medianas empresas, no para microempresas, el cual se calculó teniendo en cuenta  la clasificación de la DIAN partiendo del 2%  y 0.5% del valor de ingresos y se sugiere un incentivo del 40% y 30%, lo que arroja $62.325.040 para pequeñas y $98.994.624 para medianas, este incentivo se considera por 10 años. También se estima dos asesores especializada para proyectos con un valor promedio de $14.467.506 por 8 meses.  Se estima un incentivo al mejoramiento de infraestructura de procesamiento para pequeñas y medianas empresas, no para microempresas, el cual se calculó teniendo en cuenta  la clasificación de la DIAN partiendo del 2%  del valor de ingresos y se sugiere un incentivo del 40% y 30%, lo que arroja $62.325.040 para pequeñas y $98.994.624 para medianas, este incentivo se considera por 10 años. Se estima un incentivo al fortalecimiento para las empresas medianas de papa y para la creación y fortalecimiento agroindustriales para el procesamiento de derivados y otros, el cual se calculó teniendo en cuenta  la clasificación de la DIAN partiendo del 2%  del valor de ingresos y se sugiere un incentivo del 25% lo que arroja $38.953.150 para medianas, este incentivo se considera por 10 años, se calcularon estos incentivos a partir de la clasificación de la Dian al no contar con elementos suficientes para realizar el costeo de los requerimientos de maquinaria para el procesamiento de la papa.  Se estima un equipo humano de 4 personas con un salario promedio mensual de $8.963.563 por 12 meses, el cual comparte actividades con el proyecto 2.5, se estima 8 desplazamientos terrestres  con sus tiquetes y viáticos y 4 desplazamientos aéreos. Se estima equipo de trabajo en región que incluye salario, rodamiento y apoyos tecnológicos que requiere  12 personas que comparten funciones con el proyecto 2.6.  Se deja por definir  otros mecanismos para mejora. </v>
      </c>
      <c r="G42" s="673">
        <f>'P2'!Y12</f>
        <v>45725115638.133339</v>
      </c>
    </row>
    <row r="43" spans="1:7" s="93" customFormat="1" ht="78.75" customHeight="1" x14ac:dyDescent="0.2">
      <c r="A43" s="669"/>
      <c r="B43" s="669"/>
      <c r="C43" s="669"/>
      <c r="D43" s="669"/>
      <c r="E43" s="322" t="s">
        <v>1133</v>
      </c>
      <c r="F43" s="672"/>
      <c r="G43" s="673"/>
    </row>
    <row r="44" spans="1:7" s="93" customFormat="1" ht="77.25" customHeight="1" x14ac:dyDescent="0.2">
      <c r="A44" s="669"/>
      <c r="B44" s="669"/>
      <c r="C44" s="669"/>
      <c r="D44" s="669"/>
      <c r="E44" s="322" t="s">
        <v>1134</v>
      </c>
      <c r="F44" s="672"/>
      <c r="G44" s="673"/>
    </row>
    <row r="45" spans="1:7" s="93" customFormat="1" ht="77.25" customHeight="1" x14ac:dyDescent="0.2">
      <c r="A45" s="669"/>
      <c r="B45" s="669"/>
      <c r="C45" s="669"/>
      <c r="D45" s="669"/>
      <c r="E45" s="214" t="s">
        <v>320</v>
      </c>
      <c r="F45" s="672"/>
      <c r="G45" s="673"/>
    </row>
    <row r="46" spans="1:7" s="93" customFormat="1" ht="87" customHeight="1" x14ac:dyDescent="0.2">
      <c r="A46" s="669"/>
      <c r="B46" s="669"/>
      <c r="C46" s="669"/>
      <c r="D46" s="669"/>
      <c r="E46" s="214" t="s">
        <v>1135</v>
      </c>
      <c r="F46" s="672"/>
      <c r="G46" s="673"/>
    </row>
    <row r="47" spans="1:7" s="93" customFormat="1" ht="72" customHeight="1" x14ac:dyDescent="0.2">
      <c r="A47" s="669"/>
      <c r="B47" s="669"/>
      <c r="C47" s="669"/>
      <c r="D47" s="669"/>
      <c r="E47" s="214" t="s">
        <v>1136</v>
      </c>
      <c r="F47" s="672"/>
      <c r="G47" s="673"/>
    </row>
    <row r="48" spans="1:7" s="93" customFormat="1" ht="127.5" customHeight="1" x14ac:dyDescent="0.2">
      <c r="A48" s="669" t="s">
        <v>109</v>
      </c>
      <c r="B48" s="669" t="s">
        <v>301</v>
      </c>
      <c r="C48" s="669" t="s">
        <v>158</v>
      </c>
      <c r="D48" s="669" t="s">
        <v>321</v>
      </c>
      <c r="E48" s="223" t="s">
        <v>322</v>
      </c>
      <c r="F48" s="672" t="str">
        <f>'P2'!B287</f>
        <v xml:space="preserve">Se estiman 12 mesas de trabajo presencial y 12 virtuales (una por mes y por región), se estiman 2 visitas y/o giras técnicas por región,  se estiman 12 talleres y/o eventos de divulgación nacionales y/o regionales presenciales y 12 virtuales, se estiman 12 ruedas de negocios presenciales y 12 virtuales, se estima la realización de 4 ferias comerciales nacionales y 2 ferias internacionales. Se estima capacitaciones  dirigidas a fortalecer los empresarios a través de cursos cortos por región de manera presencial y curso cortos virtuales, cursos libres presenciales por región, también  cursos libres virtuales por región. Se estimó apoyar con un LEC del 7,5% de capital de trabajo para 15 empresas al año, durante 10 años, que realizan adecuación y comercialización de papa adecuada, el valor hallado se calculó es de $ 400 millones por empresas, que es el resultado de  estimar un valor promedio de papa adecuada de un millón de pesos por tonelada y de una cantidad de 400 toneladas al año que es un equivalente a 8000 bultos de papa de diferentes presentaciones. Se estiman incentivos a la especialización para el embalaje y transporte, el cual se halló partiendo de la clasificación de empresas realizadas por la Dian, a la cual se le estimó el 3% , 2% y 0.5% de sus ingresos y se supuso un apoyo del  50%, 15% y 10% de acuerdo al tamaño de la empresa, los valores propuestos serían $13.432.324 para dos microempresas, $23.371.890  para dos pequeñas empresas y $32.998.208  para dos medianas empresas, que requieran apoyo para su especialización de acuerdo al tipo de empresa. Se estiman incentivos al emprendimiento para incentivar  el fortalecimiento de 24 pequeñas empresas al año, el valor estimado  es de $38.953.150, el cual se estimó partiendo de la clasificación de empresas realizadas por la Dian, estimando el 2% de sus ingresos y se supuso un apoyo del 25% de estos.  Se estima un equipo humano de 4 personas con un salario promedio mensual de $8.963.563 por 12 meses, el cual comparte actividades con el proyecto 2.5, se estima 8 desplazamientos terrestres  con sus tiquetes y viáticos y 4 desplazamientos aéreos. Se estima equipo de trabajo en región que incluye salario, rodamiento y apoyos tecnológicos que requiere  12 personas que comparten funciones con el proyecto 2.5.  Se deja por definir  otros mecanismos de posicionamiento. </v>
      </c>
      <c r="G48" s="673">
        <f>'P2'!Y13</f>
        <v>37040395274.333336</v>
      </c>
    </row>
    <row r="49" spans="1:7" s="93" customFormat="1" ht="112.5" customHeight="1" x14ac:dyDescent="0.2">
      <c r="A49" s="669"/>
      <c r="B49" s="669"/>
      <c r="C49" s="669"/>
      <c r="D49" s="669"/>
      <c r="E49" s="224" t="s">
        <v>323</v>
      </c>
      <c r="F49" s="672"/>
      <c r="G49" s="673"/>
    </row>
    <row r="50" spans="1:7" s="93" customFormat="1" ht="103.5" customHeight="1" x14ac:dyDescent="0.2">
      <c r="A50" s="669"/>
      <c r="B50" s="669"/>
      <c r="C50" s="669"/>
      <c r="D50" s="669"/>
      <c r="E50" s="223" t="s">
        <v>324</v>
      </c>
      <c r="F50" s="672"/>
      <c r="G50" s="673"/>
    </row>
    <row r="51" spans="1:7" s="93" customFormat="1" ht="126" customHeight="1" x14ac:dyDescent="0.2">
      <c r="A51" s="669"/>
      <c r="B51" s="669"/>
      <c r="C51" s="669"/>
      <c r="D51" s="669"/>
      <c r="E51" s="223" t="s">
        <v>325</v>
      </c>
      <c r="F51" s="672"/>
      <c r="G51" s="673"/>
    </row>
    <row r="52" spans="1:7" s="93" customFormat="1" ht="100.5" customHeight="1" x14ac:dyDescent="0.2">
      <c r="A52" s="669"/>
      <c r="B52" s="669"/>
      <c r="C52" s="669"/>
      <c r="D52" s="669"/>
      <c r="E52" s="107" t="s">
        <v>326</v>
      </c>
      <c r="F52" s="672"/>
      <c r="G52" s="673"/>
    </row>
    <row r="53" spans="1:7" s="93" customFormat="1" ht="81" customHeight="1" x14ac:dyDescent="0.2">
      <c r="A53" s="669" t="s">
        <v>112</v>
      </c>
      <c r="B53" s="669" t="s">
        <v>113</v>
      </c>
      <c r="C53" s="669" t="s">
        <v>159</v>
      </c>
      <c r="D53" s="669" t="s">
        <v>160</v>
      </c>
      <c r="E53" s="107" t="s">
        <v>327</v>
      </c>
      <c r="F53" s="672" t="str">
        <f>'P3'!B35</f>
        <v xml:space="preserve">Se consideran 10 de las 12 regiones productoras de papa (no se incluye para la estimación de costos de este proyecto, región Sabana de Bogotá y región Sur de Antioquia, teniendo en cuenta las áreas de influencia en las cuales se busca apoyar la gestión del ordenamiento ambiental, fuera de la frontera agrícola). Se estiman mesas de trabajo y talleres y/o eventos de divulgación nacionales y/o regionales, presenciales (1 por región) y virtuales (2 por región), días de campo/giras técnicas (5 por región), plan de medios regional y material de promoción (1 por región). Se estima un equipo humano en región de 10 personas, con rodamiento (peajes y combustible) y apoyos tecnológicos (GPS y Tablet); y se considera "Por definir" otras formas de contribución.  </v>
      </c>
      <c r="G53" s="673">
        <f>'P3'!Y8</f>
        <v>14903521650</v>
      </c>
    </row>
    <row r="54" spans="1:7" s="93" customFormat="1" ht="82.5" customHeight="1" x14ac:dyDescent="0.2">
      <c r="A54" s="669"/>
      <c r="B54" s="669"/>
      <c r="C54" s="669"/>
      <c r="D54" s="669"/>
      <c r="E54" s="107" t="s">
        <v>114</v>
      </c>
      <c r="F54" s="672"/>
      <c r="G54" s="673"/>
    </row>
    <row r="55" spans="1:7" s="93" customFormat="1" ht="123" customHeight="1" x14ac:dyDescent="0.2">
      <c r="A55" s="669"/>
      <c r="B55" s="669"/>
      <c r="C55" s="669"/>
      <c r="D55" s="669"/>
      <c r="E55" s="107" t="s">
        <v>115</v>
      </c>
      <c r="F55" s="672"/>
      <c r="G55" s="673"/>
    </row>
    <row r="56" spans="1:7" s="93" customFormat="1" ht="143.25" customHeight="1" x14ac:dyDescent="0.2">
      <c r="A56" s="669" t="s">
        <v>112</v>
      </c>
      <c r="B56" s="669" t="s">
        <v>113</v>
      </c>
      <c r="C56" s="669" t="s">
        <v>159</v>
      </c>
      <c r="D56" s="669" t="s">
        <v>328</v>
      </c>
      <c r="E56" s="107" t="s">
        <v>329</v>
      </c>
      <c r="F56" s="672" t="str">
        <f>'P3'!B75</f>
        <v>Se estiman 28 mesas de trabajo (4 presenciales y 24 virtuales, 2 por región), talleres y/o eventos de divulgación nacionales y/o regionales (16 presenciales y 24 virtuales), 12 parcelas demostrativas (1 por región),  días de campo, giras técnicas,  visitas y/o demostraciones de método (5 en cada región), plan de medios radial regional y material de divulgación (1 por región). Se estiman, cursos cortos, cursos libres, y diplomados (presenciales 1 en cada región, y virtuales 2 en cada región); un equipo humano nacional de 3 personas, con 3 desplazamientos aéreos,  con sus tiquetes y viáticos y 8 terrestres con viáticos y desplazamientos, un desarrollador, un equipo en región de 12 personas, con rodamiento (peajes y combustible) y apoyos tecnológicos (GPS y Tablet). Se estima un ICR del 20% para soluciones individuales en riego, del área sembrada (196.823 ha) se asume que aproximadamente un 5% equivalente a 9.841 ha cuenta con riego, por lo cual se calcula un incremento anual del 20% sobre esa área, es decir 1.968 ha/año, durante los 20 años,  con un valor estimado de $6.000.000/ha, este valor corresponde a un sistema de riego por bombeo que incluye equipos, y no incluye mano de obra, ni transporte. Se estima un 7,5% de apoyo LEC de adecuación de tierras para uso agropecuario, en un 5% del área sembrada, es decir 9.841 ha/año, durante 10 años. Se estima apoyar con un ICR del 30% para la construcción  de reservorios con geomembrana, bomba captadora alimentada con paneles solares, se estima la construcción  de 500 reservorios durante la implementación del plan. Se considera "Por definir" Otros tipos de captación, almacenamiento y aprovechamiento de agua, y otras formas de promoción.</v>
      </c>
      <c r="G56" s="673">
        <f>'P3'!Y9</f>
        <v>69949095618.916656</v>
      </c>
    </row>
    <row r="57" spans="1:7" s="93" customFormat="1" ht="147.75" customHeight="1" x14ac:dyDescent="0.2">
      <c r="A57" s="669"/>
      <c r="B57" s="669"/>
      <c r="C57" s="669"/>
      <c r="D57" s="669"/>
      <c r="E57" s="107" t="s">
        <v>330</v>
      </c>
      <c r="F57" s="672"/>
      <c r="G57" s="673"/>
    </row>
    <row r="58" spans="1:7" ht="137.25" customHeight="1" x14ac:dyDescent="0.2">
      <c r="A58" s="669"/>
      <c r="B58" s="669"/>
      <c r="C58" s="669"/>
      <c r="D58" s="669"/>
      <c r="E58" s="107" t="s">
        <v>331</v>
      </c>
      <c r="F58" s="672"/>
      <c r="G58" s="673"/>
    </row>
    <row r="59" spans="1:7" ht="123" customHeight="1" x14ac:dyDescent="0.2">
      <c r="A59" s="669"/>
      <c r="B59" s="669"/>
      <c r="C59" s="669"/>
      <c r="D59" s="669"/>
      <c r="E59" s="107" t="s">
        <v>332</v>
      </c>
      <c r="F59" s="672"/>
      <c r="G59" s="673"/>
    </row>
    <row r="60" spans="1:7" ht="73.5" customHeight="1" x14ac:dyDescent="0.2">
      <c r="A60" s="669"/>
      <c r="B60" s="669"/>
      <c r="C60" s="669"/>
      <c r="D60" s="669"/>
      <c r="E60" s="224" t="s">
        <v>333</v>
      </c>
      <c r="F60" s="672"/>
      <c r="G60" s="673"/>
    </row>
    <row r="61" spans="1:7" ht="74.25" customHeight="1" x14ac:dyDescent="0.2">
      <c r="A61" s="669"/>
      <c r="B61" s="669"/>
      <c r="C61" s="669"/>
      <c r="D61" s="669"/>
      <c r="E61" s="107" t="s">
        <v>161</v>
      </c>
      <c r="F61" s="672"/>
      <c r="G61" s="673"/>
    </row>
    <row r="62" spans="1:7" ht="92.25" customHeight="1" x14ac:dyDescent="0.2">
      <c r="A62" s="669" t="s">
        <v>112</v>
      </c>
      <c r="B62" s="669" t="s">
        <v>113</v>
      </c>
      <c r="C62" s="669" t="s">
        <v>159</v>
      </c>
      <c r="D62" s="669" t="s">
        <v>162</v>
      </c>
      <c r="E62" s="104" t="s">
        <v>334</v>
      </c>
      <c r="F62" s="672" t="str">
        <f>'P3'!B112</f>
        <v xml:space="preserve">Se estiman 28 mesas de trabajo (4 presenciales y 24 virtuales - 2 por región), talleres y/o eventos de divulgación nacionales y/o regionales (16 presenciales y 24 virtuales), Días de campo, giras técnicas, visitas y/o demostraciones de método (5 en cada región), y 4 asesores especializados. Se estiman, cursos cortos, cursos libres, y diplomados (presenciales 1 en cada región, y virtuales 2 en cada región). Se propone un incentivo durante 8 años para inversiones en tecnologías y prácticas sostenibles para microempresas comercializadoras (5 por año), pequeñas empresas comercializadoras (2 por año) y medianas empresas comercializadoras (2 por año), microempresas procesadoras (10 por año), pequeñas empresas procesadoras (3 por año) y medianas empresas procesadoras (2 por año), el cual se halla partiendo de la Resolución 957 del 2019  de la DIAN, relacionado con la clasificación de las empresas por el valor de ingresos, en micro, pequeñas y medianas, se tomó el valor de los ingresos  y se estimó un porcentaje del 3%, 2% y 0.5%, partiendo de este valor, se considero un incentivo de 40%, 25% y 15% respectivamente, los valores propuestos serían $10.745.859 para dos microempresas, $38.953.150,  para dos pequeñas empresas y $49.497.312 para dos medianas. Se considera un equipo humano nacional de 3 personas, con 3 desplazamientos aéreos  con sus tiquetes y viáticos y 9 desplazamientos terrestres con viáticos y desplazamientos,  un equipo en región de 12 personas, con rodamiento (peajes y combustible) y apoyos tecnológicos (GPS y Tablet) Se considera "Por definir" otras formas de mejora. </v>
      </c>
      <c r="G62" s="673">
        <f>'P3'!Y10</f>
        <v>41471261101.786667</v>
      </c>
    </row>
    <row r="63" spans="1:7" ht="117.75" customHeight="1" x14ac:dyDescent="0.2">
      <c r="A63" s="669"/>
      <c r="B63" s="669"/>
      <c r="C63" s="669"/>
      <c r="D63" s="669"/>
      <c r="E63" s="107" t="s">
        <v>335</v>
      </c>
      <c r="F63" s="672"/>
      <c r="G63" s="673"/>
    </row>
    <row r="64" spans="1:7" ht="84.75" customHeight="1" x14ac:dyDescent="0.2">
      <c r="A64" s="669"/>
      <c r="B64" s="669"/>
      <c r="C64" s="669"/>
      <c r="D64" s="669"/>
      <c r="E64" s="104" t="s">
        <v>163</v>
      </c>
      <c r="F64" s="672"/>
      <c r="G64" s="673"/>
    </row>
    <row r="65" spans="1:7" s="91" customFormat="1" ht="57.75" customHeight="1" x14ac:dyDescent="0.25">
      <c r="A65" s="669" t="s">
        <v>112</v>
      </c>
      <c r="B65" s="669" t="s">
        <v>116</v>
      </c>
      <c r="C65" s="669" t="s">
        <v>117</v>
      </c>
      <c r="D65" s="669" t="s">
        <v>118</v>
      </c>
      <c r="E65" s="107" t="s">
        <v>336</v>
      </c>
      <c r="F65" s="672" t="str">
        <f>'P4'!B38</f>
        <v>Se estiman 12 mesas de trabajo presencial, 36 mesas de trabajo virtuales (3 por región), talleres y/o eventos de divulgación nacionales y/o regionales presenciales 1 por región y virtuales 2 por región, material de divulgación, pauta en redes sociales, cursos cortos presenciales 1 por región y virtuales 5 por región, 4 personas que apoyen la realización de actividades a nivel nacional, se estima 2 desplazamientos aéreos,  con sus tiquetes y  2 desplazamientos terrestres, se estima una persona por cada región, con rodamiento (peajes y combustible) y apoyos tecnológicos (GPS y Tablet); y se considera "Por definir" la implementación de los Planes Maestros de Reconversión Productiva y otras formas de articulación.</v>
      </c>
      <c r="G65" s="673">
        <f>'P4'!Y8</f>
        <v>33771921232</v>
      </c>
    </row>
    <row r="66" spans="1:7" s="91" customFormat="1" ht="66" customHeight="1" x14ac:dyDescent="0.25">
      <c r="A66" s="669"/>
      <c r="B66" s="669"/>
      <c r="C66" s="669"/>
      <c r="D66" s="669"/>
      <c r="E66" s="107" t="s">
        <v>119</v>
      </c>
      <c r="F66" s="672"/>
      <c r="G66" s="673"/>
    </row>
    <row r="67" spans="1:7" s="91" customFormat="1" ht="118.5" customHeight="1" x14ac:dyDescent="0.25">
      <c r="A67" s="669"/>
      <c r="B67" s="669"/>
      <c r="C67" s="669"/>
      <c r="D67" s="669"/>
      <c r="E67" s="107" t="s">
        <v>337</v>
      </c>
      <c r="F67" s="672"/>
      <c r="G67" s="673"/>
    </row>
    <row r="68" spans="1:7" s="91" customFormat="1" ht="106.5" customHeight="1" x14ac:dyDescent="0.25">
      <c r="A68" s="669"/>
      <c r="B68" s="669"/>
      <c r="C68" s="669"/>
      <c r="D68" s="669"/>
      <c r="E68" s="107" t="s">
        <v>164</v>
      </c>
      <c r="F68" s="672"/>
      <c r="G68" s="673"/>
    </row>
    <row r="69" spans="1:7" s="91" customFormat="1" ht="76.5" customHeight="1" x14ac:dyDescent="0.25">
      <c r="A69" s="669" t="s">
        <v>112</v>
      </c>
      <c r="B69" s="669" t="s">
        <v>116</v>
      </c>
      <c r="C69" s="669" t="s">
        <v>117</v>
      </c>
      <c r="D69" s="669" t="s">
        <v>165</v>
      </c>
      <c r="E69" s="107" t="s">
        <v>166</v>
      </c>
      <c r="F69" s="672" t="str">
        <f>'P4'!B68</f>
        <v xml:space="preserve">Se estiman 4 mesas de trabajo presencial y 24 mesas de trabajo virtuales, 12 talleres y/o eventos de divulgación nacionales y/o regionales presenciales (1 por región) y 24 virtuales (2 por región), 4 asesores especializados, una campaña institucional, plan de medios regional y material promocional (1 por región), un desarrollador de plataforma, cursos cortos presenciales 1 por región y virtuales 5 por región, 4 personas que apoyen la realización de actividades a nivel nacional, se estima 2 desplazamientos aéreos,  con sus tiquetes y  2 desplazamientos terrestres, se estima una persona por región, con rodamiento (peajes y combustible) y apoyos tecnológicos (GPS y Tablet). Se considera "Por definir" otras formas de promoción.  </v>
      </c>
      <c r="G69" s="673">
        <f>'P4'!Y9</f>
        <v>40174738045.333336</v>
      </c>
    </row>
    <row r="70" spans="1:7" s="91" customFormat="1" ht="81" customHeight="1" x14ac:dyDescent="0.25">
      <c r="A70" s="669"/>
      <c r="B70" s="669"/>
      <c r="C70" s="669"/>
      <c r="D70" s="669"/>
      <c r="E70" s="107" t="s">
        <v>167</v>
      </c>
      <c r="F70" s="672"/>
      <c r="G70" s="673"/>
    </row>
    <row r="71" spans="1:7" s="91" customFormat="1" ht="92.1" customHeight="1" x14ac:dyDescent="0.25">
      <c r="A71" s="669"/>
      <c r="B71" s="669"/>
      <c r="C71" s="669"/>
      <c r="D71" s="669"/>
      <c r="E71" s="224" t="s">
        <v>338</v>
      </c>
      <c r="F71" s="672"/>
      <c r="G71" s="673"/>
    </row>
    <row r="72" spans="1:7" s="91" customFormat="1" ht="89.25" customHeight="1" x14ac:dyDescent="0.25">
      <c r="A72" s="669"/>
      <c r="B72" s="669"/>
      <c r="C72" s="669"/>
      <c r="D72" s="669"/>
      <c r="E72" s="224" t="s">
        <v>168</v>
      </c>
      <c r="F72" s="672"/>
      <c r="G72" s="673"/>
    </row>
    <row r="73" spans="1:7" s="91" customFormat="1" ht="74.25" customHeight="1" x14ac:dyDescent="0.25">
      <c r="A73" s="669" t="s">
        <v>112</v>
      </c>
      <c r="B73" s="669" t="s">
        <v>116</v>
      </c>
      <c r="C73" s="669" t="s">
        <v>120</v>
      </c>
      <c r="D73" s="669" t="s">
        <v>339</v>
      </c>
      <c r="E73" s="223" t="s">
        <v>340</v>
      </c>
      <c r="F73" s="672" t="str">
        <f>'P5'!B45</f>
        <v xml:space="preserve">Se estiman 12 mesas de trabajo presencial, 6 mesas de trabajo virtuales, talleres y/o eventos de divulgación nacionales y/o regionales 1 por región, talleres y/o evento de divulgación nacional y/o regional virtuales,  plan de medios radial regional, pautas en redes sociales por un monto global de $10 millones, se estiman cursos cortos presenciales 1 por región y virtuales 1 por región,  cursos libres por región, cursos libres virtuales por región, un monto de material promocional de 10 millones.  Se propone un incentivo a las Tics por un valor de $300.000, que corresponde al valor de la Tablet para 10 personas por región, también se estima un incentivo a la conectividad por un valor de $600.000 el cual se calculó para pagar el servicio de internet por un año por región, se estima un monto global de material de promocional de 10 millones. Se estima un equipo humano de  4 personas con un promedio mensual de $7.862.772, se calcula 8 desplazamientos terrestres con sus viáticos y 4 desplazamientos aéreos con sus viáticos, se estima una persona por región, su rodamiento y apoyos tecnológicos, se considera "Por definir" otras formas de articulación. </v>
      </c>
      <c r="G73" s="673">
        <f>'P5'!Y8</f>
        <v>28602035706.666668</v>
      </c>
    </row>
    <row r="74" spans="1:7" s="91" customFormat="1" ht="93.75" customHeight="1" x14ac:dyDescent="0.25">
      <c r="A74" s="669"/>
      <c r="B74" s="669"/>
      <c r="C74" s="669"/>
      <c r="D74" s="669"/>
      <c r="E74" s="107" t="s">
        <v>341</v>
      </c>
      <c r="F74" s="672"/>
      <c r="G74" s="673"/>
    </row>
    <row r="75" spans="1:7" s="91" customFormat="1" ht="67.5" customHeight="1" x14ac:dyDescent="0.25">
      <c r="A75" s="669"/>
      <c r="B75" s="669"/>
      <c r="C75" s="669"/>
      <c r="D75" s="669"/>
      <c r="E75" s="107" t="s">
        <v>342</v>
      </c>
      <c r="F75" s="672"/>
      <c r="G75" s="673"/>
    </row>
    <row r="76" spans="1:7" s="91" customFormat="1" ht="70.5" customHeight="1" x14ac:dyDescent="0.25">
      <c r="A76" s="669"/>
      <c r="B76" s="669"/>
      <c r="C76" s="669"/>
      <c r="D76" s="669"/>
      <c r="E76" s="107" t="s">
        <v>343</v>
      </c>
      <c r="F76" s="672"/>
      <c r="G76" s="673"/>
    </row>
    <row r="77" spans="1:7" s="91" customFormat="1" ht="67.5" customHeight="1" x14ac:dyDescent="0.25">
      <c r="A77" s="669" t="s">
        <v>112</v>
      </c>
      <c r="B77" s="669" t="s">
        <v>116</v>
      </c>
      <c r="C77" s="669" t="s">
        <v>120</v>
      </c>
      <c r="D77" s="669" t="s">
        <v>344</v>
      </c>
      <c r="E77" s="223" t="s">
        <v>345</v>
      </c>
      <c r="F77" s="672" t="str">
        <f>'P5'!B76</f>
        <v>Se estiman 12 mesas de trabajo presencial y virtuales, se estima la realización de  talleres y/o eventos de divulgación nacional y/regional, uno por región a intervenir, tanto de  manera presencial como virtual.   Se estima la realización de un plan de medios radial regional,  se estima material de divulgación y promocional para apoyar a 1200 hogares año por un valor de $100.000, se estima un incentivo a Vivienda para apoyar 6 hogares al año, por un valor de 21 millones, que corresponde a un 20% del valor de la cuota inicial del valor estimado para una vivienda rural, se estima un valor de incentivo a servicios públicos para 2 familias por región por un valor de $25.000 para apoyar en pagar el valor de un mes de servicios públicos una vez,  se estima la realización de mercados campesinos y/o circuitos cortos de comercialización, 2 por región, por un valor global estimado de $3.800.000. Se estima  un equipo humano a nivel nacional  de 4 personas  con un salario promedio de $7.862.772 por diez meses se calcula 8 desplazamiento terrestres con sus viáticos y 4 desplazamientos aéreos con sus viáticos, se estima una persona por región, con su rodamiento y apoyos tecnológicos. Se considera por definir convenios y programas y otras formas de contribución.</v>
      </c>
      <c r="G77" s="673">
        <f>'P5'!Y9</f>
        <v>29856969040</v>
      </c>
    </row>
    <row r="78" spans="1:7" s="91" customFormat="1" ht="97.5" customHeight="1" x14ac:dyDescent="0.25">
      <c r="A78" s="669"/>
      <c r="B78" s="669"/>
      <c r="C78" s="669"/>
      <c r="D78" s="669"/>
      <c r="E78" s="223" t="s">
        <v>346</v>
      </c>
      <c r="F78" s="672"/>
      <c r="G78" s="673"/>
    </row>
    <row r="79" spans="1:7" s="91" customFormat="1" ht="75" customHeight="1" x14ac:dyDescent="0.25">
      <c r="A79" s="669"/>
      <c r="B79" s="669"/>
      <c r="C79" s="669"/>
      <c r="D79" s="669"/>
      <c r="E79" s="223" t="s">
        <v>347</v>
      </c>
      <c r="F79" s="672"/>
      <c r="G79" s="673"/>
    </row>
    <row r="80" spans="1:7" s="91" customFormat="1" ht="95.25" customHeight="1" x14ac:dyDescent="0.25">
      <c r="A80" s="669"/>
      <c r="B80" s="669"/>
      <c r="C80" s="669"/>
      <c r="D80" s="669"/>
      <c r="E80" s="223" t="s">
        <v>348</v>
      </c>
      <c r="F80" s="672"/>
      <c r="G80" s="673"/>
    </row>
    <row r="81" spans="1:7" s="91" customFormat="1" ht="74.099999999999994" customHeight="1" x14ac:dyDescent="0.25">
      <c r="A81" s="669" t="s">
        <v>112</v>
      </c>
      <c r="B81" s="669" t="s">
        <v>116</v>
      </c>
      <c r="C81" s="669" t="s">
        <v>120</v>
      </c>
      <c r="D81" s="669" t="s">
        <v>349</v>
      </c>
      <c r="E81" s="107" t="s">
        <v>350</v>
      </c>
      <c r="F81" s="672" t="str">
        <f>'P5'!B107</f>
        <v>Se estima 12 mesas de trabajo presencial y virtuales, 12 talleres y/o eventos de divulgación nacionales y/o regionales,  talleres y/o eventos virtuales  por región.  Se estima giras técnicas, visitas 2 por región,  cursos cortos presenciales y virtuales  por región, cursos libres virtuales y presenciales  dos por región, plan de medios radial institucional por región, ruedas de negocio presenciales por región, ruedas de negocios virtuales por región.  Se estima un equipo humano  de 4 personas con un salario promedio mensual de $7.862.772 por 10 meses, se estima 8 desplazamientos terrestres y 4 desplazamientos aéreos, se estima equipo humano por región por un valor promedio de $3.931.184 con rodamiento y apoyos tecnológicos. Se deja por definir convenios y programas y compras públicas.  Se deja por definir  otras formas de fomento.</v>
      </c>
      <c r="G81" s="673">
        <f>'P5'!Y10</f>
        <v>39836249040</v>
      </c>
    </row>
    <row r="82" spans="1:7" s="91" customFormat="1" ht="117" customHeight="1" x14ac:dyDescent="0.25">
      <c r="A82" s="669"/>
      <c r="B82" s="669"/>
      <c r="C82" s="669"/>
      <c r="D82" s="669"/>
      <c r="E82" s="107" t="s">
        <v>351</v>
      </c>
      <c r="F82" s="672"/>
      <c r="G82" s="673"/>
    </row>
    <row r="83" spans="1:7" s="91" customFormat="1" ht="75" customHeight="1" x14ac:dyDescent="0.25">
      <c r="A83" s="669"/>
      <c r="B83" s="669"/>
      <c r="C83" s="669"/>
      <c r="D83" s="669"/>
      <c r="E83" s="224" t="s">
        <v>352</v>
      </c>
      <c r="F83" s="672"/>
      <c r="G83" s="673"/>
    </row>
    <row r="84" spans="1:7" s="91" customFormat="1" ht="114.75" customHeight="1" x14ac:dyDescent="0.25">
      <c r="A84" s="669" t="s">
        <v>112</v>
      </c>
      <c r="B84" s="669" t="s">
        <v>116</v>
      </c>
      <c r="C84" s="669" t="s">
        <v>120</v>
      </c>
      <c r="D84" s="669" t="s">
        <v>353</v>
      </c>
      <c r="E84" s="223" t="s">
        <v>354</v>
      </c>
      <c r="F84" s="672" t="str">
        <f>'P5'!B146</f>
        <v xml:space="preserve">Se estima 24 mesas de trabajo presencial y virtuales, dos por región, 24 talleres y/o eventos de divulgación nacionales y/o regionales,  dos talleres y/o eventos virtuales  por región.  Se estiman giras técnicas por región,  cursos cortos presenciales y virtuales  por región, cursos libres virtuales y presenciales  por región, plan de medios radial regional,  ruedas de negocio presenciales por región, dos ruedas de negocios virtuales por región, dos mercados campesinos y/o circuitos cortos de comercialización por región. Se estima un incentivo modular para promover la asociatividad por región, el valor se halló partiendo del valor del incentivo de alianzas productivas de $1.800.00  para incentivar 15 agricultores, es decir el incentivo por asociación es de $27 millones.  Se estima LEC para  capital de trabajo para adecuación y comercialización de papa adecuada para asociaciones una por región, el valor se calculó teniendo en cuenta un valor promedio a la tonelada de papa adecuada de $1 millón y se estima 400  toneladas  de papa para ser adecuada en un año, que es equivalente a 8000 bultos de papa de diferentes presentaciones. Se estima un desarrollador de software por 4 meses con un valor promedio de $5.032.173.  Se estima un equipo humano  de 4 personas con un salario promedio mensual de $7.862.772 por 10 meses, se estima 8 desplazamientos terrestres y 4 desplazamientos aéreos, se estima equipo humano por región por un valor promedio de 3.931.184 con rodamiento y apoyos  tecnológicos.  Se deja por definir  otras formas de fomento. </v>
      </c>
      <c r="G84" s="673">
        <f>'P5'!Y11</f>
        <v>48895563752</v>
      </c>
    </row>
    <row r="85" spans="1:7" s="91" customFormat="1" ht="83.25" customHeight="1" x14ac:dyDescent="0.25">
      <c r="A85" s="669"/>
      <c r="B85" s="669"/>
      <c r="C85" s="669"/>
      <c r="D85" s="669"/>
      <c r="E85" s="223" t="s">
        <v>355</v>
      </c>
      <c r="F85" s="672"/>
      <c r="G85" s="673"/>
    </row>
    <row r="86" spans="1:7" s="91" customFormat="1" ht="115.5" customHeight="1" x14ac:dyDescent="0.25">
      <c r="A86" s="669"/>
      <c r="B86" s="669"/>
      <c r="C86" s="669"/>
      <c r="D86" s="669"/>
      <c r="E86" s="223" t="s">
        <v>356</v>
      </c>
      <c r="F86" s="672"/>
      <c r="G86" s="673"/>
    </row>
    <row r="87" spans="1:7" s="91" customFormat="1" ht="126.75" customHeight="1" x14ac:dyDescent="0.25">
      <c r="A87" s="669"/>
      <c r="B87" s="669"/>
      <c r="C87" s="669"/>
      <c r="D87" s="669"/>
      <c r="E87" s="223" t="s">
        <v>357</v>
      </c>
      <c r="F87" s="672"/>
      <c r="G87" s="673"/>
    </row>
    <row r="88" spans="1:7" s="91" customFormat="1" ht="96" customHeight="1" x14ac:dyDescent="0.25">
      <c r="A88" s="669"/>
      <c r="B88" s="669"/>
      <c r="C88" s="669"/>
      <c r="D88" s="669"/>
      <c r="E88" s="223" t="s">
        <v>358</v>
      </c>
      <c r="F88" s="672"/>
      <c r="G88" s="673"/>
    </row>
    <row r="89" spans="1:7" s="91" customFormat="1" ht="78" customHeight="1" x14ac:dyDescent="0.25">
      <c r="A89" s="669" t="s">
        <v>121</v>
      </c>
      <c r="B89" s="669" t="s">
        <v>169</v>
      </c>
      <c r="C89" s="669" t="s">
        <v>170</v>
      </c>
      <c r="D89" s="669" t="s">
        <v>122</v>
      </c>
      <c r="E89" s="214" t="s">
        <v>402</v>
      </c>
      <c r="F89" s="672" t="str">
        <f>'P6'!B54</f>
        <v>Para impulsar la actualización del PECTIA y las agendas de I+D+i de la cadena de la papa, se estiman 4 mesas de trabajo virtuales con las Mesas de CTIA para las regiones que tienen las Agendas de I+D+i actualizadas (1 para Boyacá Centro,  1 para Antioquia Norte y 1 para Antioquia Sur y 1 para Norte de Santander). Se estiman 11 mesas de trabajo presencial en  las regiones que tienen desactualizadas las Agendas, estas regiones son Cundinamarca (Norte, Oriente, Sabana de Bogotá y Sumapaz), Macizo (Nariño, Ipiales, Pasto), Cauca, Santanderes Norte Boyacá, Nevados (Norte del Tolima y Caldas), Centro Tolima Valle (Cajamarca. Tuluá).  Se estima 1 taller y/o evento de divulgación nacional para socializar el estado de actualización del PECTIA nacional, se estima 12 talleres y/o eventos de divulgación regionales un taller para cada región y 4 talleres virtuales.  Se estima asesores especializados para la evaluación técnica del centro de investigación con un salario promedio de $14.467.506 mensuales por seis meses, también se estima dos viaje internacional con sus viáticos para formar redes colaborativas o algún ejercicio de benchmarking que se requiera, se estima la realización de 6 ruedas de negocios presenciales y 6 virtuales para conectar oferta y demanda de servicios de innovación, se estiman cursos cortos por región y cursos cortos virtuales por región. Basados en la clasificación de la DIAN se estiman incentivos al la innovación para las empresas, de acuerdo a su tamaño, el cual se halló partiendo de la clasificación de empresas realizadas por la Dian, a la cual se le estimó el 3% , 2% y 0.5% de sus ingresos y se supuso un apoyo del  50%, 25% y 15% de acuerdo al tamaño de la empresa, los valores propuestos serían $13.432.324 para dos microempresa. $38.953.150 para dos pequeñas empresas y $49.497.312 para dos medianas empresas. Partiendo del programa de Váuchers de innovación se estima un apoyo de $30 millones para 4 empresas innovadoras al año, se estima dos desarrolladores de software por seis meses con un promedio salarial de $6.604.729. Se estima un equipo humano nacional de 4 personas para concertar  el modelo de I+D+i específico para la cadena de la papa, este equipo se le asigna viáticos y costo de  4 desplazamientos terrestres y 4 aéreos, también se estima un equipo humano en región de 12 personas  con rodamiento y apoyos tecnológicos. Por tener elementos insuficientes para el costeo se deja por definir la implementación de la estrategia financiera, el fortalecimiento al desarrollo de nuevas variedades, implementación del modelo de I+D+I y otras formas de implementación.</v>
      </c>
      <c r="G89" s="673">
        <f>'P6'!Y8</f>
        <v>47515521889.94001</v>
      </c>
    </row>
    <row r="90" spans="1:7" s="91" customFormat="1" ht="119.1" customHeight="1" x14ac:dyDescent="0.25">
      <c r="A90" s="669"/>
      <c r="B90" s="669"/>
      <c r="C90" s="669"/>
      <c r="D90" s="669"/>
      <c r="E90" s="214" t="s">
        <v>403</v>
      </c>
      <c r="F90" s="672"/>
      <c r="G90" s="673"/>
    </row>
    <row r="91" spans="1:7" s="91" customFormat="1" ht="117" customHeight="1" x14ac:dyDescent="0.25">
      <c r="A91" s="669"/>
      <c r="B91" s="669"/>
      <c r="C91" s="669"/>
      <c r="D91" s="669"/>
      <c r="E91" s="214" t="s">
        <v>404</v>
      </c>
      <c r="F91" s="672"/>
      <c r="G91" s="673"/>
    </row>
    <row r="92" spans="1:7" s="91" customFormat="1" ht="138.75" customHeight="1" x14ac:dyDescent="0.25">
      <c r="A92" s="669"/>
      <c r="B92" s="669"/>
      <c r="C92" s="669"/>
      <c r="D92" s="669"/>
      <c r="E92" s="214" t="s">
        <v>405</v>
      </c>
      <c r="F92" s="672"/>
      <c r="G92" s="673"/>
    </row>
    <row r="93" spans="1:7" s="91" customFormat="1" ht="94.5" customHeight="1" x14ac:dyDescent="0.25">
      <c r="A93" s="669"/>
      <c r="B93" s="669"/>
      <c r="C93" s="669"/>
      <c r="D93" s="669"/>
      <c r="E93" s="107" t="s">
        <v>359</v>
      </c>
      <c r="F93" s="672"/>
      <c r="G93" s="673"/>
    </row>
    <row r="94" spans="1:7" s="91" customFormat="1" ht="88.5" customHeight="1" x14ac:dyDescent="0.25">
      <c r="A94" s="669"/>
      <c r="B94" s="669"/>
      <c r="C94" s="669"/>
      <c r="D94" s="669"/>
      <c r="E94" s="214" t="s">
        <v>406</v>
      </c>
      <c r="F94" s="672"/>
      <c r="G94" s="673"/>
    </row>
    <row r="95" spans="1:7" s="91" customFormat="1" ht="83.25" customHeight="1" x14ac:dyDescent="0.25">
      <c r="A95" s="669"/>
      <c r="B95" s="669"/>
      <c r="C95" s="669"/>
      <c r="D95" s="669"/>
      <c r="E95" s="107" t="s">
        <v>360</v>
      </c>
      <c r="F95" s="672"/>
      <c r="G95" s="673"/>
    </row>
    <row r="96" spans="1:7" s="91" customFormat="1" ht="65.25" customHeight="1" x14ac:dyDescent="0.25">
      <c r="A96" s="669"/>
      <c r="B96" s="669"/>
      <c r="C96" s="669"/>
      <c r="D96" s="669"/>
      <c r="E96" s="107" t="s">
        <v>361</v>
      </c>
      <c r="F96" s="672"/>
      <c r="G96" s="673"/>
    </row>
    <row r="97" spans="1:7" s="91" customFormat="1" ht="84" customHeight="1" x14ac:dyDescent="0.25">
      <c r="A97" s="669"/>
      <c r="B97" s="669"/>
      <c r="C97" s="669"/>
      <c r="D97" s="669"/>
      <c r="E97" s="107" t="s">
        <v>362</v>
      </c>
      <c r="F97" s="672"/>
      <c r="G97" s="673"/>
    </row>
    <row r="98" spans="1:7" s="91" customFormat="1" ht="92.25" customHeight="1" x14ac:dyDescent="0.25">
      <c r="A98" s="669" t="s">
        <v>121</v>
      </c>
      <c r="B98" s="669" t="s">
        <v>171</v>
      </c>
      <c r="C98" s="669" t="s">
        <v>170</v>
      </c>
      <c r="D98" s="669" t="s">
        <v>172</v>
      </c>
      <c r="E98" s="548" t="s">
        <v>363</v>
      </c>
      <c r="F98" s="672" t="str">
        <f>'P6'!B93</f>
        <v>Se estiman 4 mesas de trabajo (presenciales); 24 mesas de trabajo virtual (2 mesas para cada región), se sugiere la realización de 12 talleres y/o eventos de divulgación nacionales y/o regionales presenciales, 12 talleres y/o eventos de divulgación nacionales y/o regionales virtuales. Se estima material de divulgación global de 10 millones, se estima la  realización de giras técnicas por región, se estima fortalecimiento al a formación de cursos cortos por región, cursos cortos virtuales por región, 5 cursos libres por región, 5 cursos libres virtuales por región, 1 diplomado presencial por región, 1 diplomado virtual por región, un apoyo del 30%  a 4 personas para la formación tecnológica y/o universitaria,  un apoyo del 30% para 4 personas para especialización, un apoyo del 30% para la formación de dos doctores al año. Se sugiere dos viajes internacionales y viáticos para  procesos de benchmarking, también se estima plan de medios radial institucional por región y 2 desarrolladores de módulos por 5 meses con un salario promedio de $6.604.729. Se estima un equipo humano nacional de 3 personas  y un equipo en región de 12 personas (1 por cada región), con rodamiento  y apoyos tecnológicos.</v>
      </c>
      <c r="G98" s="673">
        <f>'P6'!Y9</f>
        <v>36772071091.666664</v>
      </c>
    </row>
    <row r="99" spans="1:7" s="91" customFormat="1" ht="68.099999999999994" customHeight="1" x14ac:dyDescent="0.25">
      <c r="A99" s="669"/>
      <c r="B99" s="669"/>
      <c r="C99" s="669"/>
      <c r="D99" s="669"/>
      <c r="E99" s="548" t="s">
        <v>173</v>
      </c>
      <c r="F99" s="672"/>
      <c r="G99" s="673"/>
    </row>
    <row r="100" spans="1:7" s="91" customFormat="1" ht="67.5" customHeight="1" x14ac:dyDescent="0.25">
      <c r="A100" s="669"/>
      <c r="B100" s="669"/>
      <c r="C100" s="669"/>
      <c r="D100" s="669"/>
      <c r="E100" s="548" t="s">
        <v>1139</v>
      </c>
      <c r="F100" s="672"/>
      <c r="G100" s="673"/>
    </row>
    <row r="101" spans="1:7" s="91" customFormat="1" ht="86.1" customHeight="1" x14ac:dyDescent="0.25">
      <c r="A101" s="669"/>
      <c r="B101" s="669"/>
      <c r="C101" s="669"/>
      <c r="D101" s="669"/>
      <c r="E101" s="548" t="s">
        <v>1140</v>
      </c>
      <c r="F101" s="672"/>
      <c r="G101" s="673"/>
    </row>
    <row r="102" spans="1:7" s="91" customFormat="1" ht="69" customHeight="1" x14ac:dyDescent="0.25">
      <c r="A102" s="669"/>
      <c r="B102" s="669"/>
      <c r="C102" s="669"/>
      <c r="D102" s="669"/>
      <c r="E102" s="548" t="s">
        <v>1141</v>
      </c>
      <c r="F102" s="672"/>
      <c r="G102" s="673"/>
    </row>
    <row r="103" spans="1:7" s="91" customFormat="1" ht="87.75" customHeight="1" x14ac:dyDescent="0.25">
      <c r="A103" s="669"/>
      <c r="B103" s="669"/>
      <c r="C103" s="669"/>
      <c r="D103" s="669"/>
      <c r="E103" s="548" t="s">
        <v>1142</v>
      </c>
      <c r="F103" s="672"/>
      <c r="G103" s="673"/>
    </row>
    <row r="104" spans="1:7" s="91" customFormat="1" ht="75" customHeight="1" x14ac:dyDescent="0.25">
      <c r="A104" s="669" t="s">
        <v>121</v>
      </c>
      <c r="B104" s="669" t="s">
        <v>174</v>
      </c>
      <c r="C104" s="669" t="s">
        <v>175</v>
      </c>
      <c r="D104" s="669" t="s">
        <v>176</v>
      </c>
      <c r="E104" s="107" t="s">
        <v>123</v>
      </c>
      <c r="F104" s="672" t="str">
        <f>'P7'!B44</f>
        <v xml:space="preserve">Se estima realizar 1 taller nacional y 1 taller presencial por región (12),  para la gestión interinstitucional  y actualización de los planes de las autoridades sanitarias y de inocuidad, se plantea una mesa presencial de trabajo por región (12) y el seguimiento de los avances a través de dos mesas de trabajo virtuales por región (24) y una gira técnica por región (12), adicionalmente se contempla un monto de $3.000.000 para material de divulgación promocional por región. Se considera la contratación de desarrolladores para el sistema de monitoreo y alerta temprana con un promedio salarial de $7.862.772 por cinco meses. Para liderar el desarrollo de las actividades se proyectan 4 profesionales con un promedio salarial de $8.963.563 (priorizando los departamentos de Cundinamarca, Boyacá, Nariño y Antioquia) y el fortalecimiento de un equipo regional con profesionales y técnicos asignados para cada región  (12) con un promedio salarial de $3.931.384, más rodamiento y apoyo tecnológico. Se contemplan un viaje internacional por parte de dos coordinadores del proyecto  para evaluar las experiencias de los países lideres en materia de inspección, vigilancia y control (por ejemplo al Centro Internacional de la Papa en Lima), se contempla, tiquetes aéreos y viáticos por cinco días.  Se fortalecen la estrategia de comunicación con plan de medios radial institucional a nivel regional  (12). El proyecto contempla actividades de fortalecimiento de capacidad operativa, infraestructura de laboratorios e instalaciones, sistemas de información geográfica y herramientas TIC, así como , la implementación de la estrategia financiera y otras formas de fortalecimiento que se deja por definir, considerando el nivel de información con que se cuenta. </v>
      </c>
      <c r="G104" s="673">
        <f>'P7'!Y8</f>
        <v>6314160710.333333</v>
      </c>
    </row>
    <row r="105" spans="1:7" s="91" customFormat="1" ht="65.25" customHeight="1" x14ac:dyDescent="0.25">
      <c r="A105" s="669"/>
      <c r="B105" s="669"/>
      <c r="C105" s="669"/>
      <c r="D105" s="669"/>
      <c r="E105" s="107" t="s">
        <v>124</v>
      </c>
      <c r="F105" s="672"/>
      <c r="G105" s="673"/>
    </row>
    <row r="106" spans="1:7" s="91" customFormat="1" ht="104.25" customHeight="1" x14ac:dyDescent="0.25">
      <c r="A106" s="669"/>
      <c r="B106" s="669"/>
      <c r="C106" s="669"/>
      <c r="D106" s="669"/>
      <c r="E106" s="223" t="s">
        <v>364</v>
      </c>
      <c r="F106" s="672"/>
      <c r="G106" s="673"/>
    </row>
    <row r="107" spans="1:7" s="91" customFormat="1" ht="110.25" customHeight="1" x14ac:dyDescent="0.25">
      <c r="A107" s="669"/>
      <c r="B107" s="669"/>
      <c r="C107" s="669"/>
      <c r="D107" s="669"/>
      <c r="E107" s="107" t="s">
        <v>365</v>
      </c>
      <c r="F107" s="672"/>
      <c r="G107" s="673"/>
    </row>
    <row r="108" spans="1:7" s="91" customFormat="1" ht="102" customHeight="1" x14ac:dyDescent="0.25">
      <c r="A108" s="669"/>
      <c r="B108" s="669"/>
      <c r="C108" s="669"/>
      <c r="D108" s="669"/>
      <c r="E108" s="107" t="s">
        <v>125</v>
      </c>
      <c r="F108" s="672"/>
      <c r="G108" s="673"/>
    </row>
    <row r="109" spans="1:7" s="91" customFormat="1" ht="106.5" customHeight="1" x14ac:dyDescent="0.25">
      <c r="A109" s="669"/>
      <c r="B109" s="669"/>
      <c r="C109" s="669"/>
      <c r="D109" s="669"/>
      <c r="E109" s="223" t="s">
        <v>126</v>
      </c>
      <c r="F109" s="672"/>
      <c r="G109" s="673"/>
    </row>
    <row r="110" spans="1:7" s="91" customFormat="1" ht="148.5" customHeight="1" x14ac:dyDescent="0.25">
      <c r="A110" s="669"/>
      <c r="B110" s="669"/>
      <c r="C110" s="669"/>
      <c r="D110" s="669"/>
      <c r="E110" s="223" t="s">
        <v>177</v>
      </c>
      <c r="F110" s="672"/>
      <c r="G110" s="673"/>
    </row>
    <row r="111" spans="1:7" s="91" customFormat="1" ht="88.5" customHeight="1" x14ac:dyDescent="0.25">
      <c r="A111" s="669"/>
      <c r="B111" s="669"/>
      <c r="C111" s="669"/>
      <c r="D111" s="669"/>
      <c r="E111" s="223" t="s">
        <v>127</v>
      </c>
      <c r="F111" s="672"/>
      <c r="G111" s="673"/>
    </row>
    <row r="112" spans="1:7" s="91" customFormat="1" ht="81" customHeight="1" x14ac:dyDescent="0.25">
      <c r="A112" s="670" t="s">
        <v>121</v>
      </c>
      <c r="B112" s="669" t="s">
        <v>174</v>
      </c>
      <c r="C112" s="669" t="s">
        <v>175</v>
      </c>
      <c r="D112" s="669" t="s">
        <v>128</v>
      </c>
      <c r="E112" s="104" t="s">
        <v>366</v>
      </c>
      <c r="F112" s="672" t="str">
        <f>'P7'!B66</f>
        <v>Se estima realizar 1 taller nacional y 1 taller presencial por región (5) (se priorizan las 4 regiones de papa de los departamentos de Cundinamarca, Boyacá, Nariño y Antioquia),  para la socialización  y acompañamiento en temas de aplicación de normatividad, así mismo la revisión normativa se plantea una mesa presencial de trabajo por región (4) y el seguimiento de los avances a través de una mesa de trabajo virtual por región (4), se fortalece la estrategia de divulgación con un plan de medios radial institucional y un monto por región para material de divulgación de $3.000.000.  Para liderar el desarrollo de las actividades se proyecta un equipo experto interdisciplinario de 3 personas con un promedio salarial de $8.963.563,  considerando el desplazamiento y viáticos, así como un profesional encargado de la revisión y actualización gradual y permanente de la normatividad, con un promedio salarial de $7.233.751 durante 10 meses.</v>
      </c>
      <c r="G112" s="673">
        <f>'P7'!Y9</f>
        <v>2330371477.3333335</v>
      </c>
    </row>
    <row r="113" spans="1:7" s="91" customFormat="1" ht="81" customHeight="1" x14ac:dyDescent="0.25">
      <c r="A113" s="670"/>
      <c r="B113" s="669"/>
      <c r="C113" s="669"/>
      <c r="D113" s="669"/>
      <c r="E113" s="104" t="s">
        <v>367</v>
      </c>
      <c r="F113" s="672"/>
      <c r="G113" s="673"/>
    </row>
    <row r="114" spans="1:7" s="91" customFormat="1" ht="81" customHeight="1" x14ac:dyDescent="0.25">
      <c r="A114" s="670"/>
      <c r="B114" s="669"/>
      <c r="C114" s="669"/>
      <c r="D114" s="669"/>
      <c r="E114" s="223" t="s">
        <v>368</v>
      </c>
      <c r="F114" s="672"/>
      <c r="G114" s="673"/>
    </row>
    <row r="115" spans="1:7" s="91" customFormat="1" ht="81" customHeight="1" x14ac:dyDescent="0.25">
      <c r="A115" s="670"/>
      <c r="B115" s="669"/>
      <c r="C115" s="669"/>
      <c r="D115" s="669"/>
      <c r="E115" s="104" t="s">
        <v>369</v>
      </c>
      <c r="F115" s="672"/>
      <c r="G115" s="673"/>
    </row>
    <row r="116" spans="1:7" s="91" customFormat="1" ht="81" customHeight="1" x14ac:dyDescent="0.25">
      <c r="A116" s="670" t="s">
        <v>121</v>
      </c>
      <c r="B116" s="669" t="s">
        <v>174</v>
      </c>
      <c r="C116" s="671" t="s">
        <v>175</v>
      </c>
      <c r="D116" s="669" t="s">
        <v>178</v>
      </c>
      <c r="E116" s="224" t="s">
        <v>179</v>
      </c>
      <c r="F116" s="672" t="str">
        <f>'P7'!B86</f>
        <v xml:space="preserve">Se estima realizar 1 taller nacional y 1 taller presencial por región (5) (se priorizan las 4 regiones de papa de los departamentos de Cundinamarca, Boyacá, Nariño y Antioquia),   se plantea una mesa presencial de trabajo por región (4) y mesas virtuales de trabajo internacionales y regionales para el seguimiento de los avances (8).  Para liderar el desarrollo de las actividades se proyecta un equipo experto interdisciplinario de 2 personas con un promedio salarial de $8.963.563,  considerando el desplazamiento y viáticos, se estima un viaje internacional con su viáticos por cinco días. Se considera un profesional encargado de la gestión y revisión y actualización gradual de medidas sanitarias y de defensa comercial, con un promedio salarial de $7.233.751, con dedicación de 50%. </v>
      </c>
      <c r="G116" s="673">
        <f>'P7'!Y10</f>
        <v>2866425170.5</v>
      </c>
    </row>
    <row r="117" spans="1:7" s="91" customFormat="1" ht="81" customHeight="1" x14ac:dyDescent="0.25">
      <c r="A117" s="670"/>
      <c r="B117" s="669"/>
      <c r="C117" s="671"/>
      <c r="D117" s="669"/>
      <c r="E117" s="104" t="s">
        <v>180</v>
      </c>
      <c r="F117" s="672"/>
      <c r="G117" s="673"/>
    </row>
    <row r="118" spans="1:7" s="91" customFormat="1" ht="81" customHeight="1" x14ac:dyDescent="0.25">
      <c r="A118" s="670"/>
      <c r="B118" s="669"/>
      <c r="C118" s="671"/>
      <c r="D118" s="669"/>
      <c r="E118" s="223" t="s">
        <v>370</v>
      </c>
      <c r="F118" s="672"/>
      <c r="G118" s="673"/>
    </row>
    <row r="119" spans="1:7" ht="60.75" customHeight="1" x14ac:dyDescent="0.2">
      <c r="A119" s="669" t="s">
        <v>121</v>
      </c>
      <c r="B119" s="669" t="s">
        <v>174</v>
      </c>
      <c r="C119" s="669" t="s">
        <v>181</v>
      </c>
      <c r="D119" s="669" t="s">
        <v>182</v>
      </c>
      <c r="E119" s="107" t="s">
        <v>129</v>
      </c>
      <c r="F119" s="672" t="str">
        <f>'P8'!B39</f>
        <v xml:space="preserve">Se estima realizar una mesa de trabajo presencial por cada región(12)  y dos mesas de trabajo virtuales por cada región (24). La socialización y divulgación del  POP de la cadena de la papa se realiza a partir de 1  taller nacional y 12 talleres regionales presenciales, se estima el monto de material promocional de $3.000.000 por región. Para el desarrollo de las actividades se proyectan  un equipo gestor especializado de 4 profesionales con un salario promedio de $8.963.563  que comparte funciones con el proyecto 8.2, y el fortalecimiento de un equipo de 9 personas a nivel región/dpto., teniendo en cuenta que se pueden unir funciones para trabajar subregiones como Antioquia, Tolima, y 1 de Cundinamarca, quedando 9 regiones a intervenir,  con salario promedio de $3.931.382 con rodamiento y apoyo tecnológico. La implementación del sistema de seguimiento y evaluación del POP para la cadena de la papa que se proyecta durante los 20 años y se considera un profesional con valor promedio de $8.963563 por 4 meses, cada dos años. </v>
      </c>
      <c r="G119" s="673">
        <f>'P8'!Y8</f>
        <v>1909832228</v>
      </c>
    </row>
    <row r="120" spans="1:7" ht="51" customHeight="1" x14ac:dyDescent="0.2">
      <c r="A120" s="669"/>
      <c r="B120" s="669"/>
      <c r="C120" s="669"/>
      <c r="D120" s="669"/>
      <c r="E120" s="107" t="s">
        <v>130</v>
      </c>
      <c r="F120" s="672"/>
      <c r="G120" s="673"/>
    </row>
    <row r="121" spans="1:7" ht="72.95" customHeight="1" x14ac:dyDescent="0.2">
      <c r="A121" s="669"/>
      <c r="B121" s="669"/>
      <c r="C121" s="669"/>
      <c r="D121" s="669"/>
      <c r="E121" s="107" t="s">
        <v>183</v>
      </c>
      <c r="F121" s="672"/>
      <c r="G121" s="673"/>
    </row>
    <row r="122" spans="1:7" ht="93" customHeight="1" x14ac:dyDescent="0.2">
      <c r="A122" s="669"/>
      <c r="B122" s="669"/>
      <c r="C122" s="669"/>
      <c r="D122" s="669"/>
      <c r="E122" s="107" t="s">
        <v>131</v>
      </c>
      <c r="F122" s="672"/>
      <c r="G122" s="673"/>
    </row>
    <row r="123" spans="1:7" ht="57.75" customHeight="1" x14ac:dyDescent="0.2">
      <c r="A123" s="669"/>
      <c r="B123" s="669"/>
      <c r="C123" s="669"/>
      <c r="D123" s="669"/>
      <c r="E123" s="107" t="s">
        <v>184</v>
      </c>
      <c r="F123" s="672"/>
      <c r="G123" s="673"/>
    </row>
    <row r="124" spans="1:7" ht="130.5" customHeight="1" x14ac:dyDescent="0.2">
      <c r="A124" s="669" t="s">
        <v>121</v>
      </c>
      <c r="B124" s="669" t="s">
        <v>174</v>
      </c>
      <c r="C124" s="669" t="s">
        <v>181</v>
      </c>
      <c r="D124" s="669" t="s">
        <v>185</v>
      </c>
      <c r="E124" s="104" t="s">
        <v>371</v>
      </c>
      <c r="F124" s="672" t="str">
        <f>'P8'!B61</f>
        <v xml:space="preserve">Se estima realizar dos mesas de trabajo presencial por cada región (8) y dos mesas de trabajo virtual por cada región (8) (se priorizan los comités regionales Cundinamarca, Boyacá, Nariño y Antioquia). Se realiza un taller de divulgación regional presencial (4). Para el desarrollo de las actividades nacionales se proyecta  un equipo gestor especializado de 4 profesionales con un salario promedio de $8.963.563 dedicación de 50% 1 que comparte funciones con el proyecto 8.1 y el fortalecimiento de un equipo regional conformado por 1 persona por región con salario promedio de $3.931.384 (4 áreas priorizadas)  y rodamientos y apoyos tecnológicos. Se deja por definir otras formas de fortalecimiento del CNP, considerando la información con la que se cuenta. </v>
      </c>
      <c r="G124" s="673">
        <f>'P8'!Y9</f>
        <v>7336682565.333333</v>
      </c>
    </row>
    <row r="125" spans="1:7" ht="71.099999999999994" customHeight="1" x14ac:dyDescent="0.2">
      <c r="A125" s="669"/>
      <c r="B125" s="669"/>
      <c r="C125" s="669"/>
      <c r="D125" s="669"/>
      <c r="E125" s="104" t="s">
        <v>186</v>
      </c>
      <c r="F125" s="672"/>
      <c r="G125" s="673"/>
    </row>
    <row r="126" spans="1:7" ht="87.95" customHeight="1" x14ac:dyDescent="0.2">
      <c r="A126" s="669"/>
      <c r="B126" s="669"/>
      <c r="C126" s="669"/>
      <c r="D126" s="669"/>
      <c r="E126" s="104" t="s">
        <v>187</v>
      </c>
      <c r="F126" s="672"/>
      <c r="G126" s="673"/>
    </row>
    <row r="127" spans="1:7" ht="152.25" customHeight="1" x14ac:dyDescent="0.2">
      <c r="A127" s="669" t="s">
        <v>121</v>
      </c>
      <c r="B127" s="669" t="s">
        <v>174</v>
      </c>
      <c r="C127" s="669" t="s">
        <v>181</v>
      </c>
      <c r="D127" s="669" t="s">
        <v>188</v>
      </c>
      <c r="E127" s="107" t="s">
        <v>372</v>
      </c>
      <c r="F127" s="672" t="str">
        <f>'P8'!B83</f>
        <v xml:space="preserve">Se estima realizar talleres de divulgación presenciales uno a nivel nacional y una taller por región (13), se estima pago anual de la plataforma de información para el monitoreo del mercado internacional la cual se estima en $3000 dólares, el trabajo entre entidades y actores de la cadena se prevé realizar a través de mesas de trabajo, una mesa presencial por cada región (12) y dos mesas de trabajo virtual por región (24).  Para este proyecto se requiere de un equipo especializado de gestión y fortalecer el equipo regional que tiene la función principal de recoger la información primaria que permita la caracterización de la cadena y línea base actualizada, además de articular los diferentes actores en cada región, para tal fin se proyectan  3 profesionales con un promedio salarial de $8.963.563 para el apoyo de las actividades del proyecto a nivel nacional y el fortalecimiento de un equipo regional con profesionales con una asignación salarial de $3.931.384 para cada una de las regiones (12), considerando el rodamientos y apoyos tecnológicos.  El funcionamiento del sistema de información que incluye los sistemas de información y servicios tecnológicos, Hardware, software y conectividad necesarios para el despliegue del sistema y estrategias de operación, se deja por definir considerando el nivel de información con el que se cuenta. </v>
      </c>
      <c r="G127" s="673">
        <f>'P8'!Y10</f>
        <v>308263973.33333331</v>
      </c>
    </row>
    <row r="128" spans="1:7" ht="210" customHeight="1" x14ac:dyDescent="0.2">
      <c r="A128" s="669"/>
      <c r="B128" s="669"/>
      <c r="C128" s="669"/>
      <c r="D128" s="669"/>
      <c r="E128" s="107" t="s">
        <v>189</v>
      </c>
      <c r="F128" s="672"/>
      <c r="G128" s="673"/>
    </row>
    <row r="129" spans="1:7" ht="120" customHeight="1" x14ac:dyDescent="0.2">
      <c r="A129" s="669"/>
      <c r="B129" s="669"/>
      <c r="C129" s="669"/>
      <c r="D129" s="669"/>
      <c r="E129" s="107" t="s">
        <v>373</v>
      </c>
      <c r="F129" s="672"/>
      <c r="G129" s="673"/>
    </row>
    <row r="130" spans="1:7" ht="104.25" customHeight="1" x14ac:dyDescent="0.2">
      <c r="A130" s="669"/>
      <c r="B130" s="669"/>
      <c r="C130" s="669"/>
      <c r="D130" s="669"/>
      <c r="E130" s="107" t="s">
        <v>132</v>
      </c>
      <c r="F130" s="672"/>
      <c r="G130" s="673"/>
    </row>
    <row r="131" spans="1:7" ht="95.25" customHeight="1" x14ac:dyDescent="0.2">
      <c r="A131" s="669" t="s">
        <v>121</v>
      </c>
      <c r="B131" s="669" t="s">
        <v>174</v>
      </c>
      <c r="C131" s="669" t="s">
        <v>181</v>
      </c>
      <c r="D131" s="669" t="s">
        <v>190</v>
      </c>
      <c r="E131" s="107" t="s">
        <v>133</v>
      </c>
      <c r="F131" s="672" t="str">
        <f>'P8'!B107</f>
        <v xml:space="preserve">Se estima realizar 1 taller nacional y los talleres presenciales por región para divulgación de instrumentos (13), para la realización de los estudios requeridos de diseño y mejora de los diferentes instrumentos se proyecta realizar mesas de trabajo presenciales una nacional y una por cada región (se priorizan las 4 regiones de papa de los departamentos de Cundinamarca, Boyacá, Nariño y Antioquia) y dos mesas de trabajo virtuales a nivel regional (priorizando 4) se incluye mesas internacionales para conocer experiencias (2), para el desarrollo de las actividades se proyectan 3 profesionales con un promedio salarial de $8.963.563 para el apoyo de las actividades del proyecto a nivel nacional, considerando el desplazamiento y viáticos. El proyecto contempla acciones de contribuir en el recaudo de la cuota de fomento de la papa y otras formas de fortalecimiento se deja por definir, considerando el nivel de información con que se cuenta. </v>
      </c>
      <c r="G131" s="673">
        <f>'P8'!Y11</f>
        <v>687943465</v>
      </c>
    </row>
    <row r="132" spans="1:7" ht="91.5" customHeight="1" x14ac:dyDescent="0.2">
      <c r="A132" s="669"/>
      <c r="B132" s="669"/>
      <c r="C132" s="669"/>
      <c r="D132" s="669"/>
      <c r="E132" s="223" t="s">
        <v>134</v>
      </c>
      <c r="F132" s="672"/>
      <c r="G132" s="673"/>
    </row>
    <row r="133" spans="1:7" ht="82.5" customHeight="1" x14ac:dyDescent="0.2">
      <c r="A133" s="669"/>
      <c r="B133" s="669"/>
      <c r="C133" s="669"/>
      <c r="D133" s="669"/>
      <c r="E133" s="223" t="s">
        <v>374</v>
      </c>
      <c r="F133" s="672"/>
      <c r="G133" s="673"/>
    </row>
    <row r="134" spans="1:7" ht="78.75" customHeight="1" x14ac:dyDescent="0.2">
      <c r="A134" s="669"/>
      <c r="B134" s="669"/>
      <c r="C134" s="669"/>
      <c r="D134" s="669"/>
      <c r="E134" s="107" t="s">
        <v>191</v>
      </c>
      <c r="F134" s="672"/>
      <c r="G134" s="673"/>
    </row>
    <row r="135" spans="1:7" ht="86.25" customHeight="1" x14ac:dyDescent="0.2">
      <c r="A135" s="669"/>
      <c r="B135" s="669"/>
      <c r="C135" s="669"/>
      <c r="D135" s="669"/>
      <c r="E135" s="107" t="s">
        <v>375</v>
      </c>
      <c r="F135" s="672"/>
      <c r="G135" s="673"/>
    </row>
    <row r="136" spans="1:7" ht="76.5" customHeight="1" x14ac:dyDescent="0.2">
      <c r="A136" s="669"/>
      <c r="B136" s="669"/>
      <c r="C136" s="669"/>
      <c r="D136" s="669"/>
      <c r="E136" s="107" t="s">
        <v>376</v>
      </c>
      <c r="F136" s="672"/>
      <c r="G136" s="673"/>
    </row>
    <row r="137" spans="1:7" ht="69.75" customHeight="1" x14ac:dyDescent="0.2">
      <c r="A137" s="669"/>
      <c r="B137" s="669"/>
      <c r="C137" s="669"/>
      <c r="D137" s="669"/>
      <c r="E137" s="107" t="s">
        <v>377</v>
      </c>
      <c r="F137" s="672"/>
      <c r="G137" s="673"/>
    </row>
    <row r="138" spans="1:7" ht="80.25" customHeight="1" x14ac:dyDescent="0.2">
      <c r="A138" s="669"/>
      <c r="B138" s="669"/>
      <c r="C138" s="669"/>
      <c r="D138" s="669"/>
      <c r="E138" s="107" t="s">
        <v>378</v>
      </c>
      <c r="F138" s="672"/>
      <c r="G138" s="673"/>
    </row>
    <row r="139" spans="1:7" ht="69.75" customHeight="1" x14ac:dyDescent="0.2">
      <c r="A139" s="669"/>
      <c r="B139" s="669"/>
      <c r="C139" s="669"/>
      <c r="D139" s="669"/>
      <c r="E139" s="107" t="s">
        <v>379</v>
      </c>
      <c r="F139" s="672"/>
      <c r="G139" s="673"/>
    </row>
    <row r="140" spans="1:7" ht="68.25" customHeight="1" x14ac:dyDescent="0.2">
      <c r="A140" s="669"/>
      <c r="B140" s="669"/>
      <c r="C140" s="669"/>
      <c r="D140" s="669"/>
      <c r="E140" s="107" t="s">
        <v>380</v>
      </c>
      <c r="F140" s="672"/>
      <c r="G140" s="673"/>
    </row>
    <row r="141" spans="1:7" ht="57" customHeight="1" x14ac:dyDescent="0.2">
      <c r="G141" s="326">
        <f>SUM(G2:G140)</f>
        <v>1138203304356.3186</v>
      </c>
    </row>
  </sheetData>
  <sheetProtection algorithmName="SHA-512" hashValue="owsKvhy26xUFcyHrw88Z4TKDG3rBg4H1mQEWAkcBhViszYto9YDn4wohRFIDpirw72l6RK3qgMZrnpDVfn6aew==" saltValue="/OcdlKJiZJ33TNkDklbPTw==" spinCount="100000" sheet="1" objects="1" scenarios="1"/>
  <mergeCells count="162">
    <mergeCell ref="F127:F130"/>
    <mergeCell ref="G127:G130"/>
    <mergeCell ref="F131:F140"/>
    <mergeCell ref="G131:G140"/>
    <mergeCell ref="F104:F111"/>
    <mergeCell ref="G104:G111"/>
    <mergeCell ref="F112:F115"/>
    <mergeCell ref="G112:G115"/>
    <mergeCell ref="F116:F118"/>
    <mergeCell ref="G116:G118"/>
    <mergeCell ref="F119:F123"/>
    <mergeCell ref="G119:G123"/>
    <mergeCell ref="F124:F126"/>
    <mergeCell ref="G124:G126"/>
    <mergeCell ref="F77:F80"/>
    <mergeCell ref="G77:G80"/>
    <mergeCell ref="F81:F83"/>
    <mergeCell ref="G81:G83"/>
    <mergeCell ref="F84:F88"/>
    <mergeCell ref="G84:G88"/>
    <mergeCell ref="F89:F97"/>
    <mergeCell ref="G89:G97"/>
    <mergeCell ref="F98:F103"/>
    <mergeCell ref="G98:G103"/>
    <mergeCell ref="F56:F61"/>
    <mergeCell ref="G56:G61"/>
    <mergeCell ref="F62:F64"/>
    <mergeCell ref="G62:G64"/>
    <mergeCell ref="F65:F68"/>
    <mergeCell ref="G65:G68"/>
    <mergeCell ref="F69:F72"/>
    <mergeCell ref="G69:G72"/>
    <mergeCell ref="F73:F76"/>
    <mergeCell ref="G73:G76"/>
    <mergeCell ref="F33:F38"/>
    <mergeCell ref="G33:G38"/>
    <mergeCell ref="F39:F41"/>
    <mergeCell ref="G39:G41"/>
    <mergeCell ref="F42:F47"/>
    <mergeCell ref="G42:G47"/>
    <mergeCell ref="F48:F52"/>
    <mergeCell ref="G48:G52"/>
    <mergeCell ref="F53:F55"/>
    <mergeCell ref="G53:G55"/>
    <mergeCell ref="F2:F6"/>
    <mergeCell ref="G2:G6"/>
    <mergeCell ref="F7:F12"/>
    <mergeCell ref="G7:G12"/>
    <mergeCell ref="F13:F18"/>
    <mergeCell ref="G13:G18"/>
    <mergeCell ref="F19:F23"/>
    <mergeCell ref="G19:G23"/>
    <mergeCell ref="F24:F32"/>
    <mergeCell ref="G24:G32"/>
    <mergeCell ref="A7:A12"/>
    <mergeCell ref="B7:B12"/>
    <mergeCell ref="C7:C12"/>
    <mergeCell ref="D7:D12"/>
    <mergeCell ref="A2:A6"/>
    <mergeCell ref="B2:B6"/>
    <mergeCell ref="C2:C6"/>
    <mergeCell ref="D2:D6"/>
    <mergeCell ref="A19:A23"/>
    <mergeCell ref="B19:B23"/>
    <mergeCell ref="C19:C23"/>
    <mergeCell ref="D19:D23"/>
    <mergeCell ref="A13:A18"/>
    <mergeCell ref="B13:B18"/>
    <mergeCell ref="C13:C18"/>
    <mergeCell ref="D13:D18"/>
    <mergeCell ref="A33:A38"/>
    <mergeCell ref="B33:B38"/>
    <mergeCell ref="C33:C38"/>
    <mergeCell ref="D33:D38"/>
    <mergeCell ref="A24:A32"/>
    <mergeCell ref="B24:B32"/>
    <mergeCell ref="C24:C32"/>
    <mergeCell ref="D24:D32"/>
    <mergeCell ref="A42:A47"/>
    <mergeCell ref="B42:B47"/>
    <mergeCell ref="C42:C47"/>
    <mergeCell ref="D42:D47"/>
    <mergeCell ref="A39:A41"/>
    <mergeCell ref="B39:B41"/>
    <mergeCell ref="C39:C41"/>
    <mergeCell ref="D39:D41"/>
    <mergeCell ref="A53:A55"/>
    <mergeCell ref="B53:B55"/>
    <mergeCell ref="C53:C55"/>
    <mergeCell ref="D53:D55"/>
    <mergeCell ref="A48:A52"/>
    <mergeCell ref="B48:B52"/>
    <mergeCell ref="C48:C52"/>
    <mergeCell ref="D48:D52"/>
    <mergeCell ref="A62:A64"/>
    <mergeCell ref="B62:B64"/>
    <mergeCell ref="C62:C64"/>
    <mergeCell ref="D62:D64"/>
    <mergeCell ref="A56:A61"/>
    <mergeCell ref="B56:B61"/>
    <mergeCell ref="C56:C61"/>
    <mergeCell ref="D56:D61"/>
    <mergeCell ref="A69:A72"/>
    <mergeCell ref="B69:B72"/>
    <mergeCell ref="C69:C72"/>
    <mergeCell ref="D69:D72"/>
    <mergeCell ref="A65:A68"/>
    <mergeCell ref="B65:B68"/>
    <mergeCell ref="C65:C68"/>
    <mergeCell ref="D65:D68"/>
    <mergeCell ref="A77:A80"/>
    <mergeCell ref="B77:B80"/>
    <mergeCell ref="C77:C80"/>
    <mergeCell ref="D77:D80"/>
    <mergeCell ref="A73:A76"/>
    <mergeCell ref="B73:B76"/>
    <mergeCell ref="C73:C76"/>
    <mergeCell ref="D73:D76"/>
    <mergeCell ref="A84:A88"/>
    <mergeCell ref="B84:B88"/>
    <mergeCell ref="C84:C88"/>
    <mergeCell ref="D84:D88"/>
    <mergeCell ref="A81:A83"/>
    <mergeCell ref="B81:B83"/>
    <mergeCell ref="C81:C83"/>
    <mergeCell ref="D81:D83"/>
    <mergeCell ref="A98:A103"/>
    <mergeCell ref="B98:B103"/>
    <mergeCell ref="C98:C103"/>
    <mergeCell ref="D98:D103"/>
    <mergeCell ref="A89:A97"/>
    <mergeCell ref="B89:B97"/>
    <mergeCell ref="C89:C97"/>
    <mergeCell ref="D89:D97"/>
    <mergeCell ref="A112:A115"/>
    <mergeCell ref="B112:B115"/>
    <mergeCell ref="C112:C115"/>
    <mergeCell ref="D112:D115"/>
    <mergeCell ref="A104:A111"/>
    <mergeCell ref="B104:B111"/>
    <mergeCell ref="C104:C111"/>
    <mergeCell ref="D104:D111"/>
    <mergeCell ref="A119:A123"/>
    <mergeCell ref="B119:B123"/>
    <mergeCell ref="C119:C123"/>
    <mergeCell ref="D119:D123"/>
    <mergeCell ref="A116:A118"/>
    <mergeCell ref="B116:B118"/>
    <mergeCell ref="C116:C118"/>
    <mergeCell ref="D116:D118"/>
    <mergeCell ref="A131:A140"/>
    <mergeCell ref="B131:B140"/>
    <mergeCell ref="C131:C140"/>
    <mergeCell ref="D131:D140"/>
    <mergeCell ref="A127:A130"/>
    <mergeCell ref="B127:B130"/>
    <mergeCell ref="C127:C130"/>
    <mergeCell ref="D127:D130"/>
    <mergeCell ref="A124:A126"/>
    <mergeCell ref="B124:B126"/>
    <mergeCell ref="C124:C126"/>
    <mergeCell ref="D124:D1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zoomScale="80" zoomScaleNormal="80" workbookViewId="0">
      <pane xSplit="1" ySplit="2" topLeftCell="B3" activePane="bottomRight" state="frozen"/>
      <selection pane="topRight" activeCell="B1" sqref="B1"/>
      <selection pane="bottomLeft" activeCell="A3" sqref="A3"/>
      <selection pane="bottomRight" activeCell="B5" sqref="B5"/>
    </sheetView>
  </sheetViews>
  <sheetFormatPr baseColWidth="10" defaultColWidth="10.85546875" defaultRowHeight="14.25" x14ac:dyDescent="0.25"/>
  <cols>
    <col min="1" max="1" width="100.42578125" style="560" customWidth="1"/>
    <col min="2" max="2" width="19.7109375" style="561" bestFit="1" customWidth="1"/>
    <col min="3" max="3" width="21.42578125" style="561" bestFit="1" customWidth="1"/>
    <col min="4" max="4" width="20.42578125" style="561" bestFit="1" customWidth="1"/>
    <col min="5" max="7" width="21" style="561" bestFit="1" customWidth="1"/>
    <col min="8" max="8" width="21.42578125" style="561" customWidth="1"/>
    <col min="9" max="9" width="21.42578125" style="561" bestFit="1" customWidth="1"/>
    <col min="10" max="10" width="21" style="561" bestFit="1" customWidth="1"/>
    <col min="11" max="11" width="21.42578125" style="561" customWidth="1"/>
    <col min="12" max="13" width="21.42578125" style="561" bestFit="1" customWidth="1"/>
    <col min="14" max="14" width="21" style="561" bestFit="1" customWidth="1"/>
    <col min="15" max="19" width="20.140625" style="561" bestFit="1" customWidth="1"/>
    <col min="20" max="20" width="21.42578125" style="561" customWidth="1"/>
    <col min="21" max="21" width="21" style="561" bestFit="1" customWidth="1"/>
    <col min="22" max="22" width="23.42578125" style="561" customWidth="1"/>
    <col min="23" max="23" width="23.42578125" style="581" bestFit="1" customWidth="1"/>
    <col min="24" max="16384" width="10.85546875" style="561"/>
  </cols>
  <sheetData>
    <row r="1" spans="1:23" ht="15" x14ac:dyDescent="0.25">
      <c r="A1" s="674" t="s">
        <v>527</v>
      </c>
      <c r="B1" s="675"/>
      <c r="C1" s="675"/>
      <c r="D1" s="675"/>
      <c r="E1" s="675"/>
      <c r="F1" s="675"/>
      <c r="G1" s="675"/>
      <c r="H1" s="675"/>
      <c r="I1" s="675"/>
      <c r="J1" s="675"/>
      <c r="K1" s="675"/>
      <c r="L1" s="675"/>
      <c r="M1" s="675"/>
      <c r="N1" s="675"/>
      <c r="O1" s="675"/>
      <c r="P1" s="675"/>
      <c r="Q1" s="675"/>
      <c r="R1" s="675"/>
      <c r="S1" s="675"/>
      <c r="T1" s="675"/>
      <c r="U1" s="675"/>
      <c r="V1" s="675"/>
      <c r="W1" s="675"/>
    </row>
    <row r="2" spans="1:23" ht="15" x14ac:dyDescent="0.25">
      <c r="A2" s="674" t="s">
        <v>475</v>
      </c>
      <c r="B2" s="675"/>
      <c r="C2" s="675"/>
      <c r="D2" s="675"/>
      <c r="E2" s="675"/>
      <c r="F2" s="675"/>
      <c r="G2" s="675"/>
      <c r="H2" s="675"/>
      <c r="I2" s="675"/>
      <c r="J2" s="675"/>
      <c r="K2" s="675"/>
      <c r="L2" s="675"/>
      <c r="M2" s="675"/>
      <c r="N2" s="675"/>
      <c r="O2" s="675"/>
      <c r="P2" s="675"/>
      <c r="Q2" s="675"/>
      <c r="R2" s="675"/>
      <c r="S2" s="675"/>
      <c r="T2" s="675"/>
      <c r="U2" s="675"/>
      <c r="V2" s="675"/>
      <c r="W2" s="675"/>
    </row>
    <row r="3" spans="1:23" ht="18.75" x14ac:dyDescent="0.25">
      <c r="A3" s="555"/>
      <c r="B3" s="571"/>
      <c r="C3" s="571"/>
      <c r="D3" s="571"/>
      <c r="E3" s="571"/>
      <c r="F3" s="571"/>
      <c r="G3" s="571"/>
      <c r="H3" s="571"/>
      <c r="I3" s="571"/>
      <c r="J3" s="571"/>
      <c r="K3" s="571"/>
      <c r="L3" s="571"/>
      <c r="M3" s="571"/>
      <c r="N3" s="571"/>
      <c r="O3" s="571"/>
      <c r="P3" s="571"/>
      <c r="Q3" s="571"/>
      <c r="R3" s="571"/>
      <c r="S3" s="571"/>
      <c r="T3" s="571"/>
      <c r="U3" s="571"/>
      <c r="V3" s="571"/>
      <c r="W3" s="572"/>
    </row>
    <row r="5" spans="1:23" ht="22.5" customHeight="1" x14ac:dyDescent="0.25">
      <c r="A5" s="564" t="s">
        <v>476</v>
      </c>
      <c r="B5" s="564">
        <v>1</v>
      </c>
      <c r="C5" s="564">
        <v>2</v>
      </c>
      <c r="D5" s="564">
        <v>3</v>
      </c>
      <c r="E5" s="564">
        <v>4</v>
      </c>
      <c r="F5" s="564">
        <v>5</v>
      </c>
      <c r="G5" s="564">
        <v>6</v>
      </c>
      <c r="H5" s="564">
        <v>7</v>
      </c>
      <c r="I5" s="564">
        <v>8</v>
      </c>
      <c r="J5" s="564">
        <v>9</v>
      </c>
      <c r="K5" s="564">
        <v>10</v>
      </c>
      <c r="L5" s="564">
        <v>11</v>
      </c>
      <c r="M5" s="564">
        <v>12</v>
      </c>
      <c r="N5" s="564">
        <v>13</v>
      </c>
      <c r="O5" s="564">
        <v>14</v>
      </c>
      <c r="P5" s="564">
        <v>15</v>
      </c>
      <c r="Q5" s="564">
        <v>16</v>
      </c>
      <c r="R5" s="564">
        <v>17</v>
      </c>
      <c r="S5" s="564">
        <v>18</v>
      </c>
      <c r="T5" s="564">
        <v>19</v>
      </c>
      <c r="U5" s="564">
        <v>20</v>
      </c>
      <c r="V5" s="564" t="s">
        <v>477</v>
      </c>
      <c r="W5" s="565" t="s">
        <v>447</v>
      </c>
    </row>
    <row r="6" spans="1:23" s="573" customFormat="1" ht="15" x14ac:dyDescent="0.25">
      <c r="A6" s="566" t="str">
        <f>Portafolio_PA_Papa!C2</f>
        <v>1. Incremento del consumo y mejora de la comercialización de la papa</v>
      </c>
      <c r="B6" s="567">
        <f>SUM(B7:B9)</f>
        <v>2308315656.3889999</v>
      </c>
      <c r="C6" s="567">
        <f t="shared" ref="C6:U6" si="0">SUM(C7:C9)</f>
        <v>7137703755.1029997</v>
      </c>
      <c r="D6" s="567">
        <f t="shared" si="0"/>
        <v>7137703755.1029997</v>
      </c>
      <c r="E6" s="567">
        <f t="shared" si="0"/>
        <v>7137703755.1029997</v>
      </c>
      <c r="F6" s="567">
        <f t="shared" si="0"/>
        <v>15617703755.102997</v>
      </c>
      <c r="G6" s="567">
        <f t="shared" si="0"/>
        <v>15617703755.102997</v>
      </c>
      <c r="H6" s="567">
        <f t="shared" si="0"/>
        <v>15617703755.102997</v>
      </c>
      <c r="I6" s="567">
        <f t="shared" si="0"/>
        <v>15617703755.102997</v>
      </c>
      <c r="J6" s="567">
        <f t="shared" si="0"/>
        <v>15617703755.102997</v>
      </c>
      <c r="K6" s="567">
        <f t="shared" si="0"/>
        <v>15617703755.102997</v>
      </c>
      <c r="L6" s="567">
        <f t="shared" si="0"/>
        <v>15617703755.102997</v>
      </c>
      <c r="M6" s="567">
        <f t="shared" si="0"/>
        <v>15404946969.166998</v>
      </c>
      <c r="N6" s="567">
        <f t="shared" si="0"/>
        <v>6924946969.1669998</v>
      </c>
      <c r="O6" s="567">
        <f t="shared" si="0"/>
        <v>6924946969.1669998</v>
      </c>
      <c r="P6" s="567">
        <f t="shared" si="0"/>
        <v>6924946969.1669998</v>
      </c>
      <c r="Q6" s="567">
        <f t="shared" si="0"/>
        <v>6924946969.1669998</v>
      </c>
      <c r="R6" s="567">
        <f t="shared" si="0"/>
        <v>6924946969.1669998</v>
      </c>
      <c r="S6" s="567">
        <f t="shared" si="0"/>
        <v>6924946969.1669998</v>
      </c>
      <c r="T6" s="567">
        <f t="shared" si="0"/>
        <v>6924946969.1669998</v>
      </c>
      <c r="U6" s="567">
        <f t="shared" si="0"/>
        <v>6924946969.1669998</v>
      </c>
      <c r="V6" s="567">
        <f>SUM(B6:U6)</f>
        <v>203849875929.92191</v>
      </c>
      <c r="W6" s="568">
        <f>V6/V$41</f>
        <v>0.17909794774774776</v>
      </c>
    </row>
    <row r="7" spans="1:23" s="573" customFormat="1" ht="28.5" customHeight="1" x14ac:dyDescent="0.25">
      <c r="A7" s="272" t="str">
        <f>Portafolio_PA_Papa!D2</f>
        <v>1.1. Incremento del consumo interno de papa y sus derivados</v>
      </c>
      <c r="B7" s="574">
        <f>'P1 '!E8</f>
        <v>1031744204.8213333</v>
      </c>
      <c r="C7" s="574">
        <f>'P1 '!F8</f>
        <v>3171232614.4639997</v>
      </c>
      <c r="D7" s="574">
        <f>'P1 '!G8</f>
        <v>3171232614.4639997</v>
      </c>
      <c r="E7" s="574">
        <f>'P1 '!H8</f>
        <v>3171232614.4639997</v>
      </c>
      <c r="F7" s="574">
        <f>'P1 '!I8</f>
        <v>3171232614.4639997</v>
      </c>
      <c r="G7" s="574">
        <f>'P1 '!J8</f>
        <v>3171232614.4639997</v>
      </c>
      <c r="H7" s="574">
        <f>'P1 '!K8</f>
        <v>3171232614.4639997</v>
      </c>
      <c r="I7" s="574">
        <f>'P1 '!L8</f>
        <v>3171232614.4639997</v>
      </c>
      <c r="J7" s="574">
        <f>'P1 '!M8</f>
        <v>3171232614.4639997</v>
      </c>
      <c r="K7" s="574">
        <f>'P1 '!N8</f>
        <v>3171232614.4639997</v>
      </c>
      <c r="L7" s="574">
        <f>'P1 '!O8</f>
        <v>3171232614.4639997</v>
      </c>
      <c r="M7" s="574">
        <f>'P1 '!P8</f>
        <v>3095232614.4639997</v>
      </c>
      <c r="N7" s="574">
        <f>'P1 '!Q8</f>
        <v>3095232614.4639997</v>
      </c>
      <c r="O7" s="574">
        <f>'P1 '!R8</f>
        <v>3095232614.4639997</v>
      </c>
      <c r="P7" s="574">
        <f>'P1 '!S8</f>
        <v>3095232614.4639997</v>
      </c>
      <c r="Q7" s="574">
        <f>'P1 '!T8</f>
        <v>3095232614.4639997</v>
      </c>
      <c r="R7" s="574">
        <f>'P1 '!U8</f>
        <v>3095232614.4639997</v>
      </c>
      <c r="S7" s="574">
        <f>'P1 '!V8</f>
        <v>3095232614.4639997</v>
      </c>
      <c r="T7" s="574">
        <f>'P1 '!W8</f>
        <v>3095232614.4639997</v>
      </c>
      <c r="U7" s="574">
        <f>'P1 '!X8</f>
        <v>3095232614.4639997</v>
      </c>
      <c r="V7" s="574">
        <f>'P1 '!Y8</f>
        <v>60601163879.637314</v>
      </c>
      <c r="W7" s="575">
        <f>V7/V$41</f>
        <v>5.3242828981162282E-2</v>
      </c>
    </row>
    <row r="8" spans="1:23" s="573" customFormat="1" ht="28.5" customHeight="1" x14ac:dyDescent="0.25">
      <c r="A8" s="272" t="str">
        <f>Portafolio_PA_Papa!D7</f>
        <v>1.2. Incursión y posicionamiento de la papa colombiana y sus derivados, en el mercado internacional</v>
      </c>
      <c r="B8" s="574">
        <f>'P1 '!E9</f>
        <v>433348271.47500008</v>
      </c>
      <c r="C8" s="574">
        <f>'P1 '!F9</f>
        <v>1436801600.3610001</v>
      </c>
      <c r="D8" s="574">
        <f>'P1 '!G9</f>
        <v>1436801600.3610001</v>
      </c>
      <c r="E8" s="574">
        <f>'P1 '!H9</f>
        <v>1436801600.3610001</v>
      </c>
      <c r="F8" s="574">
        <f>'P1 '!I9</f>
        <v>1436801600.3610001</v>
      </c>
      <c r="G8" s="574">
        <f>'P1 '!J9</f>
        <v>1436801600.3610001</v>
      </c>
      <c r="H8" s="574">
        <f>'P1 '!K9</f>
        <v>1436801600.3610001</v>
      </c>
      <c r="I8" s="574">
        <f>'P1 '!L9</f>
        <v>1436801600.3610001</v>
      </c>
      <c r="J8" s="574">
        <f>'P1 '!M9</f>
        <v>1436801600.3610001</v>
      </c>
      <c r="K8" s="574">
        <f>'P1 '!N9</f>
        <v>1436801600.3610001</v>
      </c>
      <c r="L8" s="574">
        <f>'P1 '!O9</f>
        <v>1436801600.3610001</v>
      </c>
      <c r="M8" s="574">
        <f>'P1 '!P9</f>
        <v>1300044814.4250002</v>
      </c>
      <c r="N8" s="574">
        <f>'P1 '!Q9</f>
        <v>1300044814.4250002</v>
      </c>
      <c r="O8" s="574">
        <f>'P1 '!R9</f>
        <v>1300044814.4250002</v>
      </c>
      <c r="P8" s="574">
        <f>'P1 '!S9</f>
        <v>1300044814.4250002</v>
      </c>
      <c r="Q8" s="574">
        <f>'P1 '!T9</f>
        <v>1300044814.4250002</v>
      </c>
      <c r="R8" s="574">
        <f>'P1 '!U9</f>
        <v>1300044814.4250002</v>
      </c>
      <c r="S8" s="574">
        <f>'P1 '!V9</f>
        <v>1300044814.4250002</v>
      </c>
      <c r="T8" s="574">
        <f>'P1 '!W9</f>
        <v>1300044814.4250002</v>
      </c>
      <c r="U8" s="574">
        <f>'P1 '!X9</f>
        <v>1300044814.4250002</v>
      </c>
      <c r="V8" s="574">
        <f>'P1 '!Y9</f>
        <v>26501767604.909996</v>
      </c>
      <c r="W8" s="575">
        <f>V8/V$41</f>
        <v>2.3283861067243488E-2</v>
      </c>
    </row>
    <row r="9" spans="1:23" s="573" customFormat="1" ht="28.5" customHeight="1" x14ac:dyDescent="0.25">
      <c r="A9" s="272" t="str">
        <f>Portafolio_PA_Papa!D13</f>
        <v>1.3. Mejora de la comercialización de la papa y sus derivados</v>
      </c>
      <c r="B9" s="574">
        <f>'P1 '!E10</f>
        <v>843223180.09266663</v>
      </c>
      <c r="C9" s="574">
        <f>'P1 '!F10</f>
        <v>2529669540.2779999</v>
      </c>
      <c r="D9" s="574">
        <f>'P1 '!G10</f>
        <v>2529669540.2779999</v>
      </c>
      <c r="E9" s="574">
        <f>'P1 '!H10</f>
        <v>2529669540.2779999</v>
      </c>
      <c r="F9" s="574">
        <f>'P1 '!I10</f>
        <v>11009669540.277998</v>
      </c>
      <c r="G9" s="574">
        <f>'P1 '!J10</f>
        <v>11009669540.277998</v>
      </c>
      <c r="H9" s="574">
        <f>'P1 '!K10</f>
        <v>11009669540.277998</v>
      </c>
      <c r="I9" s="574">
        <f>'P1 '!L10</f>
        <v>11009669540.277998</v>
      </c>
      <c r="J9" s="574">
        <f>'P1 '!M10</f>
        <v>11009669540.277998</v>
      </c>
      <c r="K9" s="574">
        <f>'P1 '!N10</f>
        <v>11009669540.277998</v>
      </c>
      <c r="L9" s="574">
        <f>'P1 '!O10</f>
        <v>11009669540.277998</v>
      </c>
      <c r="M9" s="574">
        <f>'P1 '!P10</f>
        <v>11009669540.277998</v>
      </c>
      <c r="N9" s="574">
        <f>'P1 '!Q10</f>
        <v>2529669540.2779999</v>
      </c>
      <c r="O9" s="574">
        <f>'P1 '!R10</f>
        <v>2529669540.2779999</v>
      </c>
      <c r="P9" s="574">
        <f>'P1 '!S10</f>
        <v>2529669540.2779999</v>
      </c>
      <c r="Q9" s="574">
        <f>'P1 '!T10</f>
        <v>2529669540.2779999</v>
      </c>
      <c r="R9" s="574">
        <f>'P1 '!U10</f>
        <v>2529669540.2779999</v>
      </c>
      <c r="S9" s="574">
        <f>'P1 '!V10</f>
        <v>2529669540.2779999</v>
      </c>
      <c r="T9" s="574">
        <f>'P1 '!W10</f>
        <v>2529669540.2779999</v>
      </c>
      <c r="U9" s="574">
        <f>'P1 '!X10</f>
        <v>2529669540.2779999</v>
      </c>
      <c r="V9" s="574">
        <f>'P1 '!Y10</f>
        <v>116746944445.37466</v>
      </c>
      <c r="W9" s="575">
        <f>V9/V$41</f>
        <v>0.10257125769934203</v>
      </c>
    </row>
    <row r="10" spans="1:23" s="573" customFormat="1" ht="28.5" customHeight="1" x14ac:dyDescent="0.25">
      <c r="A10" s="566" t="str">
        <f>Portafolio_PA_Papa!C19</f>
        <v>2. Mejora de la productividad en la producción y procesamiento de papa</v>
      </c>
      <c r="B10" s="567">
        <f>SUM(B11:B16)</f>
        <v>2749724523.3333335</v>
      </c>
      <c r="C10" s="567">
        <f t="shared" ref="C10:V10" si="1">SUM(C11:C16)</f>
        <v>23280923977.298244</v>
      </c>
      <c r="D10" s="567">
        <f t="shared" si="1"/>
        <v>29626157430.700893</v>
      </c>
      <c r="E10" s="567">
        <f t="shared" si="1"/>
        <v>32607407430.700893</v>
      </c>
      <c r="F10" s="567">
        <f t="shared" si="1"/>
        <v>32786282430.700893</v>
      </c>
      <c r="G10" s="567">
        <f t="shared" si="1"/>
        <v>32975889930.700893</v>
      </c>
      <c r="H10" s="567">
        <f t="shared" si="1"/>
        <v>29782407518.432892</v>
      </c>
      <c r="I10" s="567">
        <f t="shared" si="1"/>
        <v>29995450505.432892</v>
      </c>
      <c r="J10" s="567">
        <f t="shared" si="1"/>
        <v>30221276071.652893</v>
      </c>
      <c r="K10" s="567">
        <f t="shared" si="1"/>
        <v>30460651171.846092</v>
      </c>
      <c r="L10" s="567">
        <f t="shared" si="1"/>
        <v>28507326504.050884</v>
      </c>
      <c r="M10" s="567">
        <f t="shared" si="1"/>
        <v>23904443665.692966</v>
      </c>
      <c r="N10" s="567">
        <f t="shared" si="1"/>
        <v>23918000770.174667</v>
      </c>
      <c r="O10" s="567">
        <f t="shared" si="1"/>
        <v>18881241623.647892</v>
      </c>
      <c r="P10" s="567">
        <f t="shared" si="1"/>
        <v>18881241623.647892</v>
      </c>
      <c r="Q10" s="567">
        <f t="shared" si="1"/>
        <v>18881241623.647892</v>
      </c>
      <c r="R10" s="567">
        <f t="shared" si="1"/>
        <v>18881241623.647892</v>
      </c>
      <c r="S10" s="567">
        <f t="shared" si="1"/>
        <v>18881241623.647892</v>
      </c>
      <c r="T10" s="567">
        <f t="shared" si="1"/>
        <v>18881241623.647892</v>
      </c>
      <c r="U10" s="567">
        <f t="shared" si="1"/>
        <v>16747408995.647894</v>
      </c>
      <c r="V10" s="567">
        <f t="shared" si="1"/>
        <v>480850800668.25378</v>
      </c>
      <c r="W10" s="568">
        <f t="shared" ref="W10:W20" si="2">V10/V$41</f>
        <v>0.42246477305755686</v>
      </c>
    </row>
    <row r="11" spans="1:23" s="573" customFormat="1" ht="28.5" customHeight="1" x14ac:dyDescent="0.25">
      <c r="A11" s="272" t="str">
        <f>Portafolio_PA_Papa!D19</f>
        <v>2.1. Mejora de la producción de semilla certificada de papa</v>
      </c>
      <c r="B11" s="574">
        <f>'P2'!E8</f>
        <v>1488409388</v>
      </c>
      <c r="C11" s="574">
        <f>'P2'!F8</f>
        <v>5063428404</v>
      </c>
      <c r="D11" s="574">
        <f>'P2'!G8</f>
        <v>5063428404</v>
      </c>
      <c r="E11" s="574">
        <f>'P2'!H8</f>
        <v>5063428404</v>
      </c>
      <c r="F11" s="574">
        <f>'P2'!I8</f>
        <v>5063428404</v>
      </c>
      <c r="G11" s="574">
        <f>'P2'!J8</f>
        <v>5063428404</v>
      </c>
      <c r="H11" s="574">
        <f>'P2'!K8</f>
        <v>4465228164</v>
      </c>
      <c r="I11" s="574">
        <f>'P2'!L8</f>
        <v>4465228164</v>
      </c>
      <c r="J11" s="574">
        <f>'P2'!M8</f>
        <v>4465228164</v>
      </c>
      <c r="K11" s="574">
        <f>'P2'!N8</f>
        <v>4465228164</v>
      </c>
      <c r="L11" s="574">
        <f>'P2'!O8</f>
        <v>4465228164</v>
      </c>
      <c r="M11" s="574">
        <f>'P2'!P8</f>
        <v>4465228164</v>
      </c>
      <c r="N11" s="574">
        <f>'P2'!Q8</f>
        <v>4465228164</v>
      </c>
      <c r="O11" s="574">
        <f>'P2'!R8</f>
        <v>4465228164</v>
      </c>
      <c r="P11" s="574">
        <f>'P2'!S8</f>
        <v>4465228164</v>
      </c>
      <c r="Q11" s="574">
        <f>'P2'!T8</f>
        <v>4465228164</v>
      </c>
      <c r="R11" s="574">
        <f>'P2'!U8</f>
        <v>4465228164</v>
      </c>
      <c r="S11" s="574">
        <f>'P2'!V8</f>
        <v>4465228164</v>
      </c>
      <c r="T11" s="574">
        <f>'P2'!W8</f>
        <v>4465228164</v>
      </c>
      <c r="U11" s="574">
        <f>'P2'!X8</f>
        <v>4465228164</v>
      </c>
      <c r="V11" s="574">
        <f>'P2'!Y8</f>
        <v>89318745704</v>
      </c>
      <c r="W11" s="575">
        <f t="shared" si="2"/>
        <v>7.8473454928609479E-2</v>
      </c>
    </row>
    <row r="12" spans="1:23" s="573" customFormat="1" ht="28.5" customHeight="1" x14ac:dyDescent="0.25">
      <c r="A12" s="272" t="str">
        <f>Portafolio_PA_Papa!D24</f>
        <v>2.2. Fortalecimiento de la asistencia técnica y extensión agrícola a productores de papa</v>
      </c>
      <c r="B12" s="574">
        <f>'P2'!E9</f>
        <v>0</v>
      </c>
      <c r="C12" s="574">
        <f>'P2'!F9</f>
        <v>6919697515.9649124</v>
      </c>
      <c r="D12" s="574">
        <f>'P2'!G9</f>
        <v>12605316660.435894</v>
      </c>
      <c r="E12" s="574">
        <f>'P2'!H9</f>
        <v>15586566660.435894</v>
      </c>
      <c r="F12" s="574">
        <f>'P2'!I9</f>
        <v>15765441660.435894</v>
      </c>
      <c r="G12" s="574">
        <f>'P2'!J9</f>
        <v>15955049160.435894</v>
      </c>
      <c r="H12" s="574">
        <f>'P2'!K9</f>
        <v>14061415743.157894</v>
      </c>
      <c r="I12" s="574">
        <f>'P2'!L9</f>
        <v>14274458730.157894</v>
      </c>
      <c r="J12" s="574">
        <f>'P2'!M9</f>
        <v>14500284296.377895</v>
      </c>
      <c r="K12" s="574">
        <f>'P2'!N9</f>
        <v>14739659396.571095</v>
      </c>
      <c r="L12" s="574">
        <f>'P2'!O9</f>
        <v>12786334728.775887</v>
      </c>
      <c r="M12" s="574">
        <f>'P2'!P9</f>
        <v>13055296591.352966</v>
      </c>
      <c r="N12" s="574">
        <f>'P2'!Q9</f>
        <v>13340396165.684669</v>
      </c>
      <c r="O12" s="574">
        <f>'P2'!R9</f>
        <v>8303637019.1578941</v>
      </c>
      <c r="P12" s="574">
        <f>'P2'!S9</f>
        <v>8303637019.1578941</v>
      </c>
      <c r="Q12" s="574">
        <f>'P2'!T9</f>
        <v>8303637019.1578941</v>
      </c>
      <c r="R12" s="574">
        <f>'P2'!U9</f>
        <v>8303637019.1578941</v>
      </c>
      <c r="S12" s="574">
        <f>'P2'!V9</f>
        <v>8303637019.1578941</v>
      </c>
      <c r="T12" s="574">
        <f>'P2'!W9</f>
        <v>8303637019.1578941</v>
      </c>
      <c r="U12" s="574">
        <f>'P2'!X9</f>
        <v>8303637019.1578941</v>
      </c>
      <c r="V12" s="574">
        <f>'P2'!Y9</f>
        <v>221715376443.89209</v>
      </c>
      <c r="W12" s="575">
        <f t="shared" si="2"/>
        <v>0.19479417745081784</v>
      </c>
    </row>
    <row r="13" spans="1:23" s="573" customFormat="1" ht="28.5" customHeight="1" x14ac:dyDescent="0.25">
      <c r="A13" s="272" t="str">
        <f>Portafolio_PA_Papa!D33</f>
        <v>2.3.  Fortalecimiento de las capacidades técnicas y empresariales de MiPymes procesadoras  de papa</v>
      </c>
      <c r="B13" s="574">
        <f>'P2'!E10</f>
        <v>0</v>
      </c>
      <c r="C13" s="574">
        <f>'P2'!F10</f>
        <v>1940359195.4083333</v>
      </c>
      <c r="D13" s="574">
        <f>'P2'!G10</f>
        <v>2599973504.3400002</v>
      </c>
      <c r="E13" s="574">
        <f>'P2'!H10</f>
        <v>2599973504.3400002</v>
      </c>
      <c r="F13" s="574">
        <f>'P2'!I10</f>
        <v>2599973504.3400002</v>
      </c>
      <c r="G13" s="574">
        <f>'P2'!J10</f>
        <v>2599973504.3400002</v>
      </c>
      <c r="H13" s="574">
        <f>'P2'!K10</f>
        <v>2599973504.3400002</v>
      </c>
      <c r="I13" s="574">
        <f>'P2'!L10</f>
        <v>2599973504.3400002</v>
      </c>
      <c r="J13" s="574">
        <f>'P2'!M10</f>
        <v>2599973504.3400002</v>
      </c>
      <c r="K13" s="574">
        <f>'P2'!N10</f>
        <v>2599973504.3400002</v>
      </c>
      <c r="L13" s="574">
        <f>'P2'!O10</f>
        <v>2599973504.3400002</v>
      </c>
      <c r="M13" s="574">
        <f>'P2'!P10</f>
        <v>2599973504.3400002</v>
      </c>
      <c r="N13" s="574">
        <f>'P2'!Q10</f>
        <v>2328431034.4899998</v>
      </c>
      <c r="O13" s="574">
        <f>'P2'!R10</f>
        <v>2328431034.4899998</v>
      </c>
      <c r="P13" s="574">
        <f>'P2'!S10</f>
        <v>2328431034.4899998</v>
      </c>
      <c r="Q13" s="574">
        <f>'P2'!T10</f>
        <v>2328431034.4899998</v>
      </c>
      <c r="R13" s="574">
        <f>'P2'!U10</f>
        <v>2328431034.4899998</v>
      </c>
      <c r="S13" s="574">
        <f>'P2'!V10</f>
        <v>2328431034.4899998</v>
      </c>
      <c r="T13" s="574">
        <f>'P2'!W10</f>
        <v>2328431034.4899998</v>
      </c>
      <c r="U13" s="574">
        <f>'P2'!X10</f>
        <v>2328431034.4899998</v>
      </c>
      <c r="V13" s="574">
        <f>'P2'!Y10</f>
        <v>46567542514.728317</v>
      </c>
      <c r="W13" s="575">
        <f t="shared" si="2"/>
        <v>4.0913202708599897E-2</v>
      </c>
    </row>
    <row r="14" spans="1:23" s="573" customFormat="1" ht="28.5" customHeight="1" x14ac:dyDescent="0.25">
      <c r="A14" s="272" t="str">
        <f>Portafolio_PA_Papa!D39</f>
        <v>2.4. Promoción de la integración y las alianzas estratégicas en la cadena de la papa</v>
      </c>
      <c r="B14" s="574">
        <f>'P2'!E11</f>
        <v>711277542.66666663</v>
      </c>
      <c r="C14" s="574">
        <f>'P2'!F11</f>
        <v>2620993030.145</v>
      </c>
      <c r="D14" s="574">
        <f>'P2'!G11</f>
        <v>2620993030.145</v>
      </c>
      <c r="E14" s="574">
        <f>'P2'!H11</f>
        <v>2620993030.145</v>
      </c>
      <c r="F14" s="574">
        <f>'P2'!I11</f>
        <v>2620993030.145</v>
      </c>
      <c r="G14" s="574">
        <f>'P2'!J11</f>
        <v>2620993030.145</v>
      </c>
      <c r="H14" s="574">
        <f>'P2'!K11</f>
        <v>1919344275.1549997</v>
      </c>
      <c r="I14" s="574">
        <f>'P2'!L11</f>
        <v>1919344275.1549997</v>
      </c>
      <c r="J14" s="574">
        <f>'P2'!M11</f>
        <v>1919344275.1549997</v>
      </c>
      <c r="K14" s="574">
        <f>'P2'!N11</f>
        <v>1919344275.1549997</v>
      </c>
      <c r="L14" s="574">
        <f>'P2'!O11</f>
        <v>1919344275.1549997</v>
      </c>
      <c r="M14" s="574">
        <f>'P2'!P11</f>
        <v>2133832627.9999998</v>
      </c>
      <c r="N14" s="574">
        <f>'P2'!Q11</f>
        <v>2133832627.9999998</v>
      </c>
      <c r="O14" s="574">
        <f>'P2'!R11</f>
        <v>2133832627.9999998</v>
      </c>
      <c r="P14" s="574">
        <f>'P2'!S11</f>
        <v>2133832627.9999998</v>
      </c>
      <c r="Q14" s="574">
        <f>'P2'!T11</f>
        <v>2133832627.9999998</v>
      </c>
      <c r="R14" s="574">
        <f>'P2'!U11</f>
        <v>2133832627.9999998</v>
      </c>
      <c r="S14" s="574">
        <f>'P2'!V11</f>
        <v>2133832627.9999998</v>
      </c>
      <c r="T14" s="574">
        <f>'P2'!W11</f>
        <v>2133832627.9999998</v>
      </c>
      <c r="U14" s="574">
        <f>'P2'!X11</f>
        <v>0</v>
      </c>
      <c r="V14" s="574">
        <f>'P2'!Y11</f>
        <v>40483625093.166664</v>
      </c>
      <c r="W14" s="575">
        <f t="shared" si="2"/>
        <v>3.556800875399066E-2</v>
      </c>
    </row>
    <row r="15" spans="1:23" s="573" customFormat="1" ht="28.5" customHeight="1" x14ac:dyDescent="0.25">
      <c r="A15" s="272" t="str">
        <f>Portafolio_PA_Papa!D42</f>
        <v>2.5. Mejora de la capacidad instalada en el almacenamiento y procesamiento agroindustrial de la papa</v>
      </c>
      <c r="B15" s="574">
        <f>'P2'!E12</f>
        <v>174251543.33333337</v>
      </c>
      <c r="C15" s="574">
        <f>'P2'!F12</f>
        <v>4084607242.48</v>
      </c>
      <c r="D15" s="574">
        <f>'P2'!G12</f>
        <v>4084607242.48</v>
      </c>
      <c r="E15" s="574">
        <f>'P2'!H12</f>
        <v>4084607242.48</v>
      </c>
      <c r="F15" s="574">
        <f>'P2'!I12</f>
        <v>4084607242.48</v>
      </c>
      <c r="G15" s="574">
        <f>'P2'!J12</f>
        <v>4084607242.48</v>
      </c>
      <c r="H15" s="574">
        <f>'P2'!K12</f>
        <v>4084607242.48</v>
      </c>
      <c r="I15" s="574">
        <f>'P2'!L12</f>
        <v>4084607242.48</v>
      </c>
      <c r="J15" s="574">
        <f>'P2'!M12</f>
        <v>4084607242.48</v>
      </c>
      <c r="K15" s="574">
        <f>'P2'!N12</f>
        <v>4084607242.48</v>
      </c>
      <c r="L15" s="574">
        <f>'P2'!O12</f>
        <v>4084607242.48</v>
      </c>
      <c r="M15" s="574">
        <f>'P2'!P12</f>
        <v>522754630.00000012</v>
      </c>
      <c r="N15" s="574">
        <f>'P2'!Q12</f>
        <v>522754630.00000012</v>
      </c>
      <c r="O15" s="574">
        <f>'P2'!R12</f>
        <v>522754630.00000012</v>
      </c>
      <c r="P15" s="574">
        <f>'P2'!S12</f>
        <v>522754630.00000012</v>
      </c>
      <c r="Q15" s="574">
        <f>'P2'!T12</f>
        <v>522754630.00000012</v>
      </c>
      <c r="R15" s="574">
        <f>'P2'!U12</f>
        <v>522754630.00000012</v>
      </c>
      <c r="S15" s="574">
        <f>'P2'!V12</f>
        <v>522754630.00000012</v>
      </c>
      <c r="T15" s="574">
        <f>'P2'!W12</f>
        <v>522754630.00000012</v>
      </c>
      <c r="U15" s="574">
        <f>'P2'!X12</f>
        <v>522754630.00000012</v>
      </c>
      <c r="V15" s="574">
        <f>'P2'!Y12</f>
        <v>45725115638.133339</v>
      </c>
      <c r="W15" s="575">
        <f t="shared" si="2"/>
        <v>4.0173065271491164E-2</v>
      </c>
    </row>
    <row r="16" spans="1:23" s="573" customFormat="1" ht="28.5" customHeight="1" x14ac:dyDescent="0.25">
      <c r="A16" s="272" t="str">
        <f>Portafolio_PA_Papa!D48</f>
        <v>2.6. Optimización de la oferta de insumos y servicios asociados a la cadena.</v>
      </c>
      <c r="B16" s="574">
        <f>'P2'!E13</f>
        <v>375786049.33333343</v>
      </c>
      <c r="C16" s="574">
        <f>'P2'!F13</f>
        <v>2651838589.3000002</v>
      </c>
      <c r="D16" s="574">
        <f>'P2'!G13</f>
        <v>2651838589.3000002</v>
      </c>
      <c r="E16" s="574">
        <f>'P2'!H13</f>
        <v>2651838589.3000002</v>
      </c>
      <c r="F16" s="574">
        <f>'P2'!I13</f>
        <v>2651838589.3000002</v>
      </c>
      <c r="G16" s="574">
        <f>'P2'!J13</f>
        <v>2651838589.3000002</v>
      </c>
      <c r="H16" s="574">
        <f>'P2'!K13</f>
        <v>2651838589.3000002</v>
      </c>
      <c r="I16" s="574">
        <f>'P2'!L13</f>
        <v>2651838589.3000002</v>
      </c>
      <c r="J16" s="574">
        <f>'P2'!M13</f>
        <v>2651838589.3000002</v>
      </c>
      <c r="K16" s="574">
        <f>'P2'!N13</f>
        <v>2651838589.3000002</v>
      </c>
      <c r="L16" s="574">
        <f>'P2'!O13</f>
        <v>2651838589.3000002</v>
      </c>
      <c r="M16" s="574">
        <f>'P2'!P13</f>
        <v>1127358148.0000002</v>
      </c>
      <c r="N16" s="574">
        <f>'P2'!Q13</f>
        <v>1127358148.0000002</v>
      </c>
      <c r="O16" s="574">
        <f>'P2'!R13</f>
        <v>1127358148.0000002</v>
      </c>
      <c r="P16" s="574">
        <f>'P2'!S13</f>
        <v>1127358148.0000002</v>
      </c>
      <c r="Q16" s="574">
        <f>'P2'!T13</f>
        <v>1127358148.0000002</v>
      </c>
      <c r="R16" s="574">
        <f>'P2'!U13</f>
        <v>1127358148.0000002</v>
      </c>
      <c r="S16" s="574">
        <f>'P2'!V13</f>
        <v>1127358148.0000002</v>
      </c>
      <c r="T16" s="574">
        <f>'P2'!W13</f>
        <v>1127358148.0000002</v>
      </c>
      <c r="U16" s="574">
        <f>'P2'!X13</f>
        <v>1127358148.0000002</v>
      </c>
      <c r="V16" s="574">
        <f>'P2'!Y13</f>
        <v>37040395274.333336</v>
      </c>
      <c r="W16" s="575">
        <f t="shared" si="2"/>
        <v>3.2542863944047803E-2</v>
      </c>
    </row>
    <row r="17" spans="1:24" s="573" customFormat="1" ht="28.5" customHeight="1" x14ac:dyDescent="0.25">
      <c r="A17" s="566" t="str">
        <f>Portafolio_PA_Papa!C53</f>
        <v>3. Mejora del desempeño ambiental de la cadena de la papa</v>
      </c>
      <c r="B17" s="567">
        <f>SUM(B18:B20)</f>
        <v>331189370</v>
      </c>
      <c r="C17" s="567">
        <f t="shared" ref="C17:V17" si="3">SUM(C18:C20)</f>
        <v>4605633383.333333</v>
      </c>
      <c r="D17" s="567">
        <f t="shared" si="3"/>
        <v>9464753473.8899994</v>
      </c>
      <c r="E17" s="567">
        <f t="shared" si="3"/>
        <v>9464753473.8899994</v>
      </c>
      <c r="F17" s="567">
        <f t="shared" si="3"/>
        <v>9464753473.8899994</v>
      </c>
      <c r="G17" s="567">
        <f t="shared" si="3"/>
        <v>9464753473.8899994</v>
      </c>
      <c r="H17" s="567">
        <f t="shared" si="3"/>
        <v>9464753473.8899994</v>
      </c>
      <c r="I17" s="567">
        <f t="shared" si="3"/>
        <v>9464753473.8899994</v>
      </c>
      <c r="J17" s="567">
        <f t="shared" si="3"/>
        <v>9464753473.8899994</v>
      </c>
      <c r="K17" s="567">
        <f t="shared" si="3"/>
        <v>9464753473.8899994</v>
      </c>
      <c r="L17" s="567">
        <f t="shared" si="3"/>
        <v>8910810590.25</v>
      </c>
      <c r="M17" s="567">
        <f t="shared" si="3"/>
        <v>5261808564</v>
      </c>
      <c r="N17" s="567">
        <f t="shared" si="3"/>
        <v>3937051084</v>
      </c>
      <c r="O17" s="567">
        <f t="shared" si="3"/>
        <v>3937051084</v>
      </c>
      <c r="P17" s="567">
        <f t="shared" si="3"/>
        <v>3937051084</v>
      </c>
      <c r="Q17" s="567">
        <f t="shared" si="3"/>
        <v>3937051084</v>
      </c>
      <c r="R17" s="567">
        <f t="shared" si="3"/>
        <v>3937051084</v>
      </c>
      <c r="S17" s="567">
        <f t="shared" si="3"/>
        <v>3937051084</v>
      </c>
      <c r="T17" s="567">
        <f t="shared" si="3"/>
        <v>3937051084</v>
      </c>
      <c r="U17" s="567">
        <f t="shared" si="3"/>
        <v>3937051084</v>
      </c>
      <c r="V17" s="567">
        <f t="shared" si="3"/>
        <v>126323878370.70332</v>
      </c>
      <c r="W17" s="568">
        <f t="shared" si="2"/>
        <v>0.1109853379332284</v>
      </c>
    </row>
    <row r="18" spans="1:24" s="573" customFormat="1" ht="28.5" customHeight="1" x14ac:dyDescent="0.25">
      <c r="A18" s="272" t="str">
        <f>Portafolio_PA_Papa!D53</f>
        <v>3.1. Contribución a la gestión del ordenamiento ambiental, fuera de la frontera agrícola</v>
      </c>
      <c r="B18" s="574">
        <f>'P3'!E8</f>
        <v>331189370</v>
      </c>
      <c r="C18" s="574">
        <f>'P3'!F8</f>
        <v>1324757480</v>
      </c>
      <c r="D18" s="574">
        <f>'P3'!G8</f>
        <v>1324757480</v>
      </c>
      <c r="E18" s="574">
        <f>'P3'!H8</f>
        <v>1324757480</v>
      </c>
      <c r="F18" s="574">
        <f>'P3'!I8</f>
        <v>1324757480</v>
      </c>
      <c r="G18" s="574">
        <f>'P3'!J8</f>
        <v>1324757480</v>
      </c>
      <c r="H18" s="574">
        <f>'P3'!K8</f>
        <v>1324757480</v>
      </c>
      <c r="I18" s="574">
        <f>'P3'!L8</f>
        <v>1324757480</v>
      </c>
      <c r="J18" s="574">
        <f>'P3'!M8</f>
        <v>1324757480</v>
      </c>
      <c r="K18" s="574">
        <f>'P3'!N8</f>
        <v>1324757480</v>
      </c>
      <c r="L18" s="574">
        <f>'P3'!O8</f>
        <v>1324757480</v>
      </c>
      <c r="M18" s="574">
        <f>'P3'!P8</f>
        <v>1324757480</v>
      </c>
      <c r="N18" s="574">
        <f>'P3'!Q8</f>
        <v>0</v>
      </c>
      <c r="O18" s="574">
        <f>'P3'!R8</f>
        <v>0</v>
      </c>
      <c r="P18" s="574">
        <f>'P3'!S8</f>
        <v>0</v>
      </c>
      <c r="Q18" s="574">
        <f>'P3'!T8</f>
        <v>0</v>
      </c>
      <c r="R18" s="574">
        <f>'P3'!U8</f>
        <v>0</v>
      </c>
      <c r="S18" s="574">
        <f>'P3'!V8</f>
        <v>0</v>
      </c>
      <c r="T18" s="574">
        <f>'P3'!W8</f>
        <v>0</v>
      </c>
      <c r="U18" s="574">
        <f>'P3'!X8</f>
        <v>0</v>
      </c>
      <c r="V18" s="574">
        <f>'P3'!Y8</f>
        <v>14903521650</v>
      </c>
      <c r="W18" s="575">
        <f t="shared" si="2"/>
        <v>1.3093901232722471E-2</v>
      </c>
    </row>
    <row r="19" spans="1:24" s="573" customFormat="1" ht="28.5" customHeight="1" x14ac:dyDescent="0.25">
      <c r="A19" s="272" t="str">
        <f>Portafolio_PA_Papa!D56</f>
        <v>3.2. Promoción del manejo eficiente y sostenible del suelo y agua, en el cultivo de papa</v>
      </c>
      <c r="B19" s="574">
        <f>'P3'!E9</f>
        <v>0</v>
      </c>
      <c r="C19" s="574">
        <f>'P3'!F9</f>
        <v>1641950326.6666665</v>
      </c>
      <c r="D19" s="574">
        <f>'P3'!G9</f>
        <v>5619342418.25</v>
      </c>
      <c r="E19" s="574">
        <f>'P3'!H9</f>
        <v>5619342418.25</v>
      </c>
      <c r="F19" s="574">
        <f>'P3'!I9</f>
        <v>5619342418.25</v>
      </c>
      <c r="G19" s="574">
        <f>'P3'!J9</f>
        <v>5619342418.25</v>
      </c>
      <c r="H19" s="574">
        <f>'P3'!K9</f>
        <v>5619342418.25</v>
      </c>
      <c r="I19" s="574">
        <f>'P3'!L9</f>
        <v>5619342418.25</v>
      </c>
      <c r="J19" s="574">
        <f>'P3'!M9</f>
        <v>5619342418.25</v>
      </c>
      <c r="K19" s="574">
        <f>'P3'!N9</f>
        <v>5619342418.25</v>
      </c>
      <c r="L19" s="574">
        <f>'P3'!O9</f>
        <v>5619342418.25</v>
      </c>
      <c r="M19" s="574">
        <f>'P3'!P9</f>
        <v>1970340392</v>
      </c>
      <c r="N19" s="574">
        <f>'P3'!Q9</f>
        <v>1970340392</v>
      </c>
      <c r="O19" s="574">
        <f>'P3'!R9</f>
        <v>1970340392</v>
      </c>
      <c r="P19" s="574">
        <f>'P3'!S9</f>
        <v>1970340392</v>
      </c>
      <c r="Q19" s="574">
        <f>'P3'!T9</f>
        <v>1970340392</v>
      </c>
      <c r="R19" s="574">
        <f>'P3'!U9</f>
        <v>1970340392</v>
      </c>
      <c r="S19" s="574">
        <f>'P3'!V9</f>
        <v>1970340392</v>
      </c>
      <c r="T19" s="574">
        <f>'P3'!W9</f>
        <v>1970340392</v>
      </c>
      <c r="U19" s="574">
        <f>'P3'!X9</f>
        <v>1970340392</v>
      </c>
      <c r="V19" s="574">
        <f>'P3'!Y9</f>
        <v>69949095618.916656</v>
      </c>
      <c r="W19" s="575">
        <f t="shared" si="2"/>
        <v>6.1455713009438598E-2</v>
      </c>
      <c r="X19" s="576">
        <f>W9+W12+W19</f>
        <v>0.35882114815959848</v>
      </c>
    </row>
    <row r="20" spans="1:24" s="573" customFormat="1" ht="36" customHeight="1" x14ac:dyDescent="0.25">
      <c r="A20" s="272" t="str">
        <f>Portafolio_PA_Papa!D62</f>
        <v>3.3. Aumento en la incorporación de prácticas sostenibles en la comercialización, adecuación y procesamiento de papa y sus derivados</v>
      </c>
      <c r="B20" s="574">
        <f>'P3'!E10</f>
        <v>0</v>
      </c>
      <c r="C20" s="574">
        <f>'P3'!F10</f>
        <v>1638925576.6666665</v>
      </c>
      <c r="D20" s="574">
        <f>'P3'!G10</f>
        <v>2520653575.6400003</v>
      </c>
      <c r="E20" s="574">
        <f>'P3'!H10</f>
        <v>2520653575.6400003</v>
      </c>
      <c r="F20" s="574">
        <f>'P3'!I10</f>
        <v>2520653575.6400003</v>
      </c>
      <c r="G20" s="574">
        <f>'P3'!J10</f>
        <v>2520653575.6400003</v>
      </c>
      <c r="H20" s="574">
        <f>'P3'!K10</f>
        <v>2520653575.6400003</v>
      </c>
      <c r="I20" s="574">
        <f>'P3'!L10</f>
        <v>2520653575.6400003</v>
      </c>
      <c r="J20" s="574">
        <f>'P3'!M10</f>
        <v>2520653575.6400003</v>
      </c>
      <c r="K20" s="574">
        <f>'P3'!N10</f>
        <v>2520653575.6400003</v>
      </c>
      <c r="L20" s="574">
        <f>'P3'!O10</f>
        <v>1966710692</v>
      </c>
      <c r="M20" s="574">
        <f>'P3'!P10</f>
        <v>1966710692</v>
      </c>
      <c r="N20" s="574">
        <f>'P3'!Q10</f>
        <v>1966710692</v>
      </c>
      <c r="O20" s="574">
        <f>'P3'!R10</f>
        <v>1966710692</v>
      </c>
      <c r="P20" s="574">
        <f>'P3'!S10</f>
        <v>1966710692</v>
      </c>
      <c r="Q20" s="574">
        <f>'P3'!T10</f>
        <v>1966710692</v>
      </c>
      <c r="R20" s="574">
        <f>'P3'!U10</f>
        <v>1966710692</v>
      </c>
      <c r="S20" s="574">
        <f>'P3'!V10</f>
        <v>1966710692</v>
      </c>
      <c r="T20" s="574">
        <f>'P3'!W10</f>
        <v>1966710692</v>
      </c>
      <c r="U20" s="574">
        <f>'P3'!X10</f>
        <v>1966710692</v>
      </c>
      <c r="V20" s="574">
        <f>'P3'!Y10</f>
        <v>41471261101.786667</v>
      </c>
      <c r="W20" s="575">
        <f t="shared" si="2"/>
        <v>3.6435723691067332E-2</v>
      </c>
    </row>
    <row r="21" spans="1:24" s="573" customFormat="1" ht="28.5" customHeight="1" x14ac:dyDescent="0.25">
      <c r="A21" s="566" t="str">
        <f>Portafolio_PA_Papa!C65</f>
        <v xml:space="preserve">4. Contribución al ordenamiento productivo y social de la propiedad rural de la cadena </v>
      </c>
      <c r="B21" s="567">
        <f>B22+B23</f>
        <v>1274942401.3333335</v>
      </c>
      <c r="C21" s="567">
        <f t="shared" ref="C21:V21" si="4">C22+C23</f>
        <v>3824827204</v>
      </c>
      <c r="D21" s="567">
        <f t="shared" si="4"/>
        <v>3824827204</v>
      </c>
      <c r="E21" s="567">
        <f t="shared" si="4"/>
        <v>3824827204</v>
      </c>
      <c r="F21" s="567">
        <f t="shared" si="4"/>
        <v>3824827204</v>
      </c>
      <c r="G21" s="567">
        <f t="shared" si="4"/>
        <v>3824827204</v>
      </c>
      <c r="H21" s="567">
        <f t="shared" si="4"/>
        <v>3824827204</v>
      </c>
      <c r="I21" s="567">
        <f t="shared" si="4"/>
        <v>3824827204</v>
      </c>
      <c r="J21" s="567">
        <f t="shared" si="4"/>
        <v>3824827204</v>
      </c>
      <c r="K21" s="567">
        <f t="shared" si="4"/>
        <v>3824827204</v>
      </c>
      <c r="L21" s="567">
        <f t="shared" si="4"/>
        <v>3824827204</v>
      </c>
      <c r="M21" s="567">
        <f t="shared" si="4"/>
        <v>3824827204</v>
      </c>
      <c r="N21" s="567">
        <f t="shared" si="4"/>
        <v>3824827204</v>
      </c>
      <c r="O21" s="567">
        <f t="shared" si="4"/>
        <v>3824827204</v>
      </c>
      <c r="P21" s="567">
        <f t="shared" si="4"/>
        <v>3824827204</v>
      </c>
      <c r="Q21" s="567">
        <f t="shared" si="4"/>
        <v>3824827204</v>
      </c>
      <c r="R21" s="567">
        <f t="shared" si="4"/>
        <v>3824827204</v>
      </c>
      <c r="S21" s="567">
        <f t="shared" si="4"/>
        <v>3824827204</v>
      </c>
      <c r="T21" s="567">
        <f t="shared" si="4"/>
        <v>3824827204</v>
      </c>
      <c r="U21" s="567">
        <f t="shared" si="4"/>
        <v>3824827204</v>
      </c>
      <c r="V21" s="567">
        <f t="shared" si="4"/>
        <v>73946659277.333344</v>
      </c>
      <c r="W21" s="568">
        <f>V21/V$41</f>
        <v>6.4967883149093394E-2</v>
      </c>
    </row>
    <row r="22" spans="1:24" s="573" customFormat="1" ht="32.25" customHeight="1" x14ac:dyDescent="0.25">
      <c r="A22" s="272" t="str">
        <f>Portafolio_PA_Papa!D65</f>
        <v>4.1. Fortalecimiento de la articulación con las políticas de ordenamiento productivo y social de la propiedad rural</v>
      </c>
      <c r="B22" s="574">
        <f>'P4'!E8</f>
        <v>582274504</v>
      </c>
      <c r="C22" s="574">
        <f>'P4'!F8</f>
        <v>1746823512</v>
      </c>
      <c r="D22" s="574">
        <f>'P4'!G8</f>
        <v>1746823512</v>
      </c>
      <c r="E22" s="574">
        <f>'P4'!H8</f>
        <v>1746823512</v>
      </c>
      <c r="F22" s="574">
        <f>'P4'!I8</f>
        <v>1746823512</v>
      </c>
      <c r="G22" s="574">
        <f>'P4'!J8</f>
        <v>1746823512</v>
      </c>
      <c r="H22" s="574">
        <f>'P4'!K8</f>
        <v>1746823512</v>
      </c>
      <c r="I22" s="574">
        <f>'P4'!L8</f>
        <v>1746823512</v>
      </c>
      <c r="J22" s="574">
        <f>'P4'!M8</f>
        <v>1746823512</v>
      </c>
      <c r="K22" s="574">
        <f>'P4'!N8</f>
        <v>1746823512</v>
      </c>
      <c r="L22" s="574">
        <f>'P4'!O8</f>
        <v>1746823512</v>
      </c>
      <c r="M22" s="574">
        <f>'P4'!P8</f>
        <v>1746823512</v>
      </c>
      <c r="N22" s="574">
        <f>'P4'!Q8</f>
        <v>1746823512</v>
      </c>
      <c r="O22" s="574">
        <f>'P4'!R8</f>
        <v>1746823512</v>
      </c>
      <c r="P22" s="574">
        <f>'P4'!S8</f>
        <v>1746823512</v>
      </c>
      <c r="Q22" s="574">
        <f>'P4'!T8</f>
        <v>1746823512</v>
      </c>
      <c r="R22" s="574">
        <f>'P4'!U8</f>
        <v>1746823512</v>
      </c>
      <c r="S22" s="574">
        <f>'P4'!V8</f>
        <v>1746823512</v>
      </c>
      <c r="T22" s="574">
        <f>'P4'!W8</f>
        <v>1746823512</v>
      </c>
      <c r="U22" s="574">
        <f>'P4'!X8</f>
        <v>1746823512</v>
      </c>
      <c r="V22" s="574">
        <f>'P4'!Y8</f>
        <v>33771921232</v>
      </c>
      <c r="W22" s="575">
        <f>V22/V$41</f>
        <v>2.9671255655946995E-2</v>
      </c>
    </row>
    <row r="23" spans="1:24" s="573" customFormat="1" ht="28.5" customHeight="1" x14ac:dyDescent="0.25">
      <c r="A23" s="272" t="str">
        <f>Portafolio_PA_Papa!D69</f>
        <v>4.2. Promoción del acceso y la seguridad jurídica en la tenencia de la tierra</v>
      </c>
      <c r="B23" s="574">
        <f>'P4'!E9</f>
        <v>692667897.33333337</v>
      </c>
      <c r="C23" s="574">
        <f>'P4'!F9</f>
        <v>2078003692</v>
      </c>
      <c r="D23" s="574">
        <f>'P4'!G9</f>
        <v>2078003692</v>
      </c>
      <c r="E23" s="574">
        <f>'P4'!H9</f>
        <v>2078003692</v>
      </c>
      <c r="F23" s="574">
        <f>'P4'!I9</f>
        <v>2078003692</v>
      </c>
      <c r="G23" s="574">
        <f>'P4'!J9</f>
        <v>2078003692</v>
      </c>
      <c r="H23" s="574">
        <f>'P4'!K9</f>
        <v>2078003692</v>
      </c>
      <c r="I23" s="574">
        <f>'P4'!L9</f>
        <v>2078003692</v>
      </c>
      <c r="J23" s="574">
        <f>'P4'!M9</f>
        <v>2078003692</v>
      </c>
      <c r="K23" s="574">
        <f>'P4'!N9</f>
        <v>2078003692</v>
      </c>
      <c r="L23" s="574">
        <f>'P4'!O9</f>
        <v>2078003692</v>
      </c>
      <c r="M23" s="574">
        <f>'P4'!P9</f>
        <v>2078003692</v>
      </c>
      <c r="N23" s="574">
        <f>'P4'!Q9</f>
        <v>2078003692</v>
      </c>
      <c r="O23" s="574">
        <f>'P4'!R9</f>
        <v>2078003692</v>
      </c>
      <c r="P23" s="574">
        <f>'P4'!S9</f>
        <v>2078003692</v>
      </c>
      <c r="Q23" s="574">
        <f>'P4'!T9</f>
        <v>2078003692</v>
      </c>
      <c r="R23" s="574">
        <f>'P4'!U9</f>
        <v>2078003692</v>
      </c>
      <c r="S23" s="574">
        <f>'P4'!V9</f>
        <v>2078003692</v>
      </c>
      <c r="T23" s="574">
        <f>'P4'!W9</f>
        <v>2078003692</v>
      </c>
      <c r="U23" s="574">
        <f>'P4'!X9</f>
        <v>2078003692</v>
      </c>
      <c r="V23" s="574">
        <f>'P4'!Y9</f>
        <v>40174738045.333336</v>
      </c>
      <c r="W23" s="575">
        <f>V23/V$41</f>
        <v>3.5296627493146396E-2</v>
      </c>
    </row>
    <row r="24" spans="1:24" s="573" customFormat="1" ht="28.5" customHeight="1" x14ac:dyDescent="0.25">
      <c r="A24" s="566" t="str">
        <f>Portafolio_PA_Papa!C73</f>
        <v>5. Contribución al mejoramiento del entorno social de la cadena</v>
      </c>
      <c r="B24" s="567">
        <f>SUM(B25:B28)</f>
        <v>2505703750.666667</v>
      </c>
      <c r="C24" s="567">
        <f t="shared" ref="C24:V24" si="5">SUM(C25:C28)</f>
        <v>8045111252</v>
      </c>
      <c r="D24" s="567">
        <f t="shared" si="5"/>
        <v>8045111252</v>
      </c>
      <c r="E24" s="567">
        <f t="shared" si="5"/>
        <v>8045111252</v>
      </c>
      <c r="F24" s="567">
        <f t="shared" si="5"/>
        <v>8045111252</v>
      </c>
      <c r="G24" s="567">
        <f t="shared" si="5"/>
        <v>8045111252</v>
      </c>
      <c r="H24" s="567">
        <f t="shared" si="5"/>
        <v>7361111252</v>
      </c>
      <c r="I24" s="567">
        <f t="shared" si="5"/>
        <v>7361111252</v>
      </c>
      <c r="J24" s="567">
        <f t="shared" si="5"/>
        <v>7361111252</v>
      </c>
      <c r="K24" s="567">
        <f t="shared" si="5"/>
        <v>7361111252</v>
      </c>
      <c r="L24" s="567">
        <f t="shared" si="5"/>
        <v>7361111252</v>
      </c>
      <c r="M24" s="567">
        <f t="shared" si="5"/>
        <v>7517111252</v>
      </c>
      <c r="N24" s="567">
        <f t="shared" si="5"/>
        <v>7517111252</v>
      </c>
      <c r="O24" s="567">
        <f t="shared" si="5"/>
        <v>7517111252</v>
      </c>
      <c r="P24" s="567">
        <f t="shared" si="5"/>
        <v>7517111252</v>
      </c>
      <c r="Q24" s="567">
        <f t="shared" si="5"/>
        <v>7517111252</v>
      </c>
      <c r="R24" s="567">
        <f t="shared" si="5"/>
        <v>7517111252</v>
      </c>
      <c r="S24" s="567">
        <f t="shared" si="5"/>
        <v>7517111252</v>
      </c>
      <c r="T24" s="567">
        <f t="shared" si="5"/>
        <v>7517111252</v>
      </c>
      <c r="U24" s="567">
        <f t="shared" si="5"/>
        <v>7517111252</v>
      </c>
      <c r="V24" s="567">
        <f t="shared" si="5"/>
        <v>147190817538.66669</v>
      </c>
      <c r="W24" s="568">
        <f t="shared" ref="W24:W35" si="6">V24/V$41</f>
        <v>0.1293185645967761</v>
      </c>
    </row>
    <row r="25" spans="1:24" s="573" customFormat="1" ht="28.5" customHeight="1" x14ac:dyDescent="0.25">
      <c r="A25" s="272" t="str">
        <f>Portafolio_PA_Papa!D73</f>
        <v>5.1. Contribución al incremento del nivel educativo de los actores vinculados a la cadena de la papa</v>
      </c>
      <c r="B25" s="574">
        <f>'P5'!E8</f>
        <v>493138546.66666669</v>
      </c>
      <c r="C25" s="574">
        <f>'P5'!F8</f>
        <v>1479415640</v>
      </c>
      <c r="D25" s="574">
        <f>'P5'!G8</f>
        <v>1479415640</v>
      </c>
      <c r="E25" s="574">
        <f>'P5'!H8</f>
        <v>1479415640</v>
      </c>
      <c r="F25" s="574">
        <f>'P5'!I8</f>
        <v>1479415640</v>
      </c>
      <c r="G25" s="574">
        <f>'P5'!J8</f>
        <v>1479415640</v>
      </c>
      <c r="H25" s="574">
        <f>'P5'!K8</f>
        <v>1479415640</v>
      </c>
      <c r="I25" s="574">
        <f>'P5'!L8</f>
        <v>1479415640</v>
      </c>
      <c r="J25" s="574">
        <f>'P5'!M8</f>
        <v>1479415640</v>
      </c>
      <c r="K25" s="574">
        <f>'P5'!N8</f>
        <v>1479415640</v>
      </c>
      <c r="L25" s="574">
        <f>'P5'!O8</f>
        <v>1479415640</v>
      </c>
      <c r="M25" s="574">
        <f>'P5'!P8</f>
        <v>1479415640</v>
      </c>
      <c r="N25" s="574">
        <f>'P5'!Q8</f>
        <v>1479415640</v>
      </c>
      <c r="O25" s="574">
        <f>'P5'!R8</f>
        <v>1479415640</v>
      </c>
      <c r="P25" s="574">
        <f>'P5'!S8</f>
        <v>1479415640</v>
      </c>
      <c r="Q25" s="574">
        <f>'P5'!T8</f>
        <v>1479415640</v>
      </c>
      <c r="R25" s="574">
        <f>'P5'!U8</f>
        <v>1479415640</v>
      </c>
      <c r="S25" s="574">
        <f>'P5'!V8</f>
        <v>1479415640</v>
      </c>
      <c r="T25" s="574">
        <f>'P5'!W8</f>
        <v>1479415640</v>
      </c>
      <c r="U25" s="574">
        <f>'P5'!X8</f>
        <v>1479415640</v>
      </c>
      <c r="V25" s="574">
        <f>'P5'!Y8</f>
        <v>28602035706.666668</v>
      </c>
      <c r="W25" s="575">
        <f t="shared" si="6"/>
        <v>2.5129109709307856E-2</v>
      </c>
    </row>
    <row r="26" spans="1:24" s="573" customFormat="1" ht="28.5" customHeight="1" x14ac:dyDescent="0.25">
      <c r="A26" s="272" t="str">
        <f>Portafolio_PA_Papa!D77</f>
        <v>5.2. Promoción de la atención de las necesidades básicas y complementarias de los actores vinculados a la cadena.</v>
      </c>
      <c r="B26" s="574">
        <f>'P5'!E9</f>
        <v>541671880</v>
      </c>
      <c r="C26" s="574">
        <f>'P5'!F9</f>
        <v>1469015640</v>
      </c>
      <c r="D26" s="574">
        <f>'P5'!G9</f>
        <v>1469015640</v>
      </c>
      <c r="E26" s="574">
        <f>'P5'!H9</f>
        <v>1469015640</v>
      </c>
      <c r="F26" s="574">
        <f>'P5'!I9</f>
        <v>1469015640</v>
      </c>
      <c r="G26" s="574">
        <f>'P5'!J9</f>
        <v>1469015640</v>
      </c>
      <c r="H26" s="574">
        <f>'P5'!K9</f>
        <v>1469015640</v>
      </c>
      <c r="I26" s="574">
        <f>'P5'!L9</f>
        <v>1469015640</v>
      </c>
      <c r="J26" s="574">
        <f>'P5'!M9</f>
        <v>1469015640</v>
      </c>
      <c r="K26" s="574">
        <f>'P5'!N9</f>
        <v>1469015640</v>
      </c>
      <c r="L26" s="574">
        <f>'P5'!O9</f>
        <v>1469015640</v>
      </c>
      <c r="M26" s="574">
        <f>'P5'!P9</f>
        <v>1625015640</v>
      </c>
      <c r="N26" s="574">
        <f>'P5'!Q9</f>
        <v>1625015640</v>
      </c>
      <c r="O26" s="574">
        <f>'P5'!R9</f>
        <v>1625015640</v>
      </c>
      <c r="P26" s="574">
        <f>'P5'!S9</f>
        <v>1625015640</v>
      </c>
      <c r="Q26" s="574">
        <f>'P5'!T9</f>
        <v>1625015640</v>
      </c>
      <c r="R26" s="574">
        <f>'P5'!U9</f>
        <v>1625015640</v>
      </c>
      <c r="S26" s="574">
        <f>'P5'!V9</f>
        <v>1625015640</v>
      </c>
      <c r="T26" s="574">
        <f>'P5'!W9</f>
        <v>1625015640</v>
      </c>
      <c r="U26" s="574">
        <f>'P5'!X9</f>
        <v>1625015640</v>
      </c>
      <c r="V26" s="574">
        <f>'P5'!Y9</f>
        <v>29856969040</v>
      </c>
      <c r="W26" s="575">
        <f t="shared" si="6"/>
        <v>2.6231666105454524E-2</v>
      </c>
    </row>
    <row r="27" spans="1:24" s="573" customFormat="1" ht="28.5" customHeight="1" x14ac:dyDescent="0.25">
      <c r="A27" s="272" t="str">
        <f>Portafolio_PA_Papa!D81</f>
        <v>5.3. Promoción de la formalización empresarial y laboral en la cadena de la papa</v>
      </c>
      <c r="B27" s="574">
        <f>'P5'!E10</f>
        <v>686831880</v>
      </c>
      <c r="C27" s="574">
        <f>'P5'!F10</f>
        <v>2060495640</v>
      </c>
      <c r="D27" s="574">
        <f>'P5'!G10</f>
        <v>2060495640</v>
      </c>
      <c r="E27" s="574">
        <f>'P5'!H10</f>
        <v>2060495640</v>
      </c>
      <c r="F27" s="574">
        <f>'P5'!I10</f>
        <v>2060495640</v>
      </c>
      <c r="G27" s="574">
        <f>'P5'!J10</f>
        <v>2060495640</v>
      </c>
      <c r="H27" s="574">
        <f>'P5'!K10</f>
        <v>2060495640</v>
      </c>
      <c r="I27" s="574">
        <f>'P5'!L10</f>
        <v>2060495640</v>
      </c>
      <c r="J27" s="574">
        <f>'P5'!M10</f>
        <v>2060495640</v>
      </c>
      <c r="K27" s="574">
        <f>'P5'!N10</f>
        <v>2060495640</v>
      </c>
      <c r="L27" s="574">
        <f>'P5'!O10</f>
        <v>2060495640</v>
      </c>
      <c r="M27" s="574">
        <f>'P5'!P10</f>
        <v>2060495640</v>
      </c>
      <c r="N27" s="574">
        <f>'P5'!Q10</f>
        <v>2060495640</v>
      </c>
      <c r="O27" s="574">
        <f>'P5'!R10</f>
        <v>2060495640</v>
      </c>
      <c r="P27" s="574">
        <f>'P5'!S10</f>
        <v>2060495640</v>
      </c>
      <c r="Q27" s="574">
        <f>'P5'!T10</f>
        <v>2060495640</v>
      </c>
      <c r="R27" s="574">
        <f>'P5'!U10</f>
        <v>2060495640</v>
      </c>
      <c r="S27" s="574">
        <f>'P5'!V10</f>
        <v>2060495640</v>
      </c>
      <c r="T27" s="574">
        <f>'P5'!W10</f>
        <v>2060495640</v>
      </c>
      <c r="U27" s="574">
        <f>'P5'!X10</f>
        <v>2060495640</v>
      </c>
      <c r="V27" s="574">
        <f>'P5'!Y10</f>
        <v>39836249040</v>
      </c>
      <c r="W27" s="575">
        <f t="shared" si="6"/>
        <v>3.499923861363971E-2</v>
      </c>
    </row>
    <row r="28" spans="1:24" s="573" customFormat="1" ht="28.5" customHeight="1" x14ac:dyDescent="0.25">
      <c r="A28" s="272" t="str">
        <f>Portafolio_PA_Papa!D84</f>
        <v>5.4. Fomento de esquemas de asociatividad en la cadena</v>
      </c>
      <c r="B28" s="574">
        <f>'P5'!E11</f>
        <v>784061444</v>
      </c>
      <c r="C28" s="574">
        <f>'P5'!F11</f>
        <v>3036184332</v>
      </c>
      <c r="D28" s="574">
        <f>'P5'!G11</f>
        <v>3036184332</v>
      </c>
      <c r="E28" s="574">
        <f>'P5'!H11</f>
        <v>3036184332</v>
      </c>
      <c r="F28" s="574">
        <f>'P5'!I11</f>
        <v>3036184332</v>
      </c>
      <c r="G28" s="574">
        <f>'P5'!J11</f>
        <v>3036184332</v>
      </c>
      <c r="H28" s="574">
        <f>'P5'!K11</f>
        <v>2352184332</v>
      </c>
      <c r="I28" s="574">
        <f>'P5'!L11</f>
        <v>2352184332</v>
      </c>
      <c r="J28" s="574">
        <f>'P5'!M11</f>
        <v>2352184332</v>
      </c>
      <c r="K28" s="574">
        <f>'P5'!N11</f>
        <v>2352184332</v>
      </c>
      <c r="L28" s="574">
        <f>'P5'!O11</f>
        <v>2352184332</v>
      </c>
      <c r="M28" s="574">
        <f>'P5'!P11</f>
        <v>2352184332</v>
      </c>
      <c r="N28" s="574">
        <f>'P5'!Q11</f>
        <v>2352184332</v>
      </c>
      <c r="O28" s="574">
        <f>'P5'!R11</f>
        <v>2352184332</v>
      </c>
      <c r="P28" s="574">
        <f>'P5'!S11</f>
        <v>2352184332</v>
      </c>
      <c r="Q28" s="574">
        <f>'P5'!T11</f>
        <v>2352184332</v>
      </c>
      <c r="R28" s="574">
        <f>'P5'!U11</f>
        <v>2352184332</v>
      </c>
      <c r="S28" s="574">
        <f>'P5'!V11</f>
        <v>2352184332</v>
      </c>
      <c r="T28" s="574">
        <f>'P5'!W11</f>
        <v>2352184332</v>
      </c>
      <c r="U28" s="574">
        <f>'P5'!X11</f>
        <v>2352184332</v>
      </c>
      <c r="V28" s="574">
        <f>'P5'!Y11</f>
        <v>48895563752</v>
      </c>
      <c r="W28" s="575">
        <f t="shared" si="6"/>
        <v>4.2958550168373993E-2</v>
      </c>
    </row>
    <row r="29" spans="1:24" s="573" customFormat="1" ht="28.5" customHeight="1" x14ac:dyDescent="0.25">
      <c r="A29" s="566" t="str">
        <f>Portafolio_PA_Papa!C89</f>
        <v>6. Fortalecimiento de la investigación, desarrollo e innovación, en la cadena de la papa</v>
      </c>
      <c r="B29" s="567">
        <f>B30+B31</f>
        <v>752532334.73000002</v>
      </c>
      <c r="C29" s="567">
        <f t="shared" ref="C29:V29" si="7">C30+C31</f>
        <v>4271544443.4166665</v>
      </c>
      <c r="D29" s="567">
        <f t="shared" si="7"/>
        <v>4596961001.75</v>
      </c>
      <c r="E29" s="567">
        <f t="shared" si="7"/>
        <v>4596961001.75</v>
      </c>
      <c r="F29" s="567">
        <f t="shared" si="7"/>
        <v>4596961001.75</v>
      </c>
      <c r="G29" s="567">
        <f t="shared" si="7"/>
        <v>4596961001.75</v>
      </c>
      <c r="H29" s="567">
        <f t="shared" si="7"/>
        <v>4596961001.75</v>
      </c>
      <c r="I29" s="567">
        <f t="shared" si="7"/>
        <v>4596961001.75</v>
      </c>
      <c r="J29" s="567">
        <f t="shared" si="7"/>
        <v>4596961001.75</v>
      </c>
      <c r="K29" s="567">
        <f t="shared" si="7"/>
        <v>4596961001.75</v>
      </c>
      <c r="L29" s="567">
        <f t="shared" si="7"/>
        <v>4596961001.75</v>
      </c>
      <c r="M29" s="567">
        <f t="shared" si="7"/>
        <v>4210096354.1900001</v>
      </c>
      <c r="N29" s="567">
        <f t="shared" si="7"/>
        <v>4210096354.1900001</v>
      </c>
      <c r="O29" s="567">
        <f t="shared" si="7"/>
        <v>4210096354.1900001</v>
      </c>
      <c r="P29" s="567">
        <f t="shared" si="7"/>
        <v>4210096354.1900001</v>
      </c>
      <c r="Q29" s="567">
        <f t="shared" si="7"/>
        <v>4210096354.1900001</v>
      </c>
      <c r="R29" s="567">
        <f t="shared" si="7"/>
        <v>4210096354.1900001</v>
      </c>
      <c r="S29" s="567">
        <f t="shared" si="7"/>
        <v>4210096354.1900001</v>
      </c>
      <c r="T29" s="567">
        <f t="shared" si="7"/>
        <v>4210096354.1900001</v>
      </c>
      <c r="U29" s="567">
        <f t="shared" si="7"/>
        <v>4210096354.1900001</v>
      </c>
      <c r="V29" s="567">
        <f t="shared" si="7"/>
        <v>84287592981.606674</v>
      </c>
      <c r="W29" s="568">
        <f t="shared" si="6"/>
        <v>7.4053196523861164E-2</v>
      </c>
    </row>
    <row r="30" spans="1:24" s="573" customFormat="1" ht="28.5" customHeight="1" x14ac:dyDescent="0.25">
      <c r="A30" s="272" t="str">
        <f>Portafolio_PA_Papa!D89</f>
        <v>6.1. Impulso a los procesos de I+D+i y de extensión agrícola e industrial, para la cadena</v>
      </c>
      <c r="B30" s="574">
        <f>'P6'!E8</f>
        <v>752532334.73000002</v>
      </c>
      <c r="C30" s="574">
        <f>'P6'!F8</f>
        <v>2644461651.75</v>
      </c>
      <c r="D30" s="574">
        <f>'P6'!G8</f>
        <v>2644461651.75</v>
      </c>
      <c r="E30" s="574">
        <f>'P6'!H8</f>
        <v>2644461651.75</v>
      </c>
      <c r="F30" s="574">
        <f>'P6'!I8</f>
        <v>2644461651.75</v>
      </c>
      <c r="G30" s="574">
        <f>'P6'!J8</f>
        <v>2644461651.75</v>
      </c>
      <c r="H30" s="574">
        <f>'P6'!K8</f>
        <v>2644461651.75</v>
      </c>
      <c r="I30" s="574">
        <f>'P6'!L8</f>
        <v>2644461651.75</v>
      </c>
      <c r="J30" s="574">
        <f>'P6'!M8</f>
        <v>2644461651.75</v>
      </c>
      <c r="K30" s="574">
        <f>'P6'!N8</f>
        <v>2644461651.75</v>
      </c>
      <c r="L30" s="574">
        <f>'P6'!O8</f>
        <v>2644461651.75</v>
      </c>
      <c r="M30" s="574">
        <f>'P6'!P8</f>
        <v>2257597004.1900001</v>
      </c>
      <c r="N30" s="574">
        <f>'P6'!Q8</f>
        <v>2257597004.1900001</v>
      </c>
      <c r="O30" s="574">
        <f>'P6'!R8</f>
        <v>2257597004.1900001</v>
      </c>
      <c r="P30" s="574">
        <f>'P6'!S8</f>
        <v>2257597004.1900001</v>
      </c>
      <c r="Q30" s="574">
        <f>'P6'!T8</f>
        <v>2257597004.1900001</v>
      </c>
      <c r="R30" s="574">
        <f>'P6'!U8</f>
        <v>2257597004.1900001</v>
      </c>
      <c r="S30" s="574">
        <f>'P6'!V8</f>
        <v>2257597004.1900001</v>
      </c>
      <c r="T30" s="574">
        <f>'P6'!W8</f>
        <v>2257597004.1900001</v>
      </c>
      <c r="U30" s="574">
        <f>'P6'!X8</f>
        <v>2257597004.1900001</v>
      </c>
      <c r="V30" s="574">
        <f>'P6'!Y8</f>
        <v>47515521889.94001</v>
      </c>
      <c r="W30" s="575">
        <f t="shared" si="6"/>
        <v>4.1746076213344988E-2</v>
      </c>
    </row>
    <row r="31" spans="1:24" s="573" customFormat="1" ht="28.5" customHeight="1" x14ac:dyDescent="0.25">
      <c r="A31" s="272" t="str">
        <f>Portafolio_PA_Papa!D98</f>
        <v>6.2. Fortalecimiento del talento humano en I+D+i, y en extensionismo agrícola e industrial</v>
      </c>
      <c r="B31" s="574">
        <f>'P6'!E9</f>
        <v>0</v>
      </c>
      <c r="C31" s="574">
        <f>'P6'!F9</f>
        <v>1627082791.6666665</v>
      </c>
      <c r="D31" s="574">
        <f>'P6'!G9</f>
        <v>1952499350</v>
      </c>
      <c r="E31" s="574">
        <f>'P6'!H9</f>
        <v>1952499350</v>
      </c>
      <c r="F31" s="574">
        <f>'P6'!I9</f>
        <v>1952499350</v>
      </c>
      <c r="G31" s="574">
        <f>'P6'!J9</f>
        <v>1952499350</v>
      </c>
      <c r="H31" s="574">
        <f>'P6'!K9</f>
        <v>1952499350</v>
      </c>
      <c r="I31" s="574">
        <f>'P6'!L9</f>
        <v>1952499350</v>
      </c>
      <c r="J31" s="574">
        <f>'P6'!M9</f>
        <v>1952499350</v>
      </c>
      <c r="K31" s="574">
        <f>'P6'!N9</f>
        <v>1952499350</v>
      </c>
      <c r="L31" s="574">
        <f>'P6'!O9</f>
        <v>1952499350</v>
      </c>
      <c r="M31" s="574">
        <f>'P6'!P9</f>
        <v>1952499350</v>
      </c>
      <c r="N31" s="574">
        <f>'P6'!Q9</f>
        <v>1952499350</v>
      </c>
      <c r="O31" s="574">
        <f>'P6'!R9</f>
        <v>1952499350</v>
      </c>
      <c r="P31" s="574">
        <f>'P6'!S9</f>
        <v>1952499350</v>
      </c>
      <c r="Q31" s="574">
        <f>'P6'!T9</f>
        <v>1952499350</v>
      </c>
      <c r="R31" s="574">
        <f>'P6'!U9</f>
        <v>1952499350</v>
      </c>
      <c r="S31" s="574">
        <f>'P6'!V9</f>
        <v>1952499350</v>
      </c>
      <c r="T31" s="574">
        <f>'P6'!W9</f>
        <v>1952499350</v>
      </c>
      <c r="U31" s="574">
        <f>'P6'!X9</f>
        <v>1952499350</v>
      </c>
      <c r="V31" s="574">
        <f>'P6'!Y9</f>
        <v>36772071091.666664</v>
      </c>
      <c r="W31" s="575">
        <f t="shared" si="6"/>
        <v>3.230712031051617E-2</v>
      </c>
    </row>
    <row r="32" spans="1:24" s="573" customFormat="1" ht="28.5" customHeight="1" x14ac:dyDescent="0.25">
      <c r="A32" s="566" t="str">
        <f>Portafolio_PA_Papa!C104</f>
        <v>7. Mejora de la gestión institucional en la sanidad y calidad de la papa y sus derivados</v>
      </c>
      <c r="B32" s="567">
        <f>'P7'!E7</f>
        <v>1683015899.1666665</v>
      </c>
      <c r="C32" s="567">
        <f>'P7'!F7</f>
        <v>484466226</v>
      </c>
      <c r="D32" s="567">
        <f>'P7'!G7</f>
        <v>484466226</v>
      </c>
      <c r="E32" s="567">
        <f>'P7'!H7</f>
        <v>242233113</v>
      </c>
      <c r="F32" s="567">
        <f>'P7'!I7</f>
        <v>1548611191</v>
      </c>
      <c r="G32" s="567">
        <f>'P7'!J7</f>
        <v>242233113</v>
      </c>
      <c r="H32" s="567">
        <f>'P7'!K7</f>
        <v>242233113</v>
      </c>
      <c r="I32" s="567">
        <f>'P7'!L7</f>
        <v>0</v>
      </c>
      <c r="J32" s="567">
        <f>'P7'!M7</f>
        <v>1790844304</v>
      </c>
      <c r="K32" s="567">
        <f>'P7'!N7</f>
        <v>0</v>
      </c>
      <c r="L32" s="567">
        <f>'P7'!O7</f>
        <v>242233113</v>
      </c>
      <c r="M32" s="567">
        <f>'P7'!P7</f>
        <v>242233113</v>
      </c>
      <c r="N32" s="567">
        <f>'P7'!Q7</f>
        <v>1548611191</v>
      </c>
      <c r="O32" s="567">
        <f>'P7'!R7</f>
        <v>0</v>
      </c>
      <c r="P32" s="567">
        <f>'P7'!S7</f>
        <v>484466226</v>
      </c>
      <c r="Q32" s="567">
        <f>'P7'!T7</f>
        <v>0</v>
      </c>
      <c r="R32" s="567">
        <f>'P7'!U7</f>
        <v>1548611191</v>
      </c>
      <c r="S32" s="567">
        <f>'P7'!V7</f>
        <v>242233113</v>
      </c>
      <c r="T32" s="567">
        <f>'P7'!W7</f>
        <v>242233113</v>
      </c>
      <c r="U32" s="567">
        <f>'P7'!X7</f>
        <v>242233113</v>
      </c>
      <c r="V32" s="567">
        <f>'P7'!Y7</f>
        <v>11510957358.166666</v>
      </c>
      <c r="W32" s="568">
        <f t="shared" si="6"/>
        <v>1.0113270023123315E-2</v>
      </c>
    </row>
    <row r="33" spans="1:23" s="573" customFormat="1" ht="28.5" customHeight="1" x14ac:dyDescent="0.25">
      <c r="A33" s="272" t="str">
        <f>Portafolio_PA_Papa!D104</f>
        <v>7.1. Fortalecimiento del Sistema de Inspección, Vigilancia y Control a lo largo de la cadena</v>
      </c>
      <c r="B33" s="574">
        <f>'P7'!E8</f>
        <v>1088648398.3333333</v>
      </c>
      <c r="C33" s="574">
        <v>0</v>
      </c>
      <c r="D33" s="574">
        <v>0</v>
      </c>
      <c r="E33" s="574">
        <v>0</v>
      </c>
      <c r="F33" s="574">
        <f>'P7'!I8</f>
        <v>1306378078</v>
      </c>
      <c r="G33" s="574">
        <v>0</v>
      </c>
      <c r="H33" s="574">
        <v>0</v>
      </c>
      <c r="I33" s="574">
        <v>0</v>
      </c>
      <c r="J33" s="574">
        <f>'P7'!M8</f>
        <v>1306378078</v>
      </c>
      <c r="K33" s="574">
        <v>0</v>
      </c>
      <c r="L33" s="574">
        <v>0</v>
      </c>
      <c r="M33" s="574">
        <v>0</v>
      </c>
      <c r="N33" s="574">
        <f>'P7'!Q8</f>
        <v>1306378078</v>
      </c>
      <c r="O33" s="574">
        <v>0</v>
      </c>
      <c r="P33" s="574">
        <v>0</v>
      </c>
      <c r="Q33" s="574">
        <v>0</v>
      </c>
      <c r="R33" s="574">
        <f>'P7'!U8</f>
        <v>1306378078</v>
      </c>
      <c r="S33" s="574">
        <v>0</v>
      </c>
      <c r="T33" s="574">
        <v>0</v>
      </c>
      <c r="U33" s="574">
        <v>0</v>
      </c>
      <c r="V33" s="574">
        <f>'P7'!Y8</f>
        <v>6314160710.333333</v>
      </c>
      <c r="W33" s="575">
        <f t="shared" si="6"/>
        <v>5.547480565349561E-3</v>
      </c>
    </row>
    <row r="34" spans="1:23" s="573" customFormat="1" ht="28.5" customHeight="1" x14ac:dyDescent="0.25">
      <c r="A34" s="272" t="str">
        <f>Portafolio_PA_Papa!D112</f>
        <v>7.2. Revisión y actualización de la normatividad de la cadena</v>
      </c>
      <c r="B34" s="574">
        <f>'P7'!E9</f>
        <v>392506573.33333337</v>
      </c>
      <c r="C34" s="574">
        <f>'P7'!F9</f>
        <v>242233113</v>
      </c>
      <c r="D34" s="574">
        <f>'P7'!G9</f>
        <v>242233113</v>
      </c>
      <c r="E34" s="574">
        <v>0</v>
      </c>
      <c r="F34" s="574">
        <v>0</v>
      </c>
      <c r="G34" s="574">
        <f>'P7'!J9</f>
        <v>242233113</v>
      </c>
      <c r="H34" s="574">
        <v>0</v>
      </c>
      <c r="I34" s="574">
        <v>0</v>
      </c>
      <c r="J34" s="574">
        <f>'P7'!M9</f>
        <v>242233113</v>
      </c>
      <c r="K34" s="574">
        <v>0</v>
      </c>
      <c r="L34" s="574">
        <v>0</v>
      </c>
      <c r="M34" s="574">
        <f>'P7'!P9</f>
        <v>242233113</v>
      </c>
      <c r="N34" s="574">
        <v>0</v>
      </c>
      <c r="O34" s="574">
        <v>0</v>
      </c>
      <c r="P34" s="574">
        <f>'P7'!S9</f>
        <v>242233113</v>
      </c>
      <c r="Q34" s="574">
        <v>0</v>
      </c>
      <c r="R34" s="574">
        <v>0</v>
      </c>
      <c r="S34" s="574">
        <f>'P7'!V9</f>
        <v>242233113</v>
      </c>
      <c r="T34" s="574">
        <v>0</v>
      </c>
      <c r="U34" s="574">
        <f>'P7'!X9</f>
        <v>242233113</v>
      </c>
      <c r="V34" s="574">
        <f>'P7'!Y9</f>
        <v>2330371477.3333335</v>
      </c>
      <c r="W34" s="575">
        <f t="shared" si="6"/>
        <v>2.0474123281966866E-3</v>
      </c>
    </row>
    <row r="35" spans="1:23" s="573" customFormat="1" ht="28.5" customHeight="1" x14ac:dyDescent="0.25">
      <c r="A35" s="272" t="str">
        <f>Portafolio_PA_Papa!D116</f>
        <v>7.3. Mejora de la admisibilidad sanitaria y las medidas de defensa comercial para la cadena</v>
      </c>
      <c r="B35" s="574">
        <f>'P7'!E10</f>
        <v>201860927.5</v>
      </c>
      <c r="C35" s="574">
        <f>'P7'!F10</f>
        <v>242233113</v>
      </c>
      <c r="D35" s="574">
        <f>'P7'!G10</f>
        <v>242233113</v>
      </c>
      <c r="E35" s="574">
        <f>'P7'!H10</f>
        <v>242233113</v>
      </c>
      <c r="F35" s="574">
        <f>'P7'!I10</f>
        <v>242233113</v>
      </c>
      <c r="G35" s="574">
        <v>0</v>
      </c>
      <c r="H35" s="574">
        <f>'P7'!K10</f>
        <v>242233113</v>
      </c>
      <c r="I35" s="574">
        <v>0</v>
      </c>
      <c r="J35" s="574">
        <f>'P7'!M10</f>
        <v>242233113</v>
      </c>
      <c r="K35" s="574">
        <v>0</v>
      </c>
      <c r="L35" s="574">
        <f>'P7'!O10</f>
        <v>242233113</v>
      </c>
      <c r="M35" s="574">
        <v>0</v>
      </c>
      <c r="N35" s="574">
        <f>'P7'!Q10</f>
        <v>242233113</v>
      </c>
      <c r="O35" s="574">
        <v>0</v>
      </c>
      <c r="P35" s="574">
        <f>'P7'!S10</f>
        <v>242233113</v>
      </c>
      <c r="Q35" s="574">
        <v>0</v>
      </c>
      <c r="R35" s="574">
        <f>'P7'!U10</f>
        <v>242233113</v>
      </c>
      <c r="S35" s="574">
        <v>0</v>
      </c>
      <c r="T35" s="574">
        <f>'P7'!W10</f>
        <v>242233113</v>
      </c>
      <c r="U35" s="574">
        <v>0</v>
      </c>
      <c r="V35" s="574">
        <f>'P7'!Y10</f>
        <v>2866425170.5</v>
      </c>
      <c r="W35" s="575">
        <f t="shared" si="6"/>
        <v>2.518377129577067E-3</v>
      </c>
    </row>
    <row r="36" spans="1:23" s="573" customFormat="1" ht="28.5" customHeight="1" x14ac:dyDescent="0.25">
      <c r="A36" s="566" t="str">
        <f>Portafolio_PA_Papa!C119</f>
        <v>8. Articulación de los agentes de la cadena</v>
      </c>
      <c r="B36" s="567">
        <f>SUM(B37:B40)</f>
        <v>1851842063.6666665</v>
      </c>
      <c r="C36" s="567">
        <f t="shared" ref="C36:V36" si="8">SUM(C37:C40)</f>
        <v>441625272</v>
      </c>
      <c r="D36" s="567">
        <f t="shared" si="8"/>
        <v>441625272</v>
      </c>
      <c r="E36" s="567">
        <f t="shared" si="8"/>
        <v>441625272</v>
      </c>
      <c r="F36" s="567">
        <f t="shared" si="8"/>
        <v>441625272</v>
      </c>
      <c r="G36" s="567">
        <f t="shared" si="8"/>
        <v>441625272</v>
      </c>
      <c r="H36" s="567">
        <f t="shared" si="8"/>
        <v>441625272</v>
      </c>
      <c r="I36" s="567">
        <f t="shared" si="8"/>
        <v>441625272</v>
      </c>
      <c r="J36" s="567">
        <f t="shared" si="8"/>
        <v>441625272</v>
      </c>
      <c r="K36" s="567">
        <f t="shared" si="8"/>
        <v>441625272</v>
      </c>
      <c r="L36" s="567">
        <f t="shared" si="8"/>
        <v>441625272</v>
      </c>
      <c r="M36" s="567">
        <f t="shared" si="8"/>
        <v>441625272</v>
      </c>
      <c r="N36" s="567">
        <f t="shared" si="8"/>
        <v>441625272</v>
      </c>
      <c r="O36" s="567">
        <f t="shared" si="8"/>
        <v>441625272</v>
      </c>
      <c r="P36" s="567">
        <f t="shared" si="8"/>
        <v>441625272</v>
      </c>
      <c r="Q36" s="567">
        <f t="shared" si="8"/>
        <v>441625272</v>
      </c>
      <c r="R36" s="567">
        <f t="shared" si="8"/>
        <v>441625272</v>
      </c>
      <c r="S36" s="567">
        <f t="shared" si="8"/>
        <v>441625272</v>
      </c>
      <c r="T36" s="567">
        <f t="shared" si="8"/>
        <v>441625272</v>
      </c>
      <c r="U36" s="567">
        <f t="shared" si="8"/>
        <v>441625272</v>
      </c>
      <c r="V36" s="567">
        <f t="shared" si="8"/>
        <v>10242722231.666666</v>
      </c>
      <c r="W36" s="568">
        <f>V36/V41</f>
        <v>8.9990269686127528E-3</v>
      </c>
    </row>
    <row r="37" spans="1:23" s="573" customFormat="1" ht="28.5" customHeight="1" x14ac:dyDescent="0.25">
      <c r="A37" s="272" t="str">
        <f>Portafolio_PA_Papa!D119</f>
        <v>8.1. Adopción, promoción y monitoreo de la política pública para la cadena de la papa</v>
      </c>
      <c r="B37" s="574">
        <f>'P8'!E8</f>
        <v>547370652</v>
      </c>
      <c r="C37" s="574">
        <f>'P8'!F8</f>
        <v>71708504</v>
      </c>
      <c r="D37" s="574">
        <f>'P8'!G8</f>
        <v>71708504</v>
      </c>
      <c r="E37" s="574">
        <f>'P8'!H8</f>
        <v>71708504</v>
      </c>
      <c r="F37" s="574">
        <f>'P8'!I8</f>
        <v>71708504</v>
      </c>
      <c r="G37" s="574">
        <f>'P8'!J8</f>
        <v>71708504</v>
      </c>
      <c r="H37" s="574">
        <f>'P8'!K8</f>
        <v>71708504</v>
      </c>
      <c r="I37" s="574">
        <f>'P8'!L8</f>
        <v>71708504</v>
      </c>
      <c r="J37" s="574">
        <f>'P8'!M8</f>
        <v>71708504</v>
      </c>
      <c r="K37" s="574">
        <f>'P8'!N8</f>
        <v>71708504</v>
      </c>
      <c r="L37" s="574">
        <f>'P8'!O8</f>
        <v>71708504</v>
      </c>
      <c r="M37" s="574">
        <f>'P8'!P8</f>
        <v>71708504</v>
      </c>
      <c r="N37" s="574">
        <f>'P8'!Q8</f>
        <v>71708504</v>
      </c>
      <c r="O37" s="574">
        <f>'P8'!R8</f>
        <v>71708504</v>
      </c>
      <c r="P37" s="574">
        <f>'P8'!S8</f>
        <v>71708504</v>
      </c>
      <c r="Q37" s="574">
        <f>'P8'!T8</f>
        <v>71708504</v>
      </c>
      <c r="R37" s="574">
        <f>'P8'!U8</f>
        <v>71708504</v>
      </c>
      <c r="S37" s="574">
        <f>'P8'!V8</f>
        <v>71708504</v>
      </c>
      <c r="T37" s="574">
        <f>'P8'!W8</f>
        <v>71708504</v>
      </c>
      <c r="U37" s="574">
        <f>'P8'!X8</f>
        <v>71708504</v>
      </c>
      <c r="V37" s="574">
        <f>'P8'!Y8</f>
        <v>1909832228</v>
      </c>
      <c r="W37" s="575">
        <f>V37/$V$41</f>
        <v>1.6779359370073653E-3</v>
      </c>
    </row>
    <row r="38" spans="1:23" s="573" customFormat="1" ht="28.5" customHeight="1" x14ac:dyDescent="0.25">
      <c r="A38" s="272" t="str">
        <f>Portafolio_PA_Papa!D124</f>
        <v>8.2. Fortalecimiento de la Organización de Cadena de la papa</v>
      </c>
      <c r="B38" s="574">
        <f>'P8'!E9</f>
        <v>308263973.33333331</v>
      </c>
      <c r="C38" s="574">
        <f>'P8'!F9</f>
        <v>369916768</v>
      </c>
      <c r="D38" s="574">
        <f>'P8'!G9</f>
        <v>369916768</v>
      </c>
      <c r="E38" s="574">
        <f>'P8'!H9</f>
        <v>369916768</v>
      </c>
      <c r="F38" s="574">
        <f>'P8'!I9</f>
        <v>369916768</v>
      </c>
      <c r="G38" s="574">
        <f>'P8'!J9</f>
        <v>369916768</v>
      </c>
      <c r="H38" s="574">
        <f>'P8'!K9</f>
        <v>369916768</v>
      </c>
      <c r="I38" s="574">
        <f>'P8'!L9</f>
        <v>369916768</v>
      </c>
      <c r="J38" s="574">
        <f>'P8'!M9</f>
        <v>369916768</v>
      </c>
      <c r="K38" s="574">
        <f>'P8'!N9</f>
        <v>369916768</v>
      </c>
      <c r="L38" s="574">
        <f>'P8'!O9</f>
        <v>369916768</v>
      </c>
      <c r="M38" s="574">
        <f>'P8'!P9</f>
        <v>369916768</v>
      </c>
      <c r="N38" s="574">
        <f>'P8'!Q9</f>
        <v>369916768</v>
      </c>
      <c r="O38" s="574">
        <f>'P8'!R9</f>
        <v>369916768</v>
      </c>
      <c r="P38" s="574">
        <f>'P8'!S9</f>
        <v>369916768</v>
      </c>
      <c r="Q38" s="574">
        <f>'P8'!T9</f>
        <v>369916768</v>
      </c>
      <c r="R38" s="574">
        <f>'P8'!U9</f>
        <v>369916768</v>
      </c>
      <c r="S38" s="574">
        <f>'P8'!V9</f>
        <v>369916768</v>
      </c>
      <c r="T38" s="574">
        <f>'P8'!W9</f>
        <v>369916768</v>
      </c>
      <c r="U38" s="574">
        <f>'P8'!X9</f>
        <v>369916768</v>
      </c>
      <c r="V38" s="574">
        <f>'P8'!Y9</f>
        <v>7336682565.333333</v>
      </c>
      <c r="W38" s="575">
        <f t="shared" ref="W38:W40" si="9">V38/$V$41</f>
        <v>6.445845427836285E-3</v>
      </c>
    </row>
    <row r="39" spans="1:23" s="573" customFormat="1" ht="28.5" customHeight="1" x14ac:dyDescent="0.25">
      <c r="A39" s="272" t="str">
        <f>Portafolio_PA_Papa!D127</f>
        <v>8.3. Desarrollo de un Sistema integral de información para la cadena de la papa</v>
      </c>
      <c r="B39" s="574">
        <f>'P8'!E10</f>
        <v>308263973.33333331</v>
      </c>
      <c r="C39" s="574">
        <v>0</v>
      </c>
      <c r="D39" s="574">
        <v>0</v>
      </c>
      <c r="E39" s="574">
        <v>0</v>
      </c>
      <c r="F39" s="574">
        <v>0</v>
      </c>
      <c r="G39" s="574">
        <v>0</v>
      </c>
      <c r="H39" s="574">
        <v>0</v>
      </c>
      <c r="I39" s="574">
        <v>0</v>
      </c>
      <c r="J39" s="574">
        <v>0</v>
      </c>
      <c r="K39" s="574">
        <v>0</v>
      </c>
      <c r="L39" s="574">
        <v>0</v>
      </c>
      <c r="M39" s="574">
        <v>0</v>
      </c>
      <c r="N39" s="574">
        <v>0</v>
      </c>
      <c r="O39" s="574">
        <v>0</v>
      </c>
      <c r="P39" s="574">
        <v>0</v>
      </c>
      <c r="Q39" s="574">
        <v>0</v>
      </c>
      <c r="R39" s="574">
        <v>0</v>
      </c>
      <c r="S39" s="574">
        <v>0</v>
      </c>
      <c r="T39" s="574">
        <v>0</v>
      </c>
      <c r="U39" s="574">
        <v>0</v>
      </c>
      <c r="V39" s="574">
        <f>'P8'!Y10</f>
        <v>308263973.33333331</v>
      </c>
      <c r="W39" s="575">
        <f t="shared" si="9"/>
        <v>2.7083384150572627E-4</v>
      </c>
    </row>
    <row r="40" spans="1:23" s="573" customFormat="1" ht="28.5" customHeight="1" x14ac:dyDescent="0.25">
      <c r="A40" s="274" t="str">
        <f>Portafolio_PA_Papa!D131</f>
        <v>8.4. Fortalecimiento y creación de instrumentos de financiamiento, comercialización, gestión de riesgos y empresarización para la cadena de la papa</v>
      </c>
      <c r="B40" s="574">
        <f>'P8'!E11</f>
        <v>687943465</v>
      </c>
      <c r="C40" s="574">
        <v>0</v>
      </c>
      <c r="D40" s="574">
        <v>0</v>
      </c>
      <c r="E40" s="574">
        <v>0</v>
      </c>
      <c r="F40" s="574">
        <v>0</v>
      </c>
      <c r="G40" s="574">
        <v>0</v>
      </c>
      <c r="H40" s="574">
        <v>0</v>
      </c>
      <c r="I40" s="574">
        <v>0</v>
      </c>
      <c r="J40" s="574">
        <v>0</v>
      </c>
      <c r="K40" s="574">
        <v>0</v>
      </c>
      <c r="L40" s="574">
        <v>0</v>
      </c>
      <c r="M40" s="574">
        <v>0</v>
      </c>
      <c r="N40" s="574">
        <v>0</v>
      </c>
      <c r="O40" s="574">
        <v>0</v>
      </c>
      <c r="P40" s="574">
        <v>0</v>
      </c>
      <c r="Q40" s="574">
        <v>0</v>
      </c>
      <c r="R40" s="574">
        <v>0</v>
      </c>
      <c r="S40" s="574">
        <v>0</v>
      </c>
      <c r="T40" s="574">
        <v>0</v>
      </c>
      <c r="U40" s="574">
        <v>0</v>
      </c>
      <c r="V40" s="574">
        <f>'P8'!Y11</f>
        <v>687943465</v>
      </c>
      <c r="W40" s="575">
        <f t="shared" si="9"/>
        <v>6.0441176226337537E-4</v>
      </c>
    </row>
    <row r="41" spans="1:23" s="577" customFormat="1" ht="15.75" x14ac:dyDescent="0.25">
      <c r="A41" s="554" t="s">
        <v>477</v>
      </c>
      <c r="B41" s="569">
        <f>B6+B10+B17+B21+B24+B29+B32+B36</f>
        <v>13457265999.285667</v>
      </c>
      <c r="C41" s="569">
        <f t="shared" ref="C41:W41" si="10">C6+C10+C17+C21+C24+C29+C32+C36</f>
        <v>52091835513.151245</v>
      </c>
      <c r="D41" s="569">
        <f t="shared" si="10"/>
        <v>63621605615.443893</v>
      </c>
      <c r="E41" s="569">
        <f t="shared" si="10"/>
        <v>66360622502.443893</v>
      </c>
      <c r="F41" s="569">
        <f t="shared" si="10"/>
        <v>76325875580.443893</v>
      </c>
      <c r="G41" s="569">
        <f t="shared" si="10"/>
        <v>75209105002.443893</v>
      </c>
      <c r="H41" s="569">
        <f t="shared" si="10"/>
        <v>71331622590.175888</v>
      </c>
      <c r="I41" s="569">
        <f t="shared" si="10"/>
        <v>71302432464.175888</v>
      </c>
      <c r="J41" s="569">
        <f t="shared" si="10"/>
        <v>73319102334.395889</v>
      </c>
      <c r="K41" s="569">
        <f t="shared" si="10"/>
        <v>71767633130.589081</v>
      </c>
      <c r="L41" s="569">
        <f t="shared" si="10"/>
        <v>69502598692.153885</v>
      </c>
      <c r="M41" s="569">
        <f t="shared" si="10"/>
        <v>60807092394.049965</v>
      </c>
      <c r="N41" s="569">
        <f t="shared" si="10"/>
        <v>52322270096.53167</v>
      </c>
      <c r="O41" s="569">
        <f t="shared" si="10"/>
        <v>45736899759.004898</v>
      </c>
      <c r="P41" s="569">
        <f t="shared" si="10"/>
        <v>46221365985.004898</v>
      </c>
      <c r="Q41" s="569">
        <f t="shared" si="10"/>
        <v>45736899759.004898</v>
      </c>
      <c r="R41" s="569">
        <f t="shared" si="10"/>
        <v>47285510950.004898</v>
      </c>
      <c r="S41" s="569">
        <f t="shared" si="10"/>
        <v>45979132872.004898</v>
      </c>
      <c r="T41" s="569">
        <f t="shared" si="10"/>
        <v>45979132872.004898</v>
      </c>
      <c r="U41" s="569">
        <f t="shared" si="10"/>
        <v>43845300244.004898</v>
      </c>
      <c r="V41" s="569">
        <f t="shared" si="10"/>
        <v>1138203304356.3193</v>
      </c>
      <c r="W41" s="570">
        <f t="shared" si="10"/>
        <v>0.99999999999999978</v>
      </c>
    </row>
    <row r="42" spans="1:23" s="579" customFormat="1" x14ac:dyDescent="0.25">
      <c r="A42" s="578"/>
      <c r="W42" s="580"/>
    </row>
  </sheetData>
  <sheetProtection algorithmName="SHA-512" hashValue="t9idGaXERC2UxsRtu3ZSlHW6f6iq2aAJU2BGZpiVsCHoQ/VRuFfL7DarVSuq0wVILSGbSyQDMkex3wmy0DmsUg==" saltValue="BRVxWMqEIXiPHQN6INuhrQ==" spinCount="100000" sheet="1" objects="1" scenarios="1"/>
  <mergeCells count="2">
    <mergeCell ref="A1:W1"/>
    <mergeCell ref="A2:W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80" zoomScaleNormal="80" workbookViewId="0">
      <selection sqref="A1:F1"/>
    </sheetView>
  </sheetViews>
  <sheetFormatPr baseColWidth="10" defaultColWidth="10.85546875" defaultRowHeight="14.25" x14ac:dyDescent="0.2"/>
  <cols>
    <col min="1" max="1" width="100.42578125" style="560" customWidth="1"/>
    <col min="2" max="2" width="27.7109375" style="561" customWidth="1"/>
    <col min="3" max="5" width="23.42578125" style="561" customWidth="1"/>
    <col min="6" max="6" width="17.85546875" style="280" hidden="1" customWidth="1"/>
    <col min="7" max="16384" width="10.85546875" style="114"/>
  </cols>
  <sheetData>
    <row r="1" spans="1:7" ht="15" x14ac:dyDescent="0.25">
      <c r="A1" s="676" t="s">
        <v>1146</v>
      </c>
      <c r="B1" s="677"/>
      <c r="C1" s="677"/>
      <c r="D1" s="677"/>
      <c r="E1" s="677"/>
      <c r="F1" s="677"/>
    </row>
    <row r="2" spans="1:7" ht="15" x14ac:dyDescent="0.25">
      <c r="A2" s="676" t="s">
        <v>1148</v>
      </c>
      <c r="B2" s="677"/>
      <c r="C2" s="677"/>
      <c r="D2" s="677"/>
      <c r="E2" s="677"/>
      <c r="F2" s="677"/>
    </row>
    <row r="3" spans="1:7" ht="18" x14ac:dyDescent="0.2">
      <c r="A3" s="555"/>
      <c r="B3" s="556"/>
      <c r="C3" s="556"/>
      <c r="D3" s="556"/>
      <c r="E3" s="556"/>
      <c r="F3" s="552"/>
    </row>
    <row r="4" spans="1:7" ht="18" x14ac:dyDescent="0.2">
      <c r="A4" s="555"/>
      <c r="B4" s="556"/>
      <c r="C4" s="556"/>
      <c r="D4" s="556"/>
      <c r="E4" s="556"/>
      <c r="F4" s="552"/>
    </row>
    <row r="5" spans="1:7" ht="18" hidden="1" x14ac:dyDescent="0.2">
      <c r="A5" s="555"/>
      <c r="B5" s="557">
        <v>1000000</v>
      </c>
      <c r="C5" s="556"/>
      <c r="D5" s="556"/>
      <c r="E5" s="556"/>
      <c r="F5" s="552"/>
    </row>
    <row r="6" spans="1:7" ht="18" hidden="1" x14ac:dyDescent="0.25">
      <c r="A6" s="555"/>
      <c r="B6" s="558"/>
      <c r="C6" s="559">
        <v>1000000</v>
      </c>
      <c r="D6" s="558"/>
      <c r="E6" s="558"/>
      <c r="F6" s="553"/>
    </row>
    <row r="7" spans="1:7" hidden="1" x14ac:dyDescent="0.2">
      <c r="B7" s="561">
        <v>1000000</v>
      </c>
    </row>
    <row r="8" spans="1:7" ht="40.5" customHeight="1" x14ac:dyDescent="0.2">
      <c r="A8" s="593" t="s">
        <v>476</v>
      </c>
      <c r="B8" s="594" t="s">
        <v>524</v>
      </c>
      <c r="C8" s="593" t="s">
        <v>1152</v>
      </c>
      <c r="D8" s="593" t="s">
        <v>1153</v>
      </c>
      <c r="E8" s="593" t="s">
        <v>1154</v>
      </c>
      <c r="F8" s="587" t="s">
        <v>526</v>
      </c>
    </row>
    <row r="9" spans="1:7" s="271" customFormat="1" ht="38.25" customHeight="1" x14ac:dyDescent="0.2">
      <c r="A9" s="595" t="str">
        <f>Portafolio_PA_Papa!C2</f>
        <v>1. Incremento del consumo y mejora de la comercialización de la papa</v>
      </c>
      <c r="B9" s="596">
        <f>'Estimación anualizada '!V6/$B$5</f>
        <v>203849.87592992189</v>
      </c>
      <c r="C9" s="596">
        <f>('Estimación anualizada '!B6+'Estimación anualizada '!C6+'Estimación anualizada '!D6+'Estimación anualizada '!E6)/$C$6</f>
        <v>23721.426921698003</v>
      </c>
      <c r="D9" s="596">
        <f>('Estimación anualizada '!F6+'Estimación anualizada '!G6+'Estimación anualizada '!H6+'Estimación anualizada '!I6+'Estimación anualizada '!J6+'Estimación anualizada '!K6+'Estimación anualizada '!L6+'Estimación anualizada '!M6)/$C$6</f>
        <v>124728.87325488796</v>
      </c>
      <c r="E9" s="596">
        <f>('Estimación anualizada '!N6+'Estimación anualizada '!O6+'Estimación anualizada '!P6+'Estimación anualizada '!Q6+'Estimación anualizada '!R6+'Estimación anualizada '!S6+'Estimación anualizada '!T6+'Estimación anualizada '!U6)/$C$6</f>
        <v>55399.575753336001</v>
      </c>
      <c r="F9" s="588">
        <f>SUM(C9+D9+E9)</f>
        <v>203849.87592992198</v>
      </c>
      <c r="G9" s="114"/>
    </row>
    <row r="10" spans="1:7" s="271" customFormat="1" ht="26.25" customHeight="1" x14ac:dyDescent="0.2">
      <c r="A10" s="597" t="str">
        <f>Portafolio_PA_Papa!D2</f>
        <v>1.1. Incremento del consumo interno de papa y sus derivados</v>
      </c>
      <c r="B10" s="598">
        <f>'Estimación anualizada '!V7/$B$5</f>
        <v>60601.163879637315</v>
      </c>
      <c r="C10" s="598">
        <f>('Estimación anualizada '!B7+'Estimación anualizada '!C7+'Estimación anualizada '!D7+'Estimación anualizada '!E7)/$C$6</f>
        <v>10545.442048213334</v>
      </c>
      <c r="D10" s="598">
        <f>('Estimación anualizada '!F7+'Estimación anualizada '!G7+'Estimación anualizada '!H7+'Estimación anualizada '!I7+'Estimación anualizada '!J7+'Estimación anualizada '!K7+'Estimación anualizada '!L7+'Estimación anualizada '!M7)/$C$6</f>
        <v>25293.860915712001</v>
      </c>
      <c r="E10" s="598">
        <f>('Estimación anualizada '!N7+'Estimación anualizada '!O7+'Estimación anualizada '!P7+'Estimación anualizada '!Q7+'Estimación anualizada '!R7+'Estimación anualizada '!S7+'Estimación anualizada '!T7+'Estimación anualizada '!U7)/$C$6</f>
        <v>24761.860915712001</v>
      </c>
      <c r="F10" s="589">
        <f t="shared" ref="F10:F44" si="0">SUM(C10+D10+E10)</f>
        <v>60601.163879637337</v>
      </c>
      <c r="G10" s="114"/>
    </row>
    <row r="11" spans="1:7" s="271" customFormat="1" ht="26.25" customHeight="1" x14ac:dyDescent="0.2">
      <c r="A11" s="597" t="str">
        <f>Portafolio_PA_Papa!D7</f>
        <v>1.2. Incursión y posicionamiento de la papa colombiana y sus derivados, en el mercado internacional</v>
      </c>
      <c r="B11" s="598">
        <f>'Estimación anualizada '!V8/$B$5</f>
        <v>26501.767604909997</v>
      </c>
      <c r="C11" s="598">
        <f>('Estimación anualizada '!B8+'Estimación anualizada '!C8+'Estimación anualizada '!D8+'Estimación anualizada '!E8)/$C$6</f>
        <v>4743.7530725580009</v>
      </c>
      <c r="D11" s="598">
        <f>('Estimación anualizada '!F8+'Estimación anualizada '!G8+'Estimación anualizada '!H8+'Estimación anualizada '!I8+'Estimación anualizada '!J8+'Estimación anualizada '!K8+'Estimación anualizada '!L8+'Estimación anualizada '!M8)/$C$6</f>
        <v>11357.656016952</v>
      </c>
      <c r="E11" s="598">
        <f>('Estimación anualizada '!N8+'Estimación anualizada '!O8+'Estimación anualizada '!P8+'Estimación anualizada '!Q8+'Estimación anualizada '!R8+'Estimación anualizada '!S8+'Estimación anualizada '!T8+'Estimación anualizada '!U8)/$C$6</f>
        <v>10400.358515400001</v>
      </c>
      <c r="F11" s="589">
        <f t="shared" si="0"/>
        <v>26501.767604910005</v>
      </c>
      <c r="G11" s="114"/>
    </row>
    <row r="12" spans="1:7" s="271" customFormat="1" ht="26.25" customHeight="1" x14ac:dyDescent="0.2">
      <c r="A12" s="597" t="str">
        <f>Portafolio_PA_Papa!D13</f>
        <v>1.3. Mejora de la comercialización de la papa y sus derivados</v>
      </c>
      <c r="B12" s="598">
        <f>'Estimación anualizada '!V9/$B$5</f>
        <v>116746.94444537467</v>
      </c>
      <c r="C12" s="598">
        <f>('Estimación anualizada '!B9+'Estimación anualizada '!C9+'Estimación anualizada '!D9+'Estimación anualizada '!E9)/$C$6</f>
        <v>8432.2318009266655</v>
      </c>
      <c r="D12" s="598">
        <f>('Estimación anualizada '!F9+'Estimación anualizada '!G9+'Estimación anualizada '!H9+'Estimación anualizada '!I9+'Estimación anualizada '!J9+'Estimación anualizada '!K9+'Estimación anualizada '!L9+'Estimación anualizada '!M9)/$C$6</f>
        <v>88077.35632222399</v>
      </c>
      <c r="E12" s="598">
        <f>('Estimación anualizada '!N9+'Estimación anualizada '!O9+'Estimación anualizada '!P9+'Estimación anualizada '!Q9+'Estimación anualizada '!R9+'Estimación anualizada '!S9+'Estimación anualizada '!T9+'Estimación anualizada '!U9)/$C$6</f>
        <v>20237.356322223997</v>
      </c>
      <c r="F12" s="589">
        <f t="shared" si="0"/>
        <v>116746.94444537465</v>
      </c>
      <c r="G12" s="114"/>
    </row>
    <row r="13" spans="1:7" s="271" customFormat="1" ht="26.25" customHeight="1" x14ac:dyDescent="0.2">
      <c r="A13" s="595" t="str">
        <f>Portafolio_PA_Papa!C19</f>
        <v>2. Mejora de la productividad en la producción y procesamiento de papa</v>
      </c>
      <c r="B13" s="596">
        <f>'Estimación anualizada '!V10/$B$5</f>
        <v>480850.8006682538</v>
      </c>
      <c r="C13" s="596">
        <f>('Estimación anualizada '!B10+'Estimación anualizada '!C10+'Estimación anualizada '!D10+'Estimación anualizada '!E10)/$C$6</f>
        <v>88264.213362033377</v>
      </c>
      <c r="D13" s="596">
        <f>('Estimación anualizada '!F10+'Estimación anualizada '!G10+'Estimación anualizada '!H10+'Estimación anualizada '!I10+'Estimación anualizada '!J10+'Estimación anualizada '!K10+'Estimación anualizada '!L10+'Estimación anualizada '!M10)/$C$6</f>
        <v>238633.7277985104</v>
      </c>
      <c r="E13" s="596">
        <f>('Estimación anualizada '!N10+'Estimación anualizada '!O10+'Estimación anualizada '!P10+'Estimación anualizada '!Q10+'Estimación anualizada '!R10+'Estimación anualizada '!S10+'Estimación anualizada '!T10+'Estimación anualizada '!U10)/$C$6</f>
        <v>153952.85950770989</v>
      </c>
      <c r="F13" s="588">
        <f t="shared" si="0"/>
        <v>480850.80066825368</v>
      </c>
      <c r="G13" s="114"/>
    </row>
    <row r="14" spans="1:7" s="271" customFormat="1" ht="26.25" customHeight="1" x14ac:dyDescent="0.2">
      <c r="A14" s="597" t="str">
        <f>Portafolio_PA_Papa!D19</f>
        <v>2.1. Mejora de la producción de semilla certificada de papa</v>
      </c>
      <c r="B14" s="598">
        <f>'Estimación anualizada '!V11/$B$5</f>
        <v>89318.745704000001</v>
      </c>
      <c r="C14" s="598">
        <f>('Estimación anualizada '!B11+'Estimación anualizada '!C11+'Estimación anualizada '!D11+'Estimación anualizada '!E11)/$C$6</f>
        <v>16678.694599999999</v>
      </c>
      <c r="D14" s="598">
        <f>('Estimación anualizada '!F11+'Estimación anualizada '!G11+'Estimación anualizada '!H11+'Estimación anualizada '!I11+'Estimación anualizada '!J11+'Estimación anualizada '!K11+'Estimación anualizada '!L11+'Estimación anualizada '!M11)/$C$6</f>
        <v>36918.225791999997</v>
      </c>
      <c r="E14" s="598">
        <f>('Estimación anualizada '!N11+'Estimación anualizada '!O11+'Estimación anualizada '!P11+'Estimación anualizada '!Q11+'Estimación anualizada '!R11+'Estimación anualizada '!S11+'Estimación anualizada '!T11+'Estimación anualizada '!U11)/$C$6</f>
        <v>35721.825312000001</v>
      </c>
      <c r="F14" s="589">
        <f t="shared" si="0"/>
        <v>89318.745704000001</v>
      </c>
      <c r="G14" s="114"/>
    </row>
    <row r="15" spans="1:7" s="271" customFormat="1" ht="26.25" customHeight="1" x14ac:dyDescent="0.2">
      <c r="A15" s="597" t="str">
        <f>Portafolio_PA_Papa!D24</f>
        <v>2.2. Fortalecimiento de la asistencia técnica y extensión agrícola a productores de papa</v>
      </c>
      <c r="B15" s="598">
        <f>'Estimación anualizada '!V12/$B$5</f>
        <v>221715.37644389208</v>
      </c>
      <c r="C15" s="598">
        <f>('Estimación anualizada '!B12+'Estimación anualizada '!C12+'Estimación anualizada '!D12+'Estimación anualizada '!E12)/$C$6</f>
        <v>35111.5808368367</v>
      </c>
      <c r="D15" s="598">
        <f>('Estimación anualizada '!F12+'Estimación anualizada '!G12+'Estimación anualizada '!H12+'Estimación anualizada '!I12+'Estimación anualizada '!J12+'Estimación anualizada '!K12+'Estimación anualizada '!L12+'Estimación anualizada '!M12)/$C$6</f>
        <v>115137.94030726541</v>
      </c>
      <c r="E15" s="598">
        <f>('Estimación anualizada '!N12+'Estimación anualizada '!O12+'Estimación anualizada '!P12+'Estimación anualizada '!Q12+'Estimación anualizada '!R12+'Estimación anualizada '!S12+'Estimación anualizada '!T12+'Estimación anualizada '!U12)/$C$6</f>
        <v>71465.855299789953</v>
      </c>
      <c r="F15" s="589">
        <f t="shared" si="0"/>
        <v>221715.37644389205</v>
      </c>
      <c r="G15" s="114"/>
    </row>
    <row r="16" spans="1:7" s="271" customFormat="1" ht="32.25" customHeight="1" x14ac:dyDescent="0.2">
      <c r="A16" s="597" t="str">
        <f>Portafolio_PA_Papa!D33</f>
        <v>2.3.  Fortalecimiento de las capacidades técnicas y empresariales de MiPymes procesadoras  de papa</v>
      </c>
      <c r="B16" s="598">
        <f>'Estimación anualizada '!V13/$B$5</f>
        <v>46567.542514728317</v>
      </c>
      <c r="C16" s="598">
        <f>('Estimación anualizada '!B13+'Estimación anualizada '!C13+'Estimación anualizada '!D13+'Estimación anualizada '!E13)/$C$6</f>
        <v>7140.3062040883333</v>
      </c>
      <c r="D16" s="598">
        <f>('Estimación anualizada '!F13+'Estimación anualizada '!G13+'Estimación anualizada '!H13+'Estimación anualizada '!I13+'Estimación anualizada '!J13+'Estimación anualizada '!K13+'Estimación anualizada '!L13+'Estimación anualizada '!M13)/$C$6</f>
        <v>20799.788034720001</v>
      </c>
      <c r="E16" s="598">
        <f>('Estimación anualizada '!N13+'Estimación anualizada '!O13+'Estimación anualizada '!P13+'Estimación anualizada '!Q13+'Estimación anualizada '!R13+'Estimación anualizada '!S13+'Estimación anualizada '!T13+'Estimación anualizada '!U13)/$C$6</f>
        <v>18627.448275919996</v>
      </c>
      <c r="F16" s="589">
        <f t="shared" si="0"/>
        <v>46567.542514728331</v>
      </c>
      <c r="G16" s="114"/>
    </row>
    <row r="17" spans="1:7" s="271" customFormat="1" ht="26.25" customHeight="1" x14ac:dyDescent="0.2">
      <c r="A17" s="597" t="str">
        <f>Portafolio_PA_Papa!D39</f>
        <v>2.4. Promoción de la integración y las alianzas estratégicas en la cadena de la papa</v>
      </c>
      <c r="B17" s="598">
        <f>'Estimación anualizada '!V14/$B$5</f>
        <v>40483.625093166665</v>
      </c>
      <c r="C17" s="598">
        <f>('Estimación anualizada '!B14+'Estimación anualizada '!C14+'Estimación anualizada '!D14+'Estimación anualizada '!E14)/$C$6</f>
        <v>8574.2566331016678</v>
      </c>
      <c r="D17" s="598">
        <f>('Estimación anualizada '!F14+'Estimación anualizada '!G14+'Estimación anualizada '!H14+'Estimación anualizada '!I14+'Estimación anualizada '!J14+'Estimación anualizada '!K14+'Estimación anualizada '!L14+'Estimación anualizada '!M14)/$C$6</f>
        <v>16972.540064064993</v>
      </c>
      <c r="E17" s="598">
        <f>('Estimación anualizada '!N14+'Estimación anualizada '!O14+'Estimación anualizada '!P14+'Estimación anualizada '!Q14+'Estimación anualizada '!R14+'Estimación anualizada '!S14+'Estimación anualizada '!T14+'Estimación anualizada '!U14)/$C$6</f>
        <v>14936.828395999999</v>
      </c>
      <c r="F17" s="589">
        <f t="shared" si="0"/>
        <v>40483.625093166658</v>
      </c>
      <c r="G17" s="114"/>
    </row>
    <row r="18" spans="1:7" s="271" customFormat="1" ht="34.5" customHeight="1" x14ac:dyDescent="0.2">
      <c r="A18" s="597" t="str">
        <f>Portafolio_PA_Papa!D42</f>
        <v>2.5. Mejora de la capacidad instalada en el almacenamiento y procesamiento agroindustrial de la papa</v>
      </c>
      <c r="B18" s="598">
        <f>'Estimación anualizada '!V15/$B$5</f>
        <v>45725.115638133342</v>
      </c>
      <c r="C18" s="598">
        <f>('Estimación anualizada '!B15+'Estimación anualizada '!C15+'Estimación anualizada '!D15+'Estimación anualizada '!E15)/$C$6</f>
        <v>12428.073270773333</v>
      </c>
      <c r="D18" s="598">
        <f>('Estimación anualizada '!F15+'Estimación anualizada '!G15+'Estimación anualizada '!H15+'Estimación anualizada '!I15+'Estimación anualizada '!J15+'Estimación anualizada '!K15+'Estimación anualizada '!L15+'Estimación anualizada '!M15)/$C$6</f>
        <v>29115.005327360002</v>
      </c>
      <c r="E18" s="598">
        <f>('Estimación anualizada '!N15+'Estimación anualizada '!O15+'Estimación anualizada '!P15+'Estimación anualizada '!Q15+'Estimación anualizada '!R15+'Estimación anualizada '!S15+'Estimación anualizada '!T15+'Estimación anualizada '!U15)/$C$6</f>
        <v>4182.0370400000002</v>
      </c>
      <c r="F18" s="589">
        <f t="shared" si="0"/>
        <v>45725.115638133335</v>
      </c>
      <c r="G18" s="114"/>
    </row>
    <row r="19" spans="1:7" s="271" customFormat="1" ht="26.25" customHeight="1" x14ac:dyDescent="0.2">
      <c r="A19" s="597" t="str">
        <f>Portafolio_PA_Papa!D48</f>
        <v>2.6. Optimización de la oferta de insumos y servicios asociados a la cadena.</v>
      </c>
      <c r="B19" s="598">
        <f>'Estimación anualizada '!V16/$B$5</f>
        <v>37040.395274333336</v>
      </c>
      <c r="C19" s="598">
        <f>('Estimación anualizada '!B16+'Estimación anualizada '!C16+'Estimación anualizada '!D16+'Estimación anualizada '!E16)/$C$6</f>
        <v>8331.3018172333341</v>
      </c>
      <c r="D19" s="598">
        <f>('Estimación anualizada '!F16+'Estimación anualizada '!G16+'Estimación anualizada '!H16+'Estimación anualizada '!I16+'Estimación anualizada '!J16+'Estimación anualizada '!K16+'Estimación anualizada '!L16+'Estimación anualizada '!M16)/$C$6</f>
        <v>19690.228273099998</v>
      </c>
      <c r="E19" s="598">
        <f>('Estimación anualizada '!N16+'Estimación anualizada '!O16+'Estimación anualizada '!P16+'Estimación anualizada '!Q16+'Estimación anualizada '!R16+'Estimación anualizada '!S16+'Estimación anualizada '!T16+'Estimación anualizada '!U16)/$C$6</f>
        <v>9018.865184000002</v>
      </c>
      <c r="F19" s="590">
        <f t="shared" si="0"/>
        <v>37040.395274333336</v>
      </c>
      <c r="G19" s="114"/>
    </row>
    <row r="20" spans="1:7" s="271" customFormat="1" ht="26.25" customHeight="1" x14ac:dyDescent="0.2">
      <c r="A20" s="595" t="str">
        <f>Portafolio_PA_Papa!C53</f>
        <v>3. Mejora del desempeño ambiental de la cadena de la papa</v>
      </c>
      <c r="B20" s="596">
        <f>'Estimación anualizada '!V17/$B$5</f>
        <v>126323.87837070333</v>
      </c>
      <c r="C20" s="596">
        <f>('Estimación anualizada '!B17+'Estimación anualizada '!C17+'Estimación anualizada '!D17+'Estimación anualizada '!E17)/$C$6</f>
        <v>23866.329701113329</v>
      </c>
      <c r="D20" s="596">
        <f>('Estimación anualizada '!F17+'Estimación anualizada '!G17+'Estimación anualizada '!H17+'Estimación anualizada '!I17+'Estimación anualizada '!J17+'Estimación anualizada '!K17+'Estimación anualizada '!L17+'Estimación anualizada '!M17)/$C$6</f>
        <v>70961.139997589999</v>
      </c>
      <c r="E20" s="596">
        <f>('Estimación anualizada '!N17+'Estimación anualizada '!O17+'Estimación anualizada '!P17+'Estimación anualizada '!Q17+'Estimación anualizada '!R17+'Estimación anualizada '!S17+'Estimación anualizada '!T17+'Estimación anualizada '!U17)/$C$6</f>
        <v>31496.408672000001</v>
      </c>
      <c r="F20" s="588">
        <f t="shared" si="0"/>
        <v>126323.87837070333</v>
      </c>
      <c r="G20" s="114"/>
    </row>
    <row r="21" spans="1:7" s="271" customFormat="1" ht="26.25" customHeight="1" x14ac:dyDescent="0.2">
      <c r="A21" s="597" t="str">
        <f>Portafolio_PA_Papa!D53</f>
        <v>3.1. Contribución a la gestión del ordenamiento ambiental, fuera de la frontera agrícola</v>
      </c>
      <c r="B21" s="598">
        <f>'Estimación anualizada '!V18/$B$5</f>
        <v>14903.521650000001</v>
      </c>
      <c r="C21" s="598">
        <f>('Estimación anualizada '!B18+'Estimación anualizada '!C18+'Estimación anualizada '!D18+'Estimación anualizada '!E18)/$C$6</f>
        <v>4305.4618099999998</v>
      </c>
      <c r="D21" s="598">
        <f>('Estimación anualizada '!F18+'Estimación anualizada '!G18+'Estimación anualizada '!H18+'Estimación anualizada '!I18+'Estimación anualizada '!J18+'Estimación anualizada '!K18+'Estimación anualizada '!L18+'Estimación anualizada '!M18)/$C$6</f>
        <v>10598.05984</v>
      </c>
      <c r="E21" s="598">
        <f>('Estimación anualizada '!N18+'Estimación anualizada '!O18+'Estimación anualizada '!P18+'Estimación anualizada '!Q18+'Estimación anualizada '!R18+'Estimación anualizada '!S18+'Estimación anualizada '!T18+'Estimación anualizada '!U18)/$C$6</f>
        <v>0</v>
      </c>
      <c r="F21" s="589">
        <f t="shared" si="0"/>
        <v>14903.521649999999</v>
      </c>
      <c r="G21" s="114"/>
    </row>
    <row r="22" spans="1:7" s="271" customFormat="1" ht="26.25" customHeight="1" x14ac:dyDescent="0.2">
      <c r="A22" s="597" t="str">
        <f>Portafolio_PA_Papa!D56</f>
        <v>3.2. Promoción del manejo eficiente y sostenible del suelo y agua, en el cultivo de papa</v>
      </c>
      <c r="B22" s="598">
        <f>'Estimación anualizada '!V19/$B$5</f>
        <v>69949.095618916661</v>
      </c>
      <c r="C22" s="598">
        <f>('Estimación anualizada '!B19+'Estimación anualizada '!C19+'Estimación anualizada '!D19+'Estimación anualizada '!E19)/$C$6</f>
        <v>12880.635163166666</v>
      </c>
      <c r="D22" s="598">
        <f>('Estimación anualizada '!F19+'Estimación anualizada '!G19+'Estimación anualizada '!H19+'Estimación anualizada '!I19+'Estimación anualizada '!J19+'Estimación anualizada '!K19+'Estimación anualizada '!L19+'Estimación anualizada '!M19)/$C$6</f>
        <v>41305.737319749998</v>
      </c>
      <c r="E22" s="598">
        <f>('Estimación anualizada '!N19+'Estimación anualizada '!O19+'Estimación anualizada '!P19+'Estimación anualizada '!Q19+'Estimación anualizada '!R19+'Estimación anualizada '!S19+'Estimación anualizada '!T19+'Estimación anualizada '!U19)/$C$6</f>
        <v>15762.723136000001</v>
      </c>
      <c r="F22" s="589">
        <f t="shared" si="0"/>
        <v>69949.095618916661</v>
      </c>
      <c r="G22" s="114"/>
    </row>
    <row r="23" spans="1:7" s="271" customFormat="1" ht="36" customHeight="1" x14ac:dyDescent="0.2">
      <c r="A23" s="597" t="str">
        <f>Portafolio_PA_Papa!D62</f>
        <v>3.3. Aumento en la incorporación de prácticas sostenibles en la comercialización, adecuación y procesamiento de papa y sus derivados</v>
      </c>
      <c r="B23" s="598">
        <f>'Estimación anualizada '!V20/$B$5</f>
        <v>41471.261101786666</v>
      </c>
      <c r="C23" s="598">
        <f>('Estimación anualizada '!B20+'Estimación anualizada '!C20+'Estimación anualizada '!D20+'Estimación anualizada '!E20)/$C$6</f>
        <v>6680.2327279466663</v>
      </c>
      <c r="D23" s="598">
        <f>('Estimación anualizada '!F20+'Estimación anualizada '!G20+'Estimación anualizada '!H20+'Estimación anualizada '!I20+'Estimación anualizada '!J20+'Estimación anualizada '!K20+'Estimación anualizada '!L20+'Estimación anualizada '!M20)/$C$6</f>
        <v>19057.342837839999</v>
      </c>
      <c r="E23" s="598">
        <f>('Estimación anualizada '!N20+'Estimación anualizada '!O20+'Estimación anualizada '!P20+'Estimación anualizada '!Q20+'Estimación anualizada '!R20+'Estimación anualizada '!S20+'Estimación anualizada '!T20+'Estimación anualizada '!U20)/$C$6</f>
        <v>15733.685536000001</v>
      </c>
      <c r="F23" s="589">
        <f t="shared" si="0"/>
        <v>41471.261101786666</v>
      </c>
      <c r="G23" s="114"/>
    </row>
    <row r="24" spans="1:7" s="271" customFormat="1" ht="26.25" customHeight="1" x14ac:dyDescent="0.2">
      <c r="A24" s="595" t="str">
        <f>Portafolio_PA_Papa!C65</f>
        <v xml:space="preserve">4. Contribución al ordenamiento productivo y social de la propiedad rural de la cadena </v>
      </c>
      <c r="B24" s="596">
        <f>'Estimación anualizada '!V21/$B$5</f>
        <v>73946.65927733334</v>
      </c>
      <c r="C24" s="596">
        <f>('Estimación anualizada '!B21+'Estimación anualizada '!C21+'Estimación anualizada '!D21+'Estimación anualizada '!E21)/$C$6</f>
        <v>12749.424013333333</v>
      </c>
      <c r="D24" s="596">
        <f>('Estimación anualizada '!F21+'Estimación anualizada '!G21+'Estimación anualizada '!H21+'Estimación anualizada '!I21+'Estimación anualizada '!J21+'Estimación anualizada '!K21+'Estimación anualizada '!L21+'Estimación anualizada '!M21)/$C$6</f>
        <v>30598.617632000001</v>
      </c>
      <c r="E24" s="596">
        <f>('Estimación anualizada '!N21+'Estimación anualizada '!O21+'Estimación anualizada '!P21+'Estimación anualizada '!Q21+'Estimación anualizada '!R21+'Estimación anualizada '!S21+'Estimación anualizada '!T21+'Estimación anualizada '!U21)/$C$6</f>
        <v>30598.617632000001</v>
      </c>
      <c r="F24" s="588">
        <f t="shared" si="0"/>
        <v>73946.659277333325</v>
      </c>
      <c r="G24" s="114"/>
    </row>
    <row r="25" spans="1:7" s="271" customFormat="1" ht="35.25" customHeight="1" x14ac:dyDescent="0.2">
      <c r="A25" s="597" t="str">
        <f>Portafolio_PA_Papa!D65</f>
        <v>4.1. Fortalecimiento de la articulación con las políticas de ordenamiento productivo y social de la propiedad rural</v>
      </c>
      <c r="B25" s="598">
        <f>'Estimación anualizada '!V22/$B$5</f>
        <v>33771.921232000001</v>
      </c>
      <c r="C25" s="598">
        <f>('Estimación anualizada '!B22+'Estimación anualizada '!C22+'Estimación anualizada '!D22+'Estimación anualizada '!E22)/$C$6</f>
        <v>5822.7450399999998</v>
      </c>
      <c r="D25" s="598">
        <f>('Estimación anualizada '!F22+'Estimación anualizada '!G22+'Estimación anualizada '!H22+'Estimación anualizada '!I22+'Estimación anualizada '!J22+'Estimación anualizada '!K22+'Estimación anualizada '!L22+'Estimación anualizada '!M22)/$C$6</f>
        <v>13974.588095999999</v>
      </c>
      <c r="E25" s="598">
        <f>('Estimación anualizada '!N22+'Estimación anualizada '!O22+'Estimación anualizada '!P22+'Estimación anualizada '!Q22+'Estimación anualizada '!R22+'Estimación anualizada '!S22+'Estimación anualizada '!T22+'Estimación anualizada '!U22)/$C$6</f>
        <v>13974.588095999999</v>
      </c>
      <c r="F25" s="589">
        <f t="shared" si="0"/>
        <v>33771.921232000001</v>
      </c>
      <c r="G25" s="114"/>
    </row>
    <row r="26" spans="1:7" s="271" customFormat="1" ht="26.25" customHeight="1" x14ac:dyDescent="0.2">
      <c r="A26" s="597" t="str">
        <f>Portafolio_PA_Papa!D69</f>
        <v>4.2. Promoción del acceso y la seguridad jurídica en la tenencia de la tierra</v>
      </c>
      <c r="B26" s="598">
        <f>'Estimación anualizada '!V23/$B$5</f>
        <v>40174.738045333339</v>
      </c>
      <c r="C26" s="598">
        <f>('Estimación anualizada '!B23+'Estimación anualizada '!C23+'Estimación anualizada '!D23+'Estimación anualizada '!E23)/$C$6</f>
        <v>6926.6789733333344</v>
      </c>
      <c r="D26" s="598">
        <f>('Estimación anualizada '!F23+'Estimación anualizada '!G23+'Estimación anualizada '!H23+'Estimación anualizada '!I23+'Estimación anualizada '!J23+'Estimación anualizada '!K23+'Estimación anualizada '!L23+'Estimación anualizada '!M23)/$C$6</f>
        <v>16624.029535999998</v>
      </c>
      <c r="E26" s="598">
        <f>('Estimación anualizada '!N23+'Estimación anualizada '!O23+'Estimación anualizada '!P23+'Estimación anualizada '!Q23+'Estimación anualizada '!R23+'Estimación anualizada '!S23+'Estimación anualizada '!T23+'Estimación anualizada '!U23)/$C$6</f>
        <v>16624.029535999998</v>
      </c>
      <c r="F26" s="589">
        <f t="shared" si="0"/>
        <v>40174.738045333332</v>
      </c>
      <c r="G26" s="114"/>
    </row>
    <row r="27" spans="1:7" s="271" customFormat="1" ht="26.25" customHeight="1" x14ac:dyDescent="0.2">
      <c r="A27" s="595" t="str">
        <f>Portafolio_PA_Papa!C73</f>
        <v>5. Contribución al mejoramiento del entorno social de la cadena</v>
      </c>
      <c r="B27" s="596">
        <f>'Estimación anualizada '!V24/$B$5</f>
        <v>147190.81753866668</v>
      </c>
      <c r="C27" s="596">
        <f>('Estimación anualizada '!B24+'Estimación anualizada '!C24+'Estimación anualizada '!D24+'Estimación anualizada '!E24)/$C$6</f>
        <v>26641.037506666667</v>
      </c>
      <c r="D27" s="596">
        <f>('Estimación anualizada '!F24+'Estimación anualizada '!G24+'Estimación anualizada '!H24+'Estimación anualizada '!I24+'Estimación anualizada '!J24+'Estimación anualizada '!K24+'Estimación anualizada '!L24+'Estimación anualizada '!M24)/$C$6</f>
        <v>60412.890015999998</v>
      </c>
      <c r="E27" s="596">
        <f>('Estimación anualizada '!N24+'Estimación anualizada '!O24+'Estimación anualizada '!P24+'Estimación anualizada '!Q24+'Estimación anualizada '!R24+'Estimación anualizada '!S24+'Estimación anualizada '!T24+'Estimación anualizada '!U24)/$C$6</f>
        <v>60136.890015999998</v>
      </c>
      <c r="F27" s="588">
        <f t="shared" si="0"/>
        <v>147190.81753866666</v>
      </c>
      <c r="G27" s="114"/>
    </row>
    <row r="28" spans="1:7" s="271" customFormat="1" ht="26.25" customHeight="1" x14ac:dyDescent="0.2">
      <c r="A28" s="597" t="str">
        <f>Portafolio_PA_Papa!D73</f>
        <v>5.1. Contribución al incremento del nivel educativo de los actores vinculados a la cadena de la papa</v>
      </c>
      <c r="B28" s="598">
        <f>'Estimación anualizada '!V25/$B$5</f>
        <v>28602.035706666669</v>
      </c>
      <c r="C28" s="598">
        <f>('Estimación anualizada '!B25+'Estimación anualizada '!C25+'Estimación anualizada '!D25+'Estimación anualizada '!E25)/$C$6</f>
        <v>4931.3854666666666</v>
      </c>
      <c r="D28" s="598">
        <f>('Estimación anualizada '!F25+'Estimación anualizada '!G25+'Estimación anualizada '!H25+'Estimación anualizada '!I25+'Estimación anualizada '!J25+'Estimación anualizada '!K25+'Estimación anualizada '!L25+'Estimación anualizada '!M25)/$C$6</f>
        <v>11835.32512</v>
      </c>
      <c r="E28" s="598">
        <f>('Estimación anualizada '!N25+'Estimación anualizada '!O25+'Estimación anualizada '!P25+'Estimación anualizada '!Q25+'Estimación anualizada '!R25+'Estimación anualizada '!S25+'Estimación anualizada '!T25+'Estimación anualizada '!U25)/$C$6</f>
        <v>11835.32512</v>
      </c>
      <c r="F28" s="589">
        <f t="shared" si="0"/>
        <v>28602.035706666669</v>
      </c>
      <c r="G28" s="114"/>
    </row>
    <row r="29" spans="1:7" s="271" customFormat="1" ht="39.75" customHeight="1" x14ac:dyDescent="0.2">
      <c r="A29" s="597" t="str">
        <f>Portafolio_PA_Papa!D77</f>
        <v>5.2. Promoción de la atención de las necesidades básicas y complementarias de los actores vinculados a la cadena.</v>
      </c>
      <c r="B29" s="598">
        <f>'Estimación anualizada '!V26/$B$5</f>
        <v>29856.96904</v>
      </c>
      <c r="C29" s="598">
        <f>('Estimación anualizada '!B26+'Estimación anualizada '!C26+'Estimación anualizada '!D26+'Estimación anualizada '!E26)/$C$6</f>
        <v>4948.7187999999996</v>
      </c>
      <c r="D29" s="598">
        <f>('Estimación anualizada '!F26+'Estimación anualizada '!G26+'Estimación anualizada '!H26+'Estimación anualizada '!I26+'Estimación anualizada '!J26+'Estimación anualizada '!K26+'Estimación anualizada '!L26+'Estimación anualizada '!M26)/$C$6</f>
        <v>11908.125120000001</v>
      </c>
      <c r="E29" s="598">
        <f>('Estimación anualizada '!N26+'Estimación anualizada '!O26+'Estimación anualizada '!P26+'Estimación anualizada '!Q26+'Estimación anualizada '!R26+'Estimación anualizada '!S26+'Estimación anualizada '!T26+'Estimación anualizada '!U26)/$C$6</f>
        <v>13000.125120000001</v>
      </c>
      <c r="F29" s="589">
        <f t="shared" si="0"/>
        <v>29856.96904</v>
      </c>
      <c r="G29" s="114"/>
    </row>
    <row r="30" spans="1:7" s="271" customFormat="1" ht="26.25" customHeight="1" x14ac:dyDescent="0.2">
      <c r="A30" s="597" t="str">
        <f>Portafolio_PA_Papa!D81</f>
        <v>5.3. Promoción de la formalización empresarial y laboral en la cadena de la papa</v>
      </c>
      <c r="B30" s="598">
        <f>'Estimación anualizada '!V27/$B$5</f>
        <v>39836.249040000002</v>
      </c>
      <c r="C30" s="598">
        <f>('Estimación anualizada '!B27+'Estimación anualizada '!C27+'Estimación anualizada '!D27+'Estimación anualizada '!E27)/$C$6</f>
        <v>6868.3188</v>
      </c>
      <c r="D30" s="598">
        <f>('Estimación anualizada '!F27+'Estimación anualizada '!G27+'Estimación anualizada '!H27+'Estimación anualizada '!I27+'Estimación anualizada '!J27+'Estimación anualizada '!K27+'Estimación anualizada '!L27+'Estimación anualizada '!M27)/$C$6</f>
        <v>16483.965120000001</v>
      </c>
      <c r="E30" s="598">
        <f>('Estimación anualizada '!N27+'Estimación anualizada '!O27+'Estimación anualizada '!P27+'Estimación anualizada '!Q27+'Estimación anualizada '!R27+'Estimación anualizada '!S27+'Estimación anualizada '!T27+'Estimación anualizada '!U27)/$C$6</f>
        <v>16483.965120000001</v>
      </c>
      <c r="F30" s="589">
        <f t="shared" si="0"/>
        <v>39836.249040000002</v>
      </c>
      <c r="G30" s="114"/>
    </row>
    <row r="31" spans="1:7" s="271" customFormat="1" ht="26.25" customHeight="1" x14ac:dyDescent="0.2">
      <c r="A31" s="597" t="str">
        <f>Portafolio_PA_Papa!D84</f>
        <v>5.4. Fomento de esquemas de asociatividad en la cadena</v>
      </c>
      <c r="B31" s="598">
        <f>'Estimación anualizada '!V28/$B$5</f>
        <v>48895.563752000002</v>
      </c>
      <c r="C31" s="598">
        <f>('Estimación anualizada '!B28+'Estimación anualizada '!C28+'Estimación anualizada '!D28+'Estimación anualizada '!E28)/$C$6</f>
        <v>9892.6144399999994</v>
      </c>
      <c r="D31" s="598">
        <f>('Estimación anualizada '!F28+'Estimación anualizada '!G28+'Estimación anualizada '!H28+'Estimación anualizada '!I28+'Estimación anualizada '!J28+'Estimación anualizada '!K28+'Estimación anualizada '!L28+'Estimación anualizada '!M28)/$C$6</f>
        <v>20185.474655999999</v>
      </c>
      <c r="E31" s="598">
        <f>('Estimación anualizada '!N28+'Estimación anualizada '!O28+'Estimación anualizada '!P28+'Estimación anualizada '!Q28+'Estimación anualizada '!R28+'Estimación anualizada '!S28+'Estimación anualizada '!T28+'Estimación anualizada '!U28)/$C$6</f>
        <v>18817.474655999999</v>
      </c>
      <c r="F31" s="589">
        <f t="shared" si="0"/>
        <v>48895.563751999995</v>
      </c>
      <c r="G31" s="114"/>
    </row>
    <row r="32" spans="1:7" s="271" customFormat="1" ht="26.25" customHeight="1" x14ac:dyDescent="0.2">
      <c r="A32" s="595" t="str">
        <f>Portafolio_PA_Papa!C89</f>
        <v>6. Fortalecimiento de la investigación, desarrollo e innovación, en la cadena de la papa</v>
      </c>
      <c r="B32" s="596">
        <f>'Estimación anualizada '!V29/$B$5</f>
        <v>84287.592981606678</v>
      </c>
      <c r="C32" s="596">
        <f>('Estimación anualizada '!B29+'Estimación anualizada '!C29+'Estimación anualizada '!D29+'Estimación anualizada '!E29)/$C$6</f>
        <v>14217.998781646667</v>
      </c>
      <c r="D32" s="596">
        <f>('Estimación anualizada '!F29+'Estimación anualizada '!G29+'Estimación anualizada '!H29+'Estimación anualizada '!I29+'Estimación anualizada '!J29+'Estimación anualizada '!K29+'Estimación anualizada '!L29+'Estimación anualizada '!M29)/$C$6</f>
        <v>36388.823366440003</v>
      </c>
      <c r="E32" s="596">
        <f>('Estimación anualizada '!N29+'Estimación anualizada '!O29+'Estimación anualizada '!P29+'Estimación anualizada '!Q29+'Estimación anualizada '!R29+'Estimación anualizada '!S29+'Estimación anualizada '!T29+'Estimación anualizada '!U29)/$C$6</f>
        <v>33680.770833519993</v>
      </c>
      <c r="F32" s="588">
        <f t="shared" si="0"/>
        <v>84287.592981606664</v>
      </c>
      <c r="G32" s="114"/>
    </row>
    <row r="33" spans="1:7" s="271" customFormat="1" ht="26.25" customHeight="1" x14ac:dyDescent="0.2">
      <c r="A33" s="597" t="str">
        <f>Portafolio_PA_Papa!D89</f>
        <v>6.1. Impulso a los procesos de I+D+i y de extensión agrícola e industrial, para la cadena</v>
      </c>
      <c r="B33" s="598">
        <f>'Estimación anualizada '!V30/$B$5</f>
        <v>47515.521889940013</v>
      </c>
      <c r="C33" s="598">
        <f>('Estimación anualizada '!B30+'Estimación anualizada '!C30+'Estimación anualizada '!D30+'Estimación anualizada '!E30)/$C$6</f>
        <v>8685.9172899799996</v>
      </c>
      <c r="D33" s="598">
        <f>('Estimación anualizada '!F30+'Estimación anualizada '!G30+'Estimación anualizada '!H30+'Estimación anualizada '!I30+'Estimación anualizada '!J30+'Estimación anualizada '!K30+'Estimación anualizada '!L30+'Estimación anualizada '!M30)/$C$6</f>
        <v>20768.828566439999</v>
      </c>
      <c r="E33" s="598">
        <f>('Estimación anualizada '!N30+'Estimación anualizada '!O30+'Estimación anualizada '!P30+'Estimación anualizada '!Q30+'Estimación anualizada '!R30+'Estimación anualizada '!S30+'Estimación anualizada '!T30+'Estimación anualizada '!U30)/$C$6</f>
        <v>18060.77603352</v>
      </c>
      <c r="F33" s="589">
        <f t="shared" si="0"/>
        <v>47515.521889939999</v>
      </c>
      <c r="G33" s="114"/>
    </row>
    <row r="34" spans="1:7" s="271" customFormat="1" ht="26.25" customHeight="1" x14ac:dyDescent="0.2">
      <c r="A34" s="597" t="str">
        <f>Portafolio_PA_Papa!D98</f>
        <v>6.2. Fortalecimiento del talento humano en I+D+i, y en extensionismo agrícola e industrial</v>
      </c>
      <c r="B34" s="598">
        <f>'Estimación anualizada '!V31/$B$5</f>
        <v>36772.071091666665</v>
      </c>
      <c r="C34" s="598">
        <f>('Estimación anualizada '!B31+'Estimación anualizada '!C31+'Estimación anualizada '!D31+'Estimación anualizada '!E31)/$C$6</f>
        <v>5532.0814916666659</v>
      </c>
      <c r="D34" s="598">
        <f>('Estimación anualizada '!F31+'Estimación anualizada '!G31+'Estimación anualizada '!H31+'Estimación anualizada '!I31+'Estimación anualizada '!J31+'Estimación anualizada '!K31+'Estimación anualizada '!L31+'Estimación anualizada '!M31)/$C$6</f>
        <v>15619.9948</v>
      </c>
      <c r="E34" s="598">
        <f>('Estimación anualizada '!N31+'Estimación anualizada '!O31+'Estimación anualizada '!P31+'Estimación anualizada '!Q31+'Estimación anualizada '!R31+'Estimación anualizada '!S31+'Estimación anualizada '!T31+'Estimación anualizada '!U31)/$C$6</f>
        <v>15619.9948</v>
      </c>
      <c r="F34" s="589">
        <f t="shared" si="0"/>
        <v>36772.071091666665</v>
      </c>
      <c r="G34" s="114"/>
    </row>
    <row r="35" spans="1:7" s="271" customFormat="1" ht="26.25" customHeight="1" x14ac:dyDescent="0.2">
      <c r="A35" s="595" t="str">
        <f>Portafolio_PA_Papa!C104</f>
        <v>7. Mejora de la gestión institucional en la sanidad y calidad de la papa y sus derivados</v>
      </c>
      <c r="B35" s="596">
        <f>'Estimación anualizada '!V32/$B$5</f>
        <v>11510.957358166666</v>
      </c>
      <c r="C35" s="596">
        <f>('Estimación anualizada '!B32+'Estimación anualizada '!C32+'Estimación anualizada '!D32+'Estimación anualizada '!E32)/$C$6</f>
        <v>2894.1814641666665</v>
      </c>
      <c r="D35" s="596">
        <f>('Estimación anualizada '!F32+'Estimación anualizada '!G32+'Estimación anualizada '!H32+'Estimación anualizada '!I32+'Estimación anualizada '!J32+'Estimación anualizada '!K32+'Estimación anualizada '!L32+'Estimación anualizada '!M32)/$C$6</f>
        <v>4308.3879470000002</v>
      </c>
      <c r="E35" s="596">
        <f>('Estimación anualizada '!N32+'Estimación anualizada '!O32+'Estimación anualizada '!P32+'Estimación anualizada '!Q32+'Estimación anualizada '!R32+'Estimación anualizada '!S32+'Estimación anualizada '!T32+'Estimación anualizada '!U32)/$C$6</f>
        <v>4308.3879470000002</v>
      </c>
      <c r="F35" s="588">
        <f t="shared" si="0"/>
        <v>11510.957358166666</v>
      </c>
      <c r="G35" s="114"/>
    </row>
    <row r="36" spans="1:7" s="271" customFormat="1" ht="26.25" customHeight="1" x14ac:dyDescent="0.2">
      <c r="A36" s="597" t="str">
        <f>Portafolio_PA_Papa!D104</f>
        <v>7.1. Fortalecimiento del Sistema de Inspección, Vigilancia y Control a lo largo de la cadena</v>
      </c>
      <c r="B36" s="598">
        <f>'Estimación anualizada '!V33/$B$5</f>
        <v>6314.1607103333326</v>
      </c>
      <c r="C36" s="598">
        <f>('Estimación anualizada '!B33+'Estimación anualizada '!C33+'Estimación anualizada '!D33+'Estimación anualizada '!E33)/$C$6</f>
        <v>1088.6483983333333</v>
      </c>
      <c r="D36" s="598">
        <f>('Estimación anualizada '!F33+'Estimación anualizada '!G33+'Estimación anualizada '!H33+'Estimación anualizada '!I33+'Estimación anualizada '!J33+'Estimación anualizada '!K33+'Estimación anualizada '!L33+'Estimación anualizada '!M33)/$C$6</f>
        <v>2612.7561559999999</v>
      </c>
      <c r="E36" s="598">
        <f>('Estimación anualizada '!N33+'Estimación anualizada '!O33+'Estimación anualizada '!P33+'Estimación anualizada '!Q33+'Estimación anualizada '!R33+'Estimación anualizada '!S33+'Estimación anualizada '!T33+'Estimación anualizada '!U33)/$C$6</f>
        <v>2612.7561559999999</v>
      </c>
      <c r="F36" s="589">
        <f t="shared" si="0"/>
        <v>6314.1607103333336</v>
      </c>
      <c r="G36" s="114"/>
    </row>
    <row r="37" spans="1:7" s="271" customFormat="1" ht="26.25" customHeight="1" x14ac:dyDescent="0.2">
      <c r="A37" s="597" t="str">
        <f>Portafolio_PA_Papa!D112</f>
        <v>7.2. Revisión y actualización de la normatividad de la cadena</v>
      </c>
      <c r="B37" s="598">
        <f>'Estimación anualizada '!V34/$B$5</f>
        <v>2330.3714773333336</v>
      </c>
      <c r="C37" s="598">
        <f>('Estimación anualizada '!B34+'Estimación anualizada '!C34+'Estimación anualizada '!D34+'Estimación anualizada '!E34)/$C$6</f>
        <v>876.97279933333334</v>
      </c>
      <c r="D37" s="598">
        <f>('Estimación anualizada '!F34+'Estimación anualizada '!G34+'Estimación anualizada '!H34+'Estimación anualizada '!I34+'Estimación anualizada '!J34+'Estimación anualizada '!K34+'Estimación anualizada '!L34+'Estimación anualizada '!M34)/$C$6</f>
        <v>726.69933900000001</v>
      </c>
      <c r="E37" s="598">
        <f>('Estimación anualizada '!N34+'Estimación anualizada '!O34+'Estimación anualizada '!P34+'Estimación anualizada '!Q34+'Estimación anualizada '!R34+'Estimación anualizada '!S34+'Estimación anualizada '!T34+'Estimación anualizada '!U34)/$C$6</f>
        <v>726.69933900000001</v>
      </c>
      <c r="F37" s="589">
        <f t="shared" si="0"/>
        <v>2330.3714773333331</v>
      </c>
      <c r="G37" s="114"/>
    </row>
    <row r="38" spans="1:7" s="271" customFormat="1" ht="26.25" customHeight="1" x14ac:dyDescent="0.2">
      <c r="A38" s="597" t="str">
        <f>Portafolio_PA_Papa!D116</f>
        <v>7.3. Mejora de la admisibilidad sanitaria y las medidas de defensa comercial para la cadena</v>
      </c>
      <c r="B38" s="598">
        <f>'Estimación anualizada '!V35/$B$5</f>
        <v>2866.4251705000001</v>
      </c>
      <c r="C38" s="598">
        <f>('Estimación anualizada '!B35+'Estimación anualizada '!C35+'Estimación anualizada '!D35+'Estimación anualizada '!E35)/$C$6</f>
        <v>928.56026650000001</v>
      </c>
      <c r="D38" s="598">
        <f>('Estimación anualizada '!F35+'Estimación anualizada '!G35+'Estimación anualizada '!H35+'Estimación anualizada '!I35+'Estimación anualizada '!J35+'Estimación anualizada '!K35+'Estimación anualizada '!L35+'Estimación anualizada '!M35)/$C$6</f>
        <v>968.93245200000001</v>
      </c>
      <c r="E38" s="598">
        <f>('Estimación anualizada '!N35+'Estimación anualizada '!O35+'Estimación anualizada '!P35+'Estimación anualizada '!Q35+'Estimación anualizada '!R35+'Estimación anualizada '!S35+'Estimación anualizada '!T35+'Estimación anualizada '!U35)/$C$6</f>
        <v>968.93245200000001</v>
      </c>
      <c r="F38" s="589">
        <f t="shared" si="0"/>
        <v>2866.4251705000001</v>
      </c>
      <c r="G38" s="114"/>
    </row>
    <row r="39" spans="1:7" s="271" customFormat="1" ht="26.25" customHeight="1" x14ac:dyDescent="0.2">
      <c r="A39" s="595" t="str">
        <f>Portafolio_PA_Papa!C119</f>
        <v>8. Articulación de los agentes de la cadena</v>
      </c>
      <c r="B39" s="596">
        <f>'Estimación anualizada '!V36/$B$5</f>
        <v>10242.722231666667</v>
      </c>
      <c r="C39" s="596">
        <f>('Estimación anualizada '!B36+'Estimación anualizada '!C36+'Estimación anualizada '!D36+'Estimación anualizada '!E36)/$C$6</f>
        <v>3176.7178796666667</v>
      </c>
      <c r="D39" s="596">
        <f>('Estimación anualizada '!F36+'Estimación anualizada '!G36+'Estimación anualizada '!H36+'Estimación anualizada '!I36+'Estimación anualizada '!J36+'Estimación anualizada '!K36+'Estimación anualizada '!L36+'Estimación anualizada '!M36)/$C$6</f>
        <v>3533.002176</v>
      </c>
      <c r="E39" s="596">
        <f>('Estimación anualizada '!N36+'Estimación anualizada '!O36+'Estimación anualizada '!P36+'Estimación anualizada '!Q36+'Estimación anualizada '!R36+'Estimación anualizada '!S36+'Estimación anualizada '!T36+'Estimación anualizada '!U36)/$C$6</f>
        <v>3533.002176</v>
      </c>
      <c r="F39" s="588">
        <f t="shared" si="0"/>
        <v>10242.722231666667</v>
      </c>
      <c r="G39" s="114"/>
    </row>
    <row r="40" spans="1:7" s="271" customFormat="1" ht="26.25" customHeight="1" x14ac:dyDescent="0.2">
      <c r="A40" s="597" t="str">
        <f>Portafolio_PA_Papa!D119</f>
        <v>8.1. Adopción, promoción y monitoreo de la política pública para la cadena de la papa</v>
      </c>
      <c r="B40" s="598">
        <f>'Estimación anualizada '!V37/$B$5</f>
        <v>1909.832228</v>
      </c>
      <c r="C40" s="598">
        <f>('Estimación anualizada '!B37+'Estimación anualizada '!C37+'Estimación anualizada '!D37+'Estimación anualizada '!E37)/$C$6</f>
        <v>762.49616400000002</v>
      </c>
      <c r="D40" s="598">
        <f>('Estimación anualizada '!F37+'Estimación anualizada '!G37+'Estimación anualizada '!H37+'Estimación anualizada '!I37+'Estimación anualizada '!J37+'Estimación anualizada '!K37+'Estimación anualizada '!L37+'Estimación anualizada '!M37)/$C$6</f>
        <v>573.66803200000004</v>
      </c>
      <c r="E40" s="598">
        <f>('Estimación anualizada '!N37+'Estimación anualizada '!O37+'Estimación anualizada '!P37+'Estimación anualizada '!Q37+'Estimación anualizada '!R37+'Estimación anualizada '!S37+'Estimación anualizada '!T37+'Estimación anualizada '!U37)/$C$6</f>
        <v>573.66803200000004</v>
      </c>
      <c r="F40" s="589">
        <f t="shared" si="0"/>
        <v>1909.8322280000002</v>
      </c>
      <c r="G40" s="114"/>
    </row>
    <row r="41" spans="1:7" s="271" customFormat="1" ht="26.25" customHeight="1" x14ac:dyDescent="0.2">
      <c r="A41" s="597" t="str">
        <f>Portafolio_PA_Papa!D124</f>
        <v>8.2. Fortalecimiento de la Organización de Cadena de la papa</v>
      </c>
      <c r="B41" s="598">
        <f>'Estimación anualizada '!V38/$B$5</f>
        <v>7336.6825653333326</v>
      </c>
      <c r="C41" s="598">
        <f>('Estimación anualizada '!B38+'Estimación anualizada '!C38+'Estimación anualizada '!D38+'Estimación anualizada '!E38)/$C$6</f>
        <v>1418.0142773333332</v>
      </c>
      <c r="D41" s="598">
        <f>('Estimación anualizada '!F38+'Estimación anualizada '!G38+'Estimación anualizada '!H38+'Estimación anualizada '!I38+'Estimación anualizada '!J38+'Estimación anualizada '!K38+'Estimación anualizada '!L38+'Estimación anualizada '!M38)/$C$6</f>
        <v>2959.3341439999999</v>
      </c>
      <c r="E41" s="598">
        <f>('Estimación anualizada '!N38+'Estimación anualizada '!O38+'Estimación anualizada '!P38+'Estimación anualizada '!Q38+'Estimación anualizada '!R38+'Estimación anualizada '!S38+'Estimación anualizada '!T38+'Estimación anualizada '!U38)/$C$6</f>
        <v>2959.3341439999999</v>
      </c>
      <c r="F41" s="589">
        <f t="shared" si="0"/>
        <v>7336.6825653333326</v>
      </c>
      <c r="G41" s="114"/>
    </row>
    <row r="42" spans="1:7" s="271" customFormat="1" ht="26.25" customHeight="1" x14ac:dyDescent="0.2">
      <c r="A42" s="597" t="str">
        <f>Portafolio_PA_Papa!D127</f>
        <v>8.3. Desarrollo de un Sistema integral de información para la cadena de la papa</v>
      </c>
      <c r="B42" s="598">
        <f>'Estimación anualizada '!V39/$B$5</f>
        <v>308.2639733333333</v>
      </c>
      <c r="C42" s="598">
        <f>('Estimación anualizada '!B39+'Estimación anualizada '!C39+'Estimación anualizada '!D39+'Estimación anualizada '!E39)/$C$6</f>
        <v>308.2639733333333</v>
      </c>
      <c r="D42" s="598">
        <f>('Estimación anualizada '!F39+'Estimación anualizada '!G39+'Estimación anualizada '!H39+'Estimación anualizada '!I39+'Estimación anualizada '!J39+'Estimación anualizada '!K39+'Estimación anualizada '!L39+'Estimación anualizada '!M39)/$C$6</f>
        <v>0</v>
      </c>
      <c r="E42" s="598">
        <f>('Estimación anualizada '!N39+'Estimación anualizada '!O39+'Estimación anualizada '!P39+'Estimación anualizada '!Q39+'Estimación anualizada '!R39+'Estimación anualizada '!S39+'Estimación anualizada '!T39+'Estimación anualizada '!U39)/$C$6</f>
        <v>0</v>
      </c>
      <c r="F42" s="589">
        <f t="shared" si="0"/>
        <v>308.2639733333333</v>
      </c>
      <c r="G42" s="114"/>
    </row>
    <row r="43" spans="1:7" s="271" customFormat="1" ht="39" customHeight="1" x14ac:dyDescent="0.2">
      <c r="A43" s="597" t="str">
        <f>Portafolio_PA_Papa!D131</f>
        <v>8.4. Fortalecimiento y creación de instrumentos de financiamiento, comercialización, gestión de riesgos y empresarización para la cadena de la papa</v>
      </c>
      <c r="B43" s="598">
        <f>'Estimación anualizada '!V40/$B$5</f>
        <v>687.94346499999995</v>
      </c>
      <c r="C43" s="598">
        <f>('Estimación anualizada '!B40+'Estimación anualizada '!C40+'Estimación anualizada '!D40+'Estimación anualizada '!E40)/$C$6</f>
        <v>687.94346499999995</v>
      </c>
      <c r="D43" s="598">
        <f>('Estimación anualizada '!F40+'Estimación anualizada '!G40+'Estimación anualizada '!H40+'Estimación anualizada '!I40+'Estimación anualizada '!J40+'Estimación anualizada '!K40+'Estimación anualizada '!L40+'Estimación anualizada '!M40)/$C$6</f>
        <v>0</v>
      </c>
      <c r="E43" s="598">
        <f>('Estimación anualizada '!N40+'Estimación anualizada '!O40+'Estimación anualizada '!P40+'Estimación anualizada '!Q40+'Estimación anualizada '!R40+'Estimación anualizada '!S40+'Estimación anualizada '!T40+'Estimación anualizada '!U40)/$C$6</f>
        <v>0</v>
      </c>
      <c r="F43" s="591">
        <f t="shared" si="0"/>
        <v>687.94346499999995</v>
      </c>
      <c r="G43" s="114"/>
    </row>
    <row r="44" spans="1:7" s="277" customFormat="1" ht="15.75" x14ac:dyDescent="0.2">
      <c r="A44" s="599" t="s">
        <v>477</v>
      </c>
      <c r="B44" s="600">
        <f>'Estimación anualizada '!V41/$B$5</f>
        <v>1138203.3043563194</v>
      </c>
      <c r="C44" s="600">
        <f>('Estimación anualizada '!B41+'Estimación anualizada '!C41+'Estimación anualizada '!D41+'Estimación anualizada '!E41)/$C$6</f>
        <v>195531.3296303247</v>
      </c>
      <c r="D44" s="600">
        <f>('Estimación anualizada '!F41+'Estimación anualizada '!G41+'Estimación anualizada '!H41+'Estimación anualizada '!I41+'Estimación anualizada '!J41+'Estimación anualizada '!K41+'Estimación anualizada '!L41+'Estimación anualizada '!M41)/$C$6</f>
        <v>569565.46218842838</v>
      </c>
      <c r="E44" s="600">
        <f>('Estimación anualizada '!N41+'Estimación anualizada '!O41+'Estimación anualizada '!P41+'Estimación anualizada '!Q41+'Estimación anualizada '!R41+'Estimación anualizada '!S41+'Estimación anualizada '!T41+'Estimación anualizada '!U41)/$C$6</f>
        <v>373106.51253756584</v>
      </c>
      <c r="F44" s="592">
        <f t="shared" si="0"/>
        <v>1138203.3043563189</v>
      </c>
      <c r="G44" s="114"/>
    </row>
    <row r="45" spans="1:7" s="278" customFormat="1" ht="15.75" x14ac:dyDescent="0.2">
      <c r="A45" s="562"/>
      <c r="B45" s="563"/>
      <c r="C45" s="601">
        <f>C44/F44</f>
        <v>0.17178945877415311</v>
      </c>
      <c r="D45" s="601">
        <f>D44/F44</f>
        <v>0.50040749311524024</v>
      </c>
      <c r="E45" s="601">
        <f>E44/F44</f>
        <v>0.32780304811060662</v>
      </c>
      <c r="F45" s="279"/>
      <c r="G45" s="114"/>
    </row>
  </sheetData>
  <sheetProtection algorithmName="SHA-512" hashValue="7jUng5NQJL5pSvHsInc2BAHCrN1NV7DrW6sfJaxoq4WLwkUHPQ8Tcu6Iw4hnycHoXciWUQZgcraNhvUGmMvDHg==" saltValue="SSshIOuuxWag/3GAyfEZQA==" spinCount="100000" sheet="1" objects="1" scenarios="1"/>
  <mergeCells count="2">
    <mergeCell ref="A1:F1"/>
    <mergeCell ref="A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zoomScale="70" zoomScaleNormal="70" workbookViewId="0">
      <pane ySplit="7" topLeftCell="A8" activePane="bottomLeft" state="frozen"/>
      <selection pane="bottomLeft" activeCell="A12" sqref="A12"/>
    </sheetView>
  </sheetViews>
  <sheetFormatPr baseColWidth="10" defaultColWidth="10.85546875" defaultRowHeight="14.25" x14ac:dyDescent="0.2"/>
  <cols>
    <col min="1" max="1" width="100.42578125" style="228" customWidth="1"/>
    <col min="2" max="4" width="23.42578125" style="114" customWidth="1"/>
    <col min="5" max="5" width="23.42578125" style="308" customWidth="1"/>
    <col min="6" max="6" width="20.42578125" style="280" customWidth="1"/>
    <col min="7" max="7" width="18.42578125" style="114" customWidth="1"/>
    <col min="8" max="8" width="17.42578125" style="114" customWidth="1"/>
    <col min="9" max="9" width="15" style="114" customWidth="1"/>
    <col min="10" max="10" width="17.42578125" style="114" customWidth="1"/>
    <col min="11" max="11" width="15.42578125" style="114" customWidth="1"/>
    <col min="12" max="12" width="12.42578125" style="114" customWidth="1"/>
    <col min="13" max="13" width="15.42578125" style="114" customWidth="1"/>
    <col min="14" max="14" width="13.28515625" style="114" customWidth="1"/>
    <col min="15" max="15" width="15.42578125" style="114" customWidth="1"/>
    <col min="16" max="16" width="13.140625" style="114" customWidth="1"/>
    <col min="17" max="16384" width="10.85546875" style="114"/>
  </cols>
  <sheetData>
    <row r="1" spans="1:17" ht="20.45" customHeight="1" x14ac:dyDescent="0.25">
      <c r="A1" s="676" t="s">
        <v>555</v>
      </c>
      <c r="B1" s="678"/>
      <c r="C1" s="678"/>
      <c r="D1" s="678"/>
      <c r="E1" s="678"/>
      <c r="F1" s="678"/>
      <c r="G1" s="679"/>
      <c r="H1" s="679"/>
      <c r="I1" s="679"/>
      <c r="J1" s="679"/>
      <c r="K1" s="679"/>
      <c r="L1" s="679"/>
      <c r="M1" s="679"/>
      <c r="N1" s="679"/>
      <c r="O1" s="679"/>
      <c r="P1" s="679"/>
    </row>
    <row r="2" spans="1:17" ht="21.6" customHeight="1" x14ac:dyDescent="0.25">
      <c r="A2" s="676" t="s">
        <v>540</v>
      </c>
      <c r="B2" s="678"/>
      <c r="C2" s="678"/>
      <c r="D2" s="678"/>
      <c r="E2" s="678"/>
      <c r="F2" s="678"/>
      <c r="G2" s="679"/>
      <c r="H2" s="679"/>
      <c r="I2" s="679"/>
      <c r="J2" s="679"/>
      <c r="K2" s="679"/>
      <c r="L2" s="679"/>
      <c r="M2" s="679"/>
      <c r="N2" s="679"/>
      <c r="O2" s="679"/>
      <c r="P2" s="679"/>
    </row>
    <row r="3" spans="1:17" ht="18" x14ac:dyDescent="0.25">
      <c r="A3" s="291"/>
      <c r="B3" s="292"/>
      <c r="C3" s="292"/>
      <c r="D3" s="292"/>
      <c r="E3" s="292"/>
      <c r="F3" s="292"/>
    </row>
    <row r="4" spans="1:17" x14ac:dyDescent="0.2">
      <c r="A4" s="298"/>
      <c r="F4" s="114"/>
    </row>
    <row r="5" spans="1:17" ht="18.75" hidden="1" x14ac:dyDescent="0.3">
      <c r="A5" s="291"/>
      <c r="B5" s="267"/>
      <c r="C5" s="297">
        <v>1000000</v>
      </c>
      <c r="D5" s="267"/>
      <c r="E5" s="267"/>
      <c r="F5" s="268"/>
    </row>
    <row r="6" spans="1:17" hidden="1" x14ac:dyDescent="0.2">
      <c r="B6" s="114">
        <v>1000000</v>
      </c>
    </row>
    <row r="7" spans="1:17" ht="75" x14ac:dyDescent="0.2">
      <c r="A7" s="300" t="s">
        <v>476</v>
      </c>
      <c r="B7" s="296" t="s">
        <v>524</v>
      </c>
      <c r="C7" s="300" t="s">
        <v>541</v>
      </c>
      <c r="D7" s="301" t="s">
        <v>542</v>
      </c>
      <c r="E7" s="299" t="s">
        <v>543</v>
      </c>
      <c r="F7" s="300" t="s">
        <v>544</v>
      </c>
      <c r="G7" s="301" t="s">
        <v>545</v>
      </c>
      <c r="H7" s="299" t="s">
        <v>546</v>
      </c>
      <c r="I7" s="300" t="s">
        <v>547</v>
      </c>
      <c r="J7" s="300" t="s">
        <v>548</v>
      </c>
      <c r="K7" s="300" t="s">
        <v>549</v>
      </c>
      <c r="L7" s="300" t="s">
        <v>550</v>
      </c>
      <c r="M7" s="300" t="s">
        <v>551</v>
      </c>
      <c r="N7" s="300" t="s">
        <v>552</v>
      </c>
      <c r="O7" s="300" t="s">
        <v>553</v>
      </c>
      <c r="P7" s="300" t="s">
        <v>554</v>
      </c>
    </row>
    <row r="8" spans="1:17" s="271" customFormat="1" ht="15" x14ac:dyDescent="0.2">
      <c r="A8" s="269" t="str">
        <f>Portafolio_PA_Papa!C2</f>
        <v>1. Incremento del consumo y mejora de la comercialización de la papa</v>
      </c>
      <c r="B8" s="270">
        <f>'Estimación por período'!B9</f>
        <v>203849.87592992189</v>
      </c>
      <c r="C8" s="304">
        <f>F8/B8</f>
        <v>0.92445235229437295</v>
      </c>
      <c r="D8" s="304">
        <f>G8/B8</f>
        <v>7.5547647705627372E-2</v>
      </c>
      <c r="E8" s="309">
        <f>H8/B8</f>
        <v>0</v>
      </c>
      <c r="F8" s="270">
        <f>F9+F10+F11</f>
        <v>188449.49731833237</v>
      </c>
      <c r="G8" s="270">
        <f t="shared" ref="G8:H8" si="0">G9+G10+G11</f>
        <v>15400.378611589589</v>
      </c>
      <c r="H8" s="270">
        <f t="shared" si="0"/>
        <v>0</v>
      </c>
      <c r="I8" s="302">
        <f>M8/F8</f>
        <v>0.75728538559313041</v>
      </c>
      <c r="J8" s="302">
        <f>N8/F8</f>
        <v>0</v>
      </c>
      <c r="K8" s="302">
        <f>O8/F8</f>
        <v>0.23076101262775683</v>
      </c>
      <c r="L8" s="302">
        <f>P8/F8</f>
        <v>1.19536017791129E-2</v>
      </c>
      <c r="M8" s="270">
        <f>SUM(M9:M11)</f>
        <v>142710.05024154493</v>
      </c>
      <c r="N8" s="270">
        <f t="shared" ref="N8:P8" si="1">SUM(N9:N11)</f>
        <v>0</v>
      </c>
      <c r="O8" s="270">
        <f t="shared" si="1"/>
        <v>43486.796830370127</v>
      </c>
      <c r="P8" s="270">
        <f t="shared" si="1"/>
        <v>2252.6502464173495</v>
      </c>
      <c r="Q8" s="324"/>
    </row>
    <row r="9" spans="1:17" s="271" customFormat="1" x14ac:dyDescent="0.2">
      <c r="A9" s="272" t="str">
        <f>Portafolio_PA_Papa!D2</f>
        <v>1.1. Incremento del consumo interno de papa y sus derivados</v>
      </c>
      <c r="B9" s="293">
        <f>'Estimación por período'!B10</f>
        <v>60601.163879637315</v>
      </c>
      <c r="C9" s="305">
        <v>0.85</v>
      </c>
      <c r="D9" s="305">
        <v>0.15</v>
      </c>
      <c r="E9" s="310"/>
      <c r="F9" s="293">
        <f>B9*C9</f>
        <v>51510.989297691718</v>
      </c>
      <c r="G9" s="293">
        <f>B9*D9</f>
        <v>9090.1745819455973</v>
      </c>
      <c r="H9" s="293">
        <f>B9*E9</f>
        <v>0</v>
      </c>
      <c r="I9" s="303">
        <v>0.6</v>
      </c>
      <c r="J9" s="303"/>
      <c r="K9" s="303">
        <v>0.4</v>
      </c>
      <c r="L9" s="303"/>
      <c r="M9" s="293">
        <f>F9*I9</f>
        <v>30906.593578615029</v>
      </c>
      <c r="N9" s="293">
        <f>F9*J9</f>
        <v>0</v>
      </c>
      <c r="O9" s="293">
        <f>F9*K9</f>
        <v>20604.395719076689</v>
      </c>
      <c r="P9" s="293">
        <f>F9*L9</f>
        <v>0</v>
      </c>
      <c r="Q9" s="324"/>
    </row>
    <row r="10" spans="1:17" s="271" customFormat="1" ht="13.5" customHeight="1" x14ac:dyDescent="0.2">
      <c r="A10" s="272" t="str">
        <f>Portafolio_PA_Papa!D7</f>
        <v>1.2. Incursión y posicionamiento de la papa colombiana y sus derivados, en el mercado internacional</v>
      </c>
      <c r="B10" s="293">
        <f>'Estimación por período'!B11</f>
        <v>26501.767604909997</v>
      </c>
      <c r="C10" s="305">
        <v>0.85</v>
      </c>
      <c r="D10" s="305">
        <v>0.15</v>
      </c>
      <c r="E10" s="310"/>
      <c r="F10" s="293">
        <f t="shared" ref="F10:F42" si="2">B10*C10</f>
        <v>22526.502464173496</v>
      </c>
      <c r="G10" s="293">
        <f t="shared" ref="G10:G42" si="3">B10*D10</f>
        <v>3975.2651407364992</v>
      </c>
      <c r="H10" s="293">
        <f t="shared" ref="H10:H42" si="4">B10*E10</f>
        <v>0</v>
      </c>
      <c r="I10" s="303">
        <v>0.9</v>
      </c>
      <c r="J10" s="303"/>
      <c r="K10" s="303"/>
      <c r="L10" s="303">
        <v>0.1</v>
      </c>
      <c r="M10" s="293">
        <f t="shared" ref="M10:M42" si="5">F10*I10</f>
        <v>20273.852217756146</v>
      </c>
      <c r="N10" s="293">
        <f t="shared" ref="N10:N42" si="6">F10*J10</f>
        <v>0</v>
      </c>
      <c r="O10" s="293">
        <f t="shared" ref="O10:O42" si="7">F10*K10</f>
        <v>0</v>
      </c>
      <c r="P10" s="293">
        <f t="shared" ref="P10:P42" si="8">F10*L10</f>
        <v>2252.6502464173495</v>
      </c>
      <c r="Q10" s="324"/>
    </row>
    <row r="11" spans="1:17" s="271" customFormat="1" x14ac:dyDescent="0.2">
      <c r="A11" s="272" t="str">
        <f>Portafolio_PA_Papa!D13</f>
        <v>1.3. Mejora de la comercialización de la papa y sus derivados</v>
      </c>
      <c r="B11" s="293">
        <f>'Estimación por período'!B12</f>
        <v>116746.94444537467</v>
      </c>
      <c r="C11" s="305">
        <v>0.98</v>
      </c>
      <c r="D11" s="305">
        <v>0.02</v>
      </c>
      <c r="E11" s="310"/>
      <c r="F11" s="293">
        <f t="shared" si="2"/>
        <v>114412.00555646718</v>
      </c>
      <c r="G11" s="293">
        <f t="shared" si="3"/>
        <v>2334.9388889074935</v>
      </c>
      <c r="H11" s="293">
        <f t="shared" si="4"/>
        <v>0</v>
      </c>
      <c r="I11" s="303">
        <v>0.8</v>
      </c>
      <c r="J11" s="303"/>
      <c r="K11" s="303">
        <v>0.2</v>
      </c>
      <c r="L11" s="303"/>
      <c r="M11" s="293">
        <f t="shared" si="5"/>
        <v>91529.604445173754</v>
      </c>
      <c r="N11" s="293">
        <f t="shared" si="6"/>
        <v>0</v>
      </c>
      <c r="O11" s="293">
        <f t="shared" si="7"/>
        <v>22882.401111293439</v>
      </c>
      <c r="P11" s="293">
        <f t="shared" si="8"/>
        <v>0</v>
      </c>
      <c r="Q11" s="324"/>
    </row>
    <row r="12" spans="1:17" s="271" customFormat="1" ht="15" x14ac:dyDescent="0.2">
      <c r="A12" s="269" t="str">
        <f>Portafolio_PA_Papa!C19</f>
        <v>2. Mejora de la productividad en la producción y procesamiento de papa</v>
      </c>
      <c r="B12" s="270">
        <f>'Estimación por período'!B13</f>
        <v>480850.8006682538</v>
      </c>
      <c r="C12" s="304">
        <f>F12/B12</f>
        <v>0.95501726488931549</v>
      </c>
      <c r="D12" s="304">
        <f>G12/B12</f>
        <v>3.3455064127435923E-2</v>
      </c>
      <c r="E12" s="304">
        <f>H12/B12</f>
        <v>1.1527670983248325E-2</v>
      </c>
      <c r="F12" s="270">
        <f>SUM(F13:F18)</f>
        <v>459220.81647403317</v>
      </c>
      <c r="G12" s="270">
        <f t="shared" ref="G12:H12" si="9">SUM(G13:G18)</f>
        <v>16086.894372085339</v>
      </c>
      <c r="H12" s="270">
        <f t="shared" si="9"/>
        <v>5543.0898221351536</v>
      </c>
      <c r="I12" s="302">
        <f>M12/F12</f>
        <v>0.65387920229863528</v>
      </c>
      <c r="J12" s="302">
        <f>N12/F12</f>
        <v>0</v>
      </c>
      <c r="K12" s="302">
        <f>N12/F12</f>
        <v>0</v>
      </c>
      <c r="L12" s="302">
        <f>O12/F12</f>
        <v>0.34612079770136478</v>
      </c>
      <c r="M12" s="270">
        <f>SUM(M13:M18)</f>
        <v>300274.94115496881</v>
      </c>
      <c r="N12" s="270">
        <f t="shared" ref="N12:P12" si="10">SUM(N13:N18)</f>
        <v>0</v>
      </c>
      <c r="O12" s="270">
        <f t="shared" si="10"/>
        <v>158945.87531906439</v>
      </c>
      <c r="P12" s="270">
        <f t="shared" si="10"/>
        <v>0</v>
      </c>
      <c r="Q12" s="324"/>
    </row>
    <row r="13" spans="1:17" s="271" customFormat="1" x14ac:dyDescent="0.2">
      <c r="A13" s="272" t="str">
        <f>Portafolio_PA_Papa!D19</f>
        <v>2.1. Mejora de la producción de semilla certificada de papa</v>
      </c>
      <c r="B13" s="293">
        <f>'Estimación por período'!B14</f>
        <v>89318.745704000001</v>
      </c>
      <c r="C13" s="305">
        <v>0.95</v>
      </c>
      <c r="D13" s="305">
        <v>0.05</v>
      </c>
      <c r="E13" s="310"/>
      <c r="F13" s="293">
        <f t="shared" si="2"/>
        <v>84852.808418799992</v>
      </c>
      <c r="G13" s="293">
        <f t="shared" si="3"/>
        <v>4465.9372852000006</v>
      </c>
      <c r="H13" s="293">
        <f t="shared" si="4"/>
        <v>0</v>
      </c>
      <c r="I13" s="303">
        <v>0.8</v>
      </c>
      <c r="J13" s="303"/>
      <c r="K13" s="303">
        <v>0.2</v>
      </c>
      <c r="L13" s="303"/>
      <c r="M13" s="293">
        <f t="shared" si="5"/>
        <v>67882.246735039997</v>
      </c>
      <c r="N13" s="293">
        <f t="shared" si="6"/>
        <v>0</v>
      </c>
      <c r="O13" s="293">
        <f t="shared" si="7"/>
        <v>16970.561683759999</v>
      </c>
      <c r="P13" s="293">
        <f t="shared" si="8"/>
        <v>0</v>
      </c>
      <c r="Q13" s="324"/>
    </row>
    <row r="14" spans="1:17" s="271" customFormat="1" x14ac:dyDescent="0.2">
      <c r="A14" s="272" t="str">
        <f>Portafolio_PA_Papa!D24</f>
        <v>2.2. Fortalecimiento de la asistencia técnica y extensión agrícola a productores de papa</v>
      </c>
      <c r="B14" s="293">
        <f>'Estimación por período'!B15</f>
        <v>221715.37644389208</v>
      </c>
      <c r="C14" s="305">
        <v>0.98</v>
      </c>
      <c r="D14" s="305">
        <v>0.01</v>
      </c>
      <c r="E14" s="305">
        <v>0.01</v>
      </c>
      <c r="F14" s="293">
        <f t="shared" si="2"/>
        <v>217281.06891501424</v>
      </c>
      <c r="G14" s="293">
        <f t="shared" si="3"/>
        <v>2217.1537644389209</v>
      </c>
      <c r="H14" s="293">
        <f t="shared" si="4"/>
        <v>2217.1537644389209</v>
      </c>
      <c r="I14" s="303">
        <v>0.6</v>
      </c>
      <c r="J14" s="303"/>
      <c r="K14" s="303">
        <v>0.4</v>
      </c>
      <c r="L14" s="303"/>
      <c r="M14" s="293">
        <f t="shared" si="5"/>
        <v>130368.64134900854</v>
      </c>
      <c r="N14" s="293">
        <f t="shared" si="6"/>
        <v>0</v>
      </c>
      <c r="O14" s="293">
        <f t="shared" si="7"/>
        <v>86912.427566005703</v>
      </c>
      <c r="P14" s="293">
        <f t="shared" si="8"/>
        <v>0</v>
      </c>
      <c r="Q14" s="324"/>
    </row>
    <row r="15" spans="1:17" s="271" customFormat="1" x14ac:dyDescent="0.2">
      <c r="A15" s="272" t="str">
        <f>Portafolio_PA_Papa!D33</f>
        <v>2.3.  Fortalecimiento de las capacidades técnicas y empresariales de MiPymes procesadoras  de papa</v>
      </c>
      <c r="B15" s="293">
        <f>'Estimación por período'!B16</f>
        <v>46567.542514728317</v>
      </c>
      <c r="C15" s="305">
        <v>0.93</v>
      </c>
      <c r="D15" s="305">
        <v>0.05</v>
      </c>
      <c r="E15" s="305">
        <v>0.02</v>
      </c>
      <c r="F15" s="293">
        <f t="shared" si="2"/>
        <v>43307.814538697334</v>
      </c>
      <c r="G15" s="293">
        <f t="shared" si="3"/>
        <v>2328.377125736416</v>
      </c>
      <c r="H15" s="293">
        <f t="shared" si="4"/>
        <v>931.35085029456638</v>
      </c>
      <c r="I15" s="303">
        <v>0.7</v>
      </c>
      <c r="J15" s="303"/>
      <c r="K15" s="303">
        <v>0.3</v>
      </c>
      <c r="L15" s="303"/>
      <c r="M15" s="293">
        <f t="shared" si="5"/>
        <v>30315.470177088133</v>
      </c>
      <c r="N15" s="293">
        <f t="shared" si="6"/>
        <v>0</v>
      </c>
      <c r="O15" s="293">
        <f t="shared" si="7"/>
        <v>12992.344361609199</v>
      </c>
      <c r="P15" s="293">
        <f t="shared" si="8"/>
        <v>0</v>
      </c>
      <c r="Q15" s="324"/>
    </row>
    <row r="16" spans="1:17" s="271" customFormat="1" x14ac:dyDescent="0.2">
      <c r="A16" s="272" t="str">
        <f>Portafolio_PA_Papa!D39</f>
        <v>2.4. Promoción de la integración y las alianzas estratégicas en la cadena de la papa</v>
      </c>
      <c r="B16" s="293">
        <f>'Estimación por período'!B17</f>
        <v>40483.625093166665</v>
      </c>
      <c r="C16" s="305">
        <v>0.85</v>
      </c>
      <c r="D16" s="305">
        <v>0.1</v>
      </c>
      <c r="E16" s="305">
        <v>0.05</v>
      </c>
      <c r="F16" s="293">
        <f t="shared" si="2"/>
        <v>34411.081329191664</v>
      </c>
      <c r="G16" s="293">
        <f t="shared" si="3"/>
        <v>4048.3625093166665</v>
      </c>
      <c r="H16" s="293">
        <f t="shared" si="4"/>
        <v>2024.1812546583333</v>
      </c>
      <c r="I16" s="303">
        <v>0.7</v>
      </c>
      <c r="J16" s="303"/>
      <c r="K16" s="303">
        <v>0.3</v>
      </c>
      <c r="L16" s="303"/>
      <c r="M16" s="293">
        <f t="shared" si="5"/>
        <v>24087.756930434163</v>
      </c>
      <c r="N16" s="293">
        <f t="shared" si="6"/>
        <v>0</v>
      </c>
      <c r="O16" s="293">
        <f t="shared" si="7"/>
        <v>10323.324398757499</v>
      </c>
      <c r="P16" s="293">
        <f t="shared" si="8"/>
        <v>0</v>
      </c>
      <c r="Q16" s="324"/>
    </row>
    <row r="17" spans="1:17" s="271" customFormat="1" x14ac:dyDescent="0.2">
      <c r="A17" s="272" t="str">
        <f>Portafolio_PA_Papa!D42</f>
        <v>2.5. Mejora de la capacidad instalada en el almacenamiento y procesamiento agroindustrial de la papa</v>
      </c>
      <c r="B17" s="293">
        <f>'Estimación por período'!B18</f>
        <v>45725.115638133342</v>
      </c>
      <c r="C17" s="305">
        <v>0.95</v>
      </c>
      <c r="D17" s="305">
        <v>0.05</v>
      </c>
      <c r="E17" s="310"/>
      <c r="F17" s="293">
        <f t="shared" si="2"/>
        <v>43438.859856226671</v>
      </c>
      <c r="G17" s="293">
        <f t="shared" si="3"/>
        <v>2286.2557819066674</v>
      </c>
      <c r="H17" s="293">
        <f t="shared" si="4"/>
        <v>0</v>
      </c>
      <c r="I17" s="303">
        <v>0.6</v>
      </c>
      <c r="J17" s="303"/>
      <c r="K17" s="303">
        <v>0.4</v>
      </c>
      <c r="L17" s="303"/>
      <c r="M17" s="293">
        <f t="shared" si="5"/>
        <v>26063.315913736002</v>
      </c>
      <c r="N17" s="293">
        <f t="shared" si="6"/>
        <v>0</v>
      </c>
      <c r="O17" s="293">
        <f t="shared" si="7"/>
        <v>17375.543942490669</v>
      </c>
      <c r="P17" s="293">
        <f t="shared" si="8"/>
        <v>0</v>
      </c>
      <c r="Q17" s="324"/>
    </row>
    <row r="18" spans="1:17" s="271" customFormat="1" x14ac:dyDescent="0.2">
      <c r="A18" s="273" t="str">
        <f>Portafolio_PA_Papa!D48</f>
        <v>2.6. Optimización de la oferta de insumos y servicios asociados a la cadena.</v>
      </c>
      <c r="B18" s="294">
        <f>'Estimación por período'!B19</f>
        <v>37040.395274333336</v>
      </c>
      <c r="C18" s="306">
        <v>0.97</v>
      </c>
      <c r="D18" s="306">
        <v>0.02</v>
      </c>
      <c r="E18" s="305">
        <v>0.01</v>
      </c>
      <c r="F18" s="294">
        <f t="shared" si="2"/>
        <v>35929.183416103333</v>
      </c>
      <c r="G18" s="294">
        <f t="shared" si="3"/>
        <v>740.80790548666675</v>
      </c>
      <c r="H18" s="294">
        <f t="shared" si="4"/>
        <v>370.40395274333338</v>
      </c>
      <c r="I18" s="303">
        <v>0.6</v>
      </c>
      <c r="J18" s="303"/>
      <c r="K18" s="303">
        <v>0.4</v>
      </c>
      <c r="L18" s="303"/>
      <c r="M18" s="293">
        <f t="shared" si="5"/>
        <v>21557.510049662</v>
      </c>
      <c r="N18" s="293">
        <f t="shared" si="6"/>
        <v>0</v>
      </c>
      <c r="O18" s="293">
        <f t="shared" si="7"/>
        <v>14371.673366441333</v>
      </c>
      <c r="P18" s="293">
        <f t="shared" si="8"/>
        <v>0</v>
      </c>
      <c r="Q18" s="324"/>
    </row>
    <row r="19" spans="1:17" s="271" customFormat="1" ht="15" x14ac:dyDescent="0.2">
      <c r="A19" s="269" t="str">
        <f>Portafolio_PA_Papa!C53</f>
        <v>3. Mejora del desempeño ambiental de la cadena de la papa</v>
      </c>
      <c r="B19" s="270">
        <f>'Estimación por período'!B20</f>
        <v>126323.87837070333</v>
      </c>
      <c r="C19" s="304">
        <f>F19/B19</f>
        <v>0.92142582706487519</v>
      </c>
      <c r="D19" s="304">
        <f>G19/B19</f>
        <v>3.9287086467562474E-2</v>
      </c>
      <c r="E19" s="304">
        <f>H19/B19</f>
        <v>3.9287086467562474E-2</v>
      </c>
      <c r="F19" s="270">
        <f>SUM(F20:F22)</f>
        <v>116398.08410576801</v>
      </c>
      <c r="G19" s="312">
        <f t="shared" ref="G19:H19" si="11">SUM(G20:G22)</f>
        <v>4962.8971324676668</v>
      </c>
      <c r="H19" s="312">
        <f t="shared" si="11"/>
        <v>4962.8971324676668</v>
      </c>
      <c r="I19" s="313">
        <f>M19/F19</f>
        <v>0.64744778653227264</v>
      </c>
      <c r="J19" s="313">
        <f>N19/F19</f>
        <v>0.20512156940193535</v>
      </c>
      <c r="K19" s="313">
        <f>O19/F19</f>
        <v>0.14743064406579198</v>
      </c>
      <c r="L19" s="313">
        <f>P19/F19</f>
        <v>0</v>
      </c>
      <c r="M19" s="312">
        <f>SUM(M20:M22)</f>
        <v>75361.681910876796</v>
      </c>
      <c r="N19" s="312">
        <f t="shared" ref="N19:P19" si="12">SUM(N20:N22)</f>
        <v>23875.7576871536</v>
      </c>
      <c r="O19" s="312">
        <f t="shared" si="12"/>
        <v>17160.644507737601</v>
      </c>
      <c r="P19" s="312">
        <f t="shared" si="12"/>
        <v>0</v>
      </c>
      <c r="Q19" s="324"/>
    </row>
    <row r="20" spans="1:17" s="271" customFormat="1" x14ac:dyDescent="0.2">
      <c r="A20" s="272" t="str">
        <f>Portafolio_PA_Papa!D53</f>
        <v>3.1. Contribución a la gestión del ordenamiento ambiental, fuera de la frontera agrícola</v>
      </c>
      <c r="B20" s="293">
        <f>'Estimación por período'!B21</f>
        <v>14903.521650000001</v>
      </c>
      <c r="C20" s="305">
        <v>0.8</v>
      </c>
      <c r="D20" s="305">
        <v>0.1</v>
      </c>
      <c r="E20" s="305">
        <v>0.1</v>
      </c>
      <c r="F20" s="293">
        <f t="shared" si="2"/>
        <v>11922.817320000002</v>
      </c>
      <c r="G20" s="293">
        <f t="shared" si="3"/>
        <v>1490.3521650000002</v>
      </c>
      <c r="H20" s="293">
        <f t="shared" si="4"/>
        <v>1490.3521650000002</v>
      </c>
      <c r="I20" s="303">
        <v>0.5</v>
      </c>
      <c r="J20" s="303">
        <v>0.25</v>
      </c>
      <c r="K20" s="303">
        <v>0.25</v>
      </c>
      <c r="L20" s="293"/>
      <c r="M20" s="293">
        <f t="shared" si="5"/>
        <v>5961.408660000001</v>
      </c>
      <c r="N20" s="293">
        <f t="shared" si="6"/>
        <v>2980.7043300000005</v>
      </c>
      <c r="O20" s="293">
        <f t="shared" si="7"/>
        <v>2980.7043300000005</v>
      </c>
      <c r="P20" s="293">
        <f t="shared" si="8"/>
        <v>0</v>
      </c>
      <c r="Q20" s="324"/>
    </row>
    <row r="21" spans="1:17" s="271" customFormat="1" x14ac:dyDescent="0.2">
      <c r="A21" s="272" t="str">
        <f>Portafolio_PA_Papa!D56</f>
        <v>3.2. Promoción del manejo eficiente y sostenible del suelo y agua, en el cultivo de papa</v>
      </c>
      <c r="B21" s="293">
        <f>'Estimación por período'!B22</f>
        <v>69949.095618916661</v>
      </c>
      <c r="C21" s="305">
        <v>0.96</v>
      </c>
      <c r="D21" s="305">
        <v>0.02</v>
      </c>
      <c r="E21" s="305">
        <v>0.02</v>
      </c>
      <c r="F21" s="293">
        <f t="shared" si="2"/>
        <v>67151.131794159999</v>
      </c>
      <c r="G21" s="293">
        <f t="shared" si="3"/>
        <v>1398.9819123783332</v>
      </c>
      <c r="H21" s="293">
        <f t="shared" si="4"/>
        <v>1398.9819123783332</v>
      </c>
      <c r="I21" s="303">
        <v>0.7</v>
      </c>
      <c r="J21" s="303">
        <v>0.2</v>
      </c>
      <c r="K21" s="303">
        <v>0.1</v>
      </c>
      <c r="L21" s="293"/>
      <c r="M21" s="293">
        <f t="shared" si="5"/>
        <v>47005.792255911998</v>
      </c>
      <c r="N21" s="293">
        <f t="shared" si="6"/>
        <v>13430.226358832</v>
      </c>
      <c r="O21" s="293">
        <f t="shared" si="7"/>
        <v>6715.1131794160001</v>
      </c>
      <c r="P21" s="293">
        <f t="shared" si="8"/>
        <v>0</v>
      </c>
      <c r="Q21" s="324"/>
    </row>
    <row r="22" spans="1:17" s="271" customFormat="1" ht="28.5" x14ac:dyDescent="0.2">
      <c r="A22" s="272" t="str">
        <f>Portafolio_PA_Papa!D62</f>
        <v>3.3. Aumento en la incorporación de prácticas sostenibles en la comercialización, adecuación y procesamiento de papa y sus derivados</v>
      </c>
      <c r="B22" s="293">
        <f>'Estimación por período'!B23</f>
        <v>41471.261101786666</v>
      </c>
      <c r="C22" s="305">
        <v>0.9</v>
      </c>
      <c r="D22" s="305">
        <v>0.05</v>
      </c>
      <c r="E22" s="305">
        <v>0.05</v>
      </c>
      <c r="F22" s="293">
        <f t="shared" si="2"/>
        <v>37324.134991608</v>
      </c>
      <c r="G22" s="293">
        <f t="shared" si="3"/>
        <v>2073.5630550893334</v>
      </c>
      <c r="H22" s="293">
        <f t="shared" si="4"/>
        <v>2073.5630550893334</v>
      </c>
      <c r="I22" s="303">
        <v>0.6</v>
      </c>
      <c r="J22" s="303">
        <v>0.2</v>
      </c>
      <c r="K22" s="303">
        <v>0.2</v>
      </c>
      <c r="L22" s="293"/>
      <c r="M22" s="293">
        <f t="shared" si="5"/>
        <v>22394.480994964801</v>
      </c>
      <c r="N22" s="293">
        <f t="shared" si="6"/>
        <v>7464.8269983216005</v>
      </c>
      <c r="O22" s="293">
        <f t="shared" si="7"/>
        <v>7464.8269983216005</v>
      </c>
      <c r="P22" s="293">
        <f t="shared" si="8"/>
        <v>0</v>
      </c>
      <c r="Q22" s="324"/>
    </row>
    <row r="23" spans="1:17" s="271" customFormat="1" ht="15" x14ac:dyDescent="0.2">
      <c r="A23" s="269" t="str">
        <f>Portafolio_PA_Papa!C65</f>
        <v xml:space="preserve">4. Contribución al ordenamiento productivo y social de la propiedad rural de la cadena </v>
      </c>
      <c r="B23" s="270">
        <f>'Estimación por período'!B24</f>
        <v>73946.65927733334</v>
      </c>
      <c r="C23" s="304">
        <f>F23/B23</f>
        <v>0.89999999999999991</v>
      </c>
      <c r="D23" s="304">
        <f>G23/B23</f>
        <v>0.1</v>
      </c>
      <c r="E23" s="309">
        <f>H23/B23</f>
        <v>0</v>
      </c>
      <c r="F23" s="270">
        <f>SUM(F24:F25)</f>
        <v>66551.993349600001</v>
      </c>
      <c r="G23" s="312">
        <f t="shared" ref="G23:H23" si="13">SUM(G24:G25)</f>
        <v>7394.6659277333347</v>
      </c>
      <c r="H23" s="312">
        <f t="shared" si="13"/>
        <v>0</v>
      </c>
      <c r="I23" s="313">
        <f>M23/F23</f>
        <v>0.6</v>
      </c>
      <c r="J23" s="313"/>
      <c r="K23" s="313">
        <f>O23/F23</f>
        <v>0.4</v>
      </c>
      <c r="L23" s="313"/>
      <c r="M23" s="312">
        <f>M24+M25</f>
        <v>39931.196009760002</v>
      </c>
      <c r="N23" s="312">
        <f t="shared" ref="N23:P23" si="14">N24+N25</f>
        <v>0</v>
      </c>
      <c r="O23" s="312">
        <f t="shared" si="14"/>
        <v>26620.797339840003</v>
      </c>
      <c r="P23" s="312">
        <f t="shared" si="14"/>
        <v>0</v>
      </c>
      <c r="Q23" s="324"/>
    </row>
    <row r="24" spans="1:17" s="271" customFormat="1" ht="28.5" x14ac:dyDescent="0.2">
      <c r="A24" s="272" t="str">
        <f>Portafolio_PA_Papa!D65</f>
        <v>4.1. Fortalecimiento de la articulación con las políticas de ordenamiento productivo y social de la propiedad rural</v>
      </c>
      <c r="B24" s="293">
        <f>'Estimación por período'!B25</f>
        <v>33771.921232000001</v>
      </c>
      <c r="C24" s="305">
        <v>0.9</v>
      </c>
      <c r="D24" s="305">
        <v>0.1</v>
      </c>
      <c r="E24" s="310"/>
      <c r="F24" s="293">
        <f t="shared" si="2"/>
        <v>30394.729108800002</v>
      </c>
      <c r="G24" s="293">
        <f t="shared" si="3"/>
        <v>3377.1921232000004</v>
      </c>
      <c r="H24" s="293">
        <f t="shared" si="4"/>
        <v>0</v>
      </c>
      <c r="I24" s="303">
        <v>0.6</v>
      </c>
      <c r="J24" s="303"/>
      <c r="K24" s="303">
        <v>0.4</v>
      </c>
      <c r="L24" s="293"/>
      <c r="M24" s="293">
        <f t="shared" si="5"/>
        <v>18236.837465280001</v>
      </c>
      <c r="N24" s="293">
        <f t="shared" si="6"/>
        <v>0</v>
      </c>
      <c r="O24" s="293">
        <f t="shared" si="7"/>
        <v>12157.891643520001</v>
      </c>
      <c r="P24" s="293">
        <f t="shared" si="8"/>
        <v>0</v>
      </c>
      <c r="Q24" s="324"/>
    </row>
    <row r="25" spans="1:17" s="271" customFormat="1" x14ac:dyDescent="0.2">
      <c r="A25" s="272" t="str">
        <f>Portafolio_PA_Papa!D69</f>
        <v>4.2. Promoción del acceso y la seguridad jurídica en la tenencia de la tierra</v>
      </c>
      <c r="B25" s="293">
        <f>'Estimación por período'!B26</f>
        <v>40174.738045333339</v>
      </c>
      <c r="C25" s="305">
        <v>0.9</v>
      </c>
      <c r="D25" s="305">
        <v>0.1</v>
      </c>
      <c r="E25" s="310"/>
      <c r="F25" s="293">
        <f t="shared" si="2"/>
        <v>36157.264240800003</v>
      </c>
      <c r="G25" s="293">
        <f t="shared" si="3"/>
        <v>4017.4738045333343</v>
      </c>
      <c r="H25" s="293">
        <f t="shared" si="4"/>
        <v>0</v>
      </c>
      <c r="I25" s="303">
        <v>0.6</v>
      </c>
      <c r="J25" s="303"/>
      <c r="K25" s="303">
        <v>0.4</v>
      </c>
      <c r="L25" s="293"/>
      <c r="M25" s="293">
        <f t="shared" si="5"/>
        <v>21694.358544480001</v>
      </c>
      <c r="N25" s="293">
        <f t="shared" si="6"/>
        <v>0</v>
      </c>
      <c r="O25" s="293">
        <f t="shared" si="7"/>
        <v>14462.905696320002</v>
      </c>
      <c r="P25" s="293">
        <f t="shared" si="8"/>
        <v>0</v>
      </c>
      <c r="Q25" s="324"/>
    </row>
    <row r="26" spans="1:17" s="271" customFormat="1" ht="15" x14ac:dyDescent="0.2">
      <c r="A26" s="269" t="str">
        <f>Portafolio_PA_Papa!C73</f>
        <v>5. Contribución al mejoramiento del entorno social de la cadena</v>
      </c>
      <c r="B26" s="270">
        <f>'Estimación por período'!B27</f>
        <v>147190.81753866668</v>
      </c>
      <c r="C26" s="304">
        <f>F26/B26</f>
        <v>0.85</v>
      </c>
      <c r="D26" s="304">
        <f>G26/B26</f>
        <v>9.9999999999999992E-2</v>
      </c>
      <c r="E26" s="304">
        <f>H26/B26</f>
        <v>4.9999999999999996E-2</v>
      </c>
      <c r="F26" s="270">
        <f>SUM(F27:F30)</f>
        <v>125112.19490786668</v>
      </c>
      <c r="G26" s="312">
        <f t="shared" ref="G26:H26" si="15">SUM(G27:G30)</f>
        <v>14719.081753866667</v>
      </c>
      <c r="H26" s="312">
        <f t="shared" si="15"/>
        <v>7359.5408769333335</v>
      </c>
      <c r="I26" s="313">
        <f>M26/F26</f>
        <v>0.56028352466259668</v>
      </c>
      <c r="J26" s="313">
        <f>N26/F26</f>
        <v>0</v>
      </c>
      <c r="K26" s="313">
        <f>O26/F26</f>
        <v>0.39999999999999997</v>
      </c>
      <c r="L26" s="313">
        <f>P26/F26</f>
        <v>3.9716475337403176E-2</v>
      </c>
      <c r="M26" s="312">
        <f>SUM(M27:M30)</f>
        <v>70098.301541253328</v>
      </c>
      <c r="N26" s="312">
        <f t="shared" ref="N26:P26" si="16">SUM(N27:N30)</f>
        <v>0</v>
      </c>
      <c r="O26" s="312">
        <f t="shared" si="16"/>
        <v>50044.877963146668</v>
      </c>
      <c r="P26" s="312">
        <f t="shared" si="16"/>
        <v>4969.0154034666666</v>
      </c>
      <c r="Q26" s="324"/>
    </row>
    <row r="27" spans="1:17" s="271" customFormat="1" x14ac:dyDescent="0.2">
      <c r="A27" s="272" t="str">
        <f>Portafolio_PA_Papa!D73</f>
        <v>5.1. Contribución al incremento del nivel educativo de los actores vinculados a la cadena de la papa</v>
      </c>
      <c r="B27" s="293">
        <f>'Estimación por período'!B28</f>
        <v>28602.035706666669</v>
      </c>
      <c r="C27" s="305">
        <v>0.85</v>
      </c>
      <c r="D27" s="305">
        <v>0.1</v>
      </c>
      <c r="E27" s="305">
        <v>0.05</v>
      </c>
      <c r="F27" s="293">
        <f t="shared" si="2"/>
        <v>24311.730350666669</v>
      </c>
      <c r="G27" s="293">
        <f t="shared" si="3"/>
        <v>2860.203570666667</v>
      </c>
      <c r="H27" s="293">
        <f t="shared" si="4"/>
        <v>1430.1017853333335</v>
      </c>
      <c r="I27" s="303">
        <v>0.5</v>
      </c>
      <c r="J27" s="303"/>
      <c r="K27" s="303">
        <v>0.4</v>
      </c>
      <c r="L27" s="303">
        <v>0.1</v>
      </c>
      <c r="M27" s="293">
        <f t="shared" si="5"/>
        <v>12155.865175333334</v>
      </c>
      <c r="N27" s="293">
        <f t="shared" si="6"/>
        <v>0</v>
      </c>
      <c r="O27" s="293">
        <f t="shared" si="7"/>
        <v>9724.6921402666685</v>
      </c>
      <c r="P27" s="293">
        <f t="shared" si="8"/>
        <v>2431.1730350666671</v>
      </c>
      <c r="Q27" s="324"/>
    </row>
    <row r="28" spans="1:17" s="271" customFormat="1" ht="28.5" x14ac:dyDescent="0.2">
      <c r="A28" s="272" t="str">
        <f>Portafolio_PA_Papa!D77</f>
        <v>5.2. Promoción de la atención de las necesidades básicas y complementarias de los actores vinculados a la cadena.</v>
      </c>
      <c r="B28" s="293">
        <f>'Estimación por período'!B29</f>
        <v>29856.96904</v>
      </c>
      <c r="C28" s="305">
        <v>0.85</v>
      </c>
      <c r="D28" s="305">
        <v>0.1</v>
      </c>
      <c r="E28" s="305">
        <v>0.05</v>
      </c>
      <c r="F28" s="293">
        <f t="shared" si="2"/>
        <v>25378.423683999998</v>
      </c>
      <c r="G28" s="293">
        <f t="shared" si="3"/>
        <v>2985.6969040000004</v>
      </c>
      <c r="H28" s="293">
        <f t="shared" si="4"/>
        <v>1492.8484520000002</v>
      </c>
      <c r="I28" s="303">
        <v>0.5</v>
      </c>
      <c r="J28" s="303"/>
      <c r="K28" s="303">
        <v>0.4</v>
      </c>
      <c r="L28" s="303">
        <v>0.1</v>
      </c>
      <c r="M28" s="293">
        <f t="shared" si="5"/>
        <v>12689.211841999999</v>
      </c>
      <c r="N28" s="293">
        <f t="shared" si="6"/>
        <v>0</v>
      </c>
      <c r="O28" s="293">
        <f t="shared" si="7"/>
        <v>10151.3694736</v>
      </c>
      <c r="P28" s="293">
        <f t="shared" si="8"/>
        <v>2537.8423683999999</v>
      </c>
      <c r="Q28" s="324"/>
    </row>
    <row r="29" spans="1:17" s="271" customFormat="1" x14ac:dyDescent="0.2">
      <c r="A29" s="272" t="str">
        <f>Portafolio_PA_Papa!D81</f>
        <v>5.3. Promoción de la formalización empresarial y laboral en la cadena de la papa</v>
      </c>
      <c r="B29" s="293">
        <f>'Estimación por período'!B30</f>
        <v>39836.249040000002</v>
      </c>
      <c r="C29" s="305">
        <v>0.85</v>
      </c>
      <c r="D29" s="305">
        <v>0.1</v>
      </c>
      <c r="E29" s="305">
        <v>0.05</v>
      </c>
      <c r="F29" s="293">
        <f t="shared" si="2"/>
        <v>33860.811684</v>
      </c>
      <c r="G29" s="293">
        <f t="shared" si="3"/>
        <v>3983.6249040000002</v>
      </c>
      <c r="H29" s="293">
        <f t="shared" si="4"/>
        <v>1991.8124520000001</v>
      </c>
      <c r="I29" s="303">
        <v>0.6</v>
      </c>
      <c r="J29" s="303"/>
      <c r="K29" s="303">
        <v>0.4</v>
      </c>
      <c r="L29" s="303"/>
      <c r="M29" s="293">
        <f t="shared" si="5"/>
        <v>20316.4870104</v>
      </c>
      <c r="N29" s="293">
        <f t="shared" si="6"/>
        <v>0</v>
      </c>
      <c r="O29" s="293">
        <f t="shared" si="7"/>
        <v>13544.3246736</v>
      </c>
      <c r="P29" s="293">
        <f t="shared" si="8"/>
        <v>0</v>
      </c>
      <c r="Q29" s="324"/>
    </row>
    <row r="30" spans="1:17" s="271" customFormat="1" x14ac:dyDescent="0.2">
      <c r="A30" s="272" t="str">
        <f>Portafolio_PA_Papa!D84</f>
        <v>5.4. Fomento de esquemas de asociatividad en la cadena</v>
      </c>
      <c r="B30" s="293">
        <f>'Estimación por período'!B31</f>
        <v>48895.563752000002</v>
      </c>
      <c r="C30" s="305">
        <v>0.85</v>
      </c>
      <c r="D30" s="305">
        <v>0.1</v>
      </c>
      <c r="E30" s="305">
        <v>0.05</v>
      </c>
      <c r="F30" s="293">
        <f t="shared" si="2"/>
        <v>41561.229189199999</v>
      </c>
      <c r="G30" s="293">
        <f t="shared" si="3"/>
        <v>4889.5563752000007</v>
      </c>
      <c r="H30" s="293">
        <f t="shared" si="4"/>
        <v>2444.7781876000004</v>
      </c>
      <c r="I30" s="303">
        <v>0.6</v>
      </c>
      <c r="J30" s="303"/>
      <c r="K30" s="303">
        <v>0.4</v>
      </c>
      <c r="L30" s="303"/>
      <c r="M30" s="293">
        <f t="shared" si="5"/>
        <v>24936.737513519998</v>
      </c>
      <c r="N30" s="293">
        <f t="shared" si="6"/>
        <v>0</v>
      </c>
      <c r="O30" s="293">
        <f t="shared" si="7"/>
        <v>16624.491675680001</v>
      </c>
      <c r="P30" s="293">
        <f t="shared" si="8"/>
        <v>0</v>
      </c>
      <c r="Q30" s="324"/>
    </row>
    <row r="31" spans="1:17" s="271" customFormat="1" ht="15" x14ac:dyDescent="0.2">
      <c r="A31" s="269" t="str">
        <f>Portafolio_PA_Papa!C89</f>
        <v>6. Fortalecimiento de la investigación, desarrollo e innovación, en la cadena de la papa</v>
      </c>
      <c r="B31" s="270">
        <f>'Estimación por período'!B32</f>
        <v>84287.592981606678</v>
      </c>
      <c r="C31" s="304">
        <f>F31/B31</f>
        <v>0.90000000000000013</v>
      </c>
      <c r="D31" s="304">
        <f>G31/B31</f>
        <v>0.05</v>
      </c>
      <c r="E31" s="304">
        <f>H31/B31</f>
        <v>0.05</v>
      </c>
      <c r="F31" s="270">
        <f>SUM(F32:F33)</f>
        <v>75858.833683446021</v>
      </c>
      <c r="G31" s="270">
        <f t="shared" ref="G31:H31" si="17">SUM(G32:G33)</f>
        <v>4214.3796490803343</v>
      </c>
      <c r="H31" s="270">
        <f t="shared" si="17"/>
        <v>4214.3796490803343</v>
      </c>
      <c r="I31" s="302">
        <f>M31/F31</f>
        <v>0.54362690852933837</v>
      </c>
      <c r="J31" s="302">
        <f>N31/F31</f>
        <v>0.1409327286766538</v>
      </c>
      <c r="K31" s="302">
        <f>O31/F31</f>
        <v>0.31544036279400772</v>
      </c>
      <c r="L31" s="302">
        <f>P31/F31</f>
        <v>0</v>
      </c>
      <c r="M31" s="270">
        <f>SUM(M32:M33)</f>
        <v>41238.903239973006</v>
      </c>
      <c r="N31" s="270">
        <f t="shared" ref="N31:P31" si="18">SUM(N32:N33)</f>
        <v>10690.992425236504</v>
      </c>
      <c r="O31" s="270">
        <f t="shared" si="18"/>
        <v>23928.938018236506</v>
      </c>
      <c r="P31" s="270">
        <f t="shared" si="18"/>
        <v>0</v>
      </c>
      <c r="Q31" s="324"/>
    </row>
    <row r="32" spans="1:17" s="271" customFormat="1" x14ac:dyDescent="0.2">
      <c r="A32" s="272" t="str">
        <f>Portafolio_PA_Papa!D89</f>
        <v>6.1. Impulso a los procesos de I+D+i y de extensión agrícola e industrial, para la cadena</v>
      </c>
      <c r="B32" s="293">
        <f>'Estimación por período'!B33</f>
        <v>47515.521889940013</v>
      </c>
      <c r="C32" s="305">
        <v>0.9</v>
      </c>
      <c r="D32" s="305">
        <v>0.05</v>
      </c>
      <c r="E32" s="305">
        <v>0.05</v>
      </c>
      <c r="F32" s="293">
        <f t="shared" si="2"/>
        <v>42763.969700946014</v>
      </c>
      <c r="G32" s="293">
        <f t="shared" si="3"/>
        <v>2375.7760944970009</v>
      </c>
      <c r="H32" s="293">
        <f t="shared" si="4"/>
        <v>2375.7760944970009</v>
      </c>
      <c r="I32" s="303">
        <v>0.5</v>
      </c>
      <c r="J32" s="303">
        <v>0.25</v>
      </c>
      <c r="K32" s="303">
        <v>0.25</v>
      </c>
      <c r="L32" s="303"/>
      <c r="M32" s="293">
        <f t="shared" si="5"/>
        <v>21381.984850473007</v>
      </c>
      <c r="N32" s="293">
        <f t="shared" si="6"/>
        <v>10690.992425236504</v>
      </c>
      <c r="O32" s="293">
        <f t="shared" si="7"/>
        <v>10690.992425236504</v>
      </c>
      <c r="P32" s="293">
        <f t="shared" si="8"/>
        <v>0</v>
      </c>
      <c r="Q32" s="324"/>
    </row>
    <row r="33" spans="1:17" s="271" customFormat="1" x14ac:dyDescent="0.2">
      <c r="A33" s="272" t="str">
        <f>Portafolio_PA_Papa!D98</f>
        <v>6.2. Fortalecimiento del talento humano en I+D+i, y en extensionismo agrícola e industrial</v>
      </c>
      <c r="B33" s="293">
        <f>'Estimación por período'!B34</f>
        <v>36772.071091666665</v>
      </c>
      <c r="C33" s="305">
        <v>0.9</v>
      </c>
      <c r="D33" s="305">
        <v>0.05</v>
      </c>
      <c r="E33" s="305">
        <v>0.05</v>
      </c>
      <c r="F33" s="293">
        <f t="shared" si="2"/>
        <v>33094.863982499999</v>
      </c>
      <c r="G33" s="293">
        <f t="shared" si="3"/>
        <v>1838.6035545833333</v>
      </c>
      <c r="H33" s="293">
        <f t="shared" si="4"/>
        <v>1838.6035545833333</v>
      </c>
      <c r="I33" s="303">
        <v>0.6</v>
      </c>
      <c r="J33" s="303"/>
      <c r="K33" s="303">
        <v>0.4</v>
      </c>
      <c r="L33" s="303"/>
      <c r="M33" s="293">
        <f t="shared" si="5"/>
        <v>19856.918389499999</v>
      </c>
      <c r="N33" s="293">
        <f t="shared" si="6"/>
        <v>0</v>
      </c>
      <c r="O33" s="293">
        <f t="shared" si="7"/>
        <v>13237.945593</v>
      </c>
      <c r="P33" s="293">
        <f t="shared" si="8"/>
        <v>0</v>
      </c>
      <c r="Q33" s="324"/>
    </row>
    <row r="34" spans="1:17" s="271" customFormat="1" ht="15" x14ac:dyDescent="0.2">
      <c r="A34" s="269" t="str">
        <f>Portafolio_PA_Papa!C104</f>
        <v>7. Mejora de la gestión institucional en la sanidad y calidad de la papa y sus derivados</v>
      </c>
      <c r="B34" s="270">
        <f>'Estimación por período'!B35</f>
        <v>11510.957358166666</v>
      </c>
      <c r="C34" s="304">
        <f>F34/B34</f>
        <v>0.90718192980922485</v>
      </c>
      <c r="D34" s="304">
        <f>G34/B34</f>
        <v>9.2818070190775162E-2</v>
      </c>
      <c r="E34" s="309">
        <f>H34/B34</f>
        <v>0</v>
      </c>
      <c r="F34" s="270">
        <f>SUM(F35:F37)</f>
        <v>10442.532510133333</v>
      </c>
      <c r="G34" s="270">
        <f t="shared" ref="G34:H34" si="19">SUM(G35:G37)</f>
        <v>1068.4248480333335</v>
      </c>
      <c r="H34" s="270">
        <f t="shared" si="19"/>
        <v>0</v>
      </c>
      <c r="I34" s="302">
        <f>M34/F34</f>
        <v>0.90536769504769143</v>
      </c>
      <c r="J34" s="302">
        <f>N34/F34</f>
        <v>0</v>
      </c>
      <c r="K34" s="302">
        <f>O34/F34</f>
        <v>9.4632304952308524E-2</v>
      </c>
      <c r="L34" s="302">
        <f>P34/F34</f>
        <v>0</v>
      </c>
      <c r="M34" s="270">
        <f>SUM(M35:M37)</f>
        <v>9454.3315891599996</v>
      </c>
      <c r="N34" s="270">
        <f t="shared" ref="N34:P34" si="20">SUM(N35:N37)</f>
        <v>0</v>
      </c>
      <c r="O34" s="270">
        <f>SUM(O35:O37)</f>
        <v>988.20092097333338</v>
      </c>
      <c r="P34" s="270">
        <f t="shared" si="20"/>
        <v>0</v>
      </c>
      <c r="Q34" s="324"/>
    </row>
    <row r="35" spans="1:17" s="271" customFormat="1" x14ac:dyDescent="0.2">
      <c r="A35" s="272" t="str">
        <f>Portafolio_PA_Papa!D104</f>
        <v>7.1. Fortalecimiento del Sistema de Inspección, Vigilancia y Control a lo largo de la cadena</v>
      </c>
      <c r="B35" s="293">
        <f>'Estimación por período'!B36</f>
        <v>6314.1607103333326</v>
      </c>
      <c r="C35" s="305">
        <v>0.95</v>
      </c>
      <c r="D35" s="305">
        <v>0.05</v>
      </c>
      <c r="E35" s="310"/>
      <c r="F35" s="293">
        <f>B35*C35</f>
        <v>5998.4526748166654</v>
      </c>
      <c r="G35" s="293">
        <f>B35*D35</f>
        <v>315.70803551666665</v>
      </c>
      <c r="H35" s="293">
        <f t="shared" si="4"/>
        <v>0</v>
      </c>
      <c r="I35" s="303">
        <v>0.95</v>
      </c>
      <c r="J35" s="303"/>
      <c r="K35" s="303">
        <v>0.05</v>
      </c>
      <c r="L35" s="293"/>
      <c r="M35" s="293">
        <f>F35*I35</f>
        <v>5698.5300410758318</v>
      </c>
      <c r="N35" s="293">
        <f t="shared" si="6"/>
        <v>0</v>
      </c>
      <c r="O35" s="293">
        <f>F35*K35</f>
        <v>299.92263374083331</v>
      </c>
      <c r="P35" s="293">
        <f t="shared" si="8"/>
        <v>0</v>
      </c>
      <c r="Q35" s="324"/>
    </row>
    <row r="36" spans="1:17" s="271" customFormat="1" x14ac:dyDescent="0.2">
      <c r="A36" s="272" t="str">
        <f>Portafolio_PA_Papa!D112</f>
        <v>7.2. Revisión y actualización de la normatividad de la cadena</v>
      </c>
      <c r="B36" s="293">
        <f>'Estimación por período'!B37</f>
        <v>2330.3714773333336</v>
      </c>
      <c r="C36" s="305">
        <v>0.8</v>
      </c>
      <c r="D36" s="305">
        <v>0.2</v>
      </c>
      <c r="E36" s="310"/>
      <c r="F36" s="293">
        <f>B36*C36</f>
        <v>1864.297181866667</v>
      </c>
      <c r="G36" s="293">
        <f t="shared" ref="G36:G37" si="21">B36*D36</f>
        <v>466.07429546666674</v>
      </c>
      <c r="H36" s="293">
        <f t="shared" si="4"/>
        <v>0</v>
      </c>
      <c r="I36" s="303">
        <v>0.7</v>
      </c>
      <c r="J36" s="303"/>
      <c r="K36" s="303">
        <v>0.3</v>
      </c>
      <c r="L36" s="293"/>
      <c r="M36" s="293">
        <f>F36*I36</f>
        <v>1305.0080273066667</v>
      </c>
      <c r="N36" s="293">
        <f t="shared" si="6"/>
        <v>0</v>
      </c>
      <c r="O36" s="293">
        <f>F36*K36</f>
        <v>559.28915456000004</v>
      </c>
      <c r="P36" s="293">
        <f t="shared" si="8"/>
        <v>0</v>
      </c>
      <c r="Q36" s="324"/>
    </row>
    <row r="37" spans="1:17" s="271" customFormat="1" x14ac:dyDescent="0.2">
      <c r="A37" s="272" t="str">
        <f>Portafolio_PA_Papa!D116</f>
        <v>7.3. Mejora de la admisibilidad sanitaria y las medidas de defensa comercial para la cadena</v>
      </c>
      <c r="B37" s="293">
        <f>'Estimación por período'!B38</f>
        <v>2866.4251705000001</v>
      </c>
      <c r="C37" s="305">
        <v>0.9</v>
      </c>
      <c r="D37" s="305">
        <v>0.1</v>
      </c>
      <c r="E37" s="310"/>
      <c r="F37" s="293">
        <f>B37*C37</f>
        <v>2579.78265345</v>
      </c>
      <c r="G37" s="293">
        <f t="shared" si="21"/>
        <v>286.64251705000004</v>
      </c>
      <c r="H37" s="293">
        <f t="shared" si="4"/>
        <v>0</v>
      </c>
      <c r="I37" s="303">
        <v>0.95</v>
      </c>
      <c r="J37" s="303"/>
      <c r="K37" s="303">
        <v>0.05</v>
      </c>
      <c r="L37" s="293"/>
      <c r="M37" s="293">
        <f>F37*I37</f>
        <v>2450.7935207774999</v>
      </c>
      <c r="N37" s="293">
        <f t="shared" si="6"/>
        <v>0</v>
      </c>
      <c r="O37" s="293">
        <f>F37*K37</f>
        <v>128.98913267250001</v>
      </c>
      <c r="P37" s="293">
        <f t="shared" si="8"/>
        <v>0</v>
      </c>
      <c r="Q37" s="324"/>
    </row>
    <row r="38" spans="1:17" s="271" customFormat="1" ht="15" x14ac:dyDescent="0.2">
      <c r="A38" s="269" t="str">
        <f>Portafolio_PA_Papa!C119</f>
        <v>8. Articulación de los agentes de la cadena</v>
      </c>
      <c r="B38" s="270">
        <f>'Estimación por período'!B39</f>
        <v>10242.722231666667</v>
      </c>
      <c r="C38" s="304">
        <f>F38/B38</f>
        <v>0.77982203381821358</v>
      </c>
      <c r="D38" s="304">
        <f>G38/B38</f>
        <v>0.17614263424250148</v>
      </c>
      <c r="E38" s="304">
        <f>H38/B38</f>
        <v>4.4035331939284772E-2</v>
      </c>
      <c r="F38" s="270">
        <f>SUM(F39:F42)</f>
        <v>7987.5004825333317</v>
      </c>
      <c r="G38" s="270">
        <f t="shared" ref="G38:H38" si="22">SUM(G39:G42)</f>
        <v>1804.1800757000001</v>
      </c>
      <c r="H38" s="270">
        <f t="shared" si="22"/>
        <v>451.04167343333336</v>
      </c>
      <c r="I38" s="302">
        <f>M38/F38</f>
        <v>0.66370907066018792</v>
      </c>
      <c r="J38" s="302">
        <f>N38/F38</f>
        <v>0</v>
      </c>
      <c r="K38" s="302">
        <f>O38/F38</f>
        <v>0.33629092933981225</v>
      </c>
      <c r="L38" s="302">
        <f>P38/F38</f>
        <v>0</v>
      </c>
      <c r="M38" s="270">
        <f>SUM(M39:M42)</f>
        <v>5301.3765221599997</v>
      </c>
      <c r="N38" s="270">
        <f t="shared" ref="N38:P38" si="23">SUM(N39:N42)</f>
        <v>0</v>
      </c>
      <c r="O38" s="270">
        <f t="shared" si="23"/>
        <v>2686.1239603733329</v>
      </c>
      <c r="P38" s="270">
        <f t="shared" si="23"/>
        <v>0</v>
      </c>
      <c r="Q38" s="324"/>
    </row>
    <row r="39" spans="1:17" s="271" customFormat="1" x14ac:dyDescent="0.2">
      <c r="A39" s="272" t="str">
        <f>Portafolio_PA_Papa!D119</f>
        <v>8.1. Adopción, promoción y monitoreo de la política pública para la cadena de la papa</v>
      </c>
      <c r="B39" s="293">
        <f>'Estimación por período'!B40</f>
        <v>1909.832228</v>
      </c>
      <c r="C39" s="305">
        <v>0.9</v>
      </c>
      <c r="D39" s="305">
        <v>0.1</v>
      </c>
      <c r="E39" s="310"/>
      <c r="F39" s="293">
        <f t="shared" si="2"/>
        <v>1718.8490052</v>
      </c>
      <c r="G39" s="293">
        <f t="shared" si="3"/>
        <v>190.98322280000002</v>
      </c>
      <c r="H39" s="293">
        <f t="shared" si="4"/>
        <v>0</v>
      </c>
      <c r="I39" s="303">
        <v>0.8</v>
      </c>
      <c r="J39" s="303"/>
      <c r="K39" s="303">
        <v>0.2</v>
      </c>
      <c r="L39" s="293"/>
      <c r="M39" s="293">
        <f t="shared" si="5"/>
        <v>1375.07920416</v>
      </c>
      <c r="N39" s="293">
        <f t="shared" si="6"/>
        <v>0</v>
      </c>
      <c r="O39" s="293">
        <f t="shared" si="7"/>
        <v>343.76980104</v>
      </c>
      <c r="P39" s="293">
        <f t="shared" si="8"/>
        <v>0</v>
      </c>
      <c r="Q39" s="324"/>
    </row>
    <row r="40" spans="1:17" s="271" customFormat="1" x14ac:dyDescent="0.2">
      <c r="A40" s="272" t="str">
        <f>Portafolio_PA_Papa!D124</f>
        <v>8.2. Fortalecimiento de la Organización de Cadena de la papa</v>
      </c>
      <c r="B40" s="293">
        <f>'Estimación por período'!B41</f>
        <v>7336.6825653333326</v>
      </c>
      <c r="C40" s="305">
        <v>0.75</v>
      </c>
      <c r="D40" s="305">
        <v>0.2</v>
      </c>
      <c r="E40" s="305">
        <v>0.05</v>
      </c>
      <c r="F40" s="293">
        <f t="shared" si="2"/>
        <v>5502.5119239999995</v>
      </c>
      <c r="G40" s="293">
        <f t="shared" si="3"/>
        <v>1467.3365130666666</v>
      </c>
      <c r="H40" s="293">
        <f t="shared" si="4"/>
        <v>366.83412826666665</v>
      </c>
      <c r="I40" s="303">
        <v>0.6</v>
      </c>
      <c r="J40" s="303"/>
      <c r="K40" s="303">
        <v>0.4</v>
      </c>
      <c r="L40" s="293"/>
      <c r="M40" s="293">
        <f t="shared" si="5"/>
        <v>3301.5071543999998</v>
      </c>
      <c r="N40" s="293">
        <f t="shared" si="6"/>
        <v>0</v>
      </c>
      <c r="O40" s="293">
        <f t="shared" si="7"/>
        <v>2201.0047695999997</v>
      </c>
      <c r="P40" s="293">
        <f t="shared" si="8"/>
        <v>0</v>
      </c>
      <c r="Q40" s="324"/>
    </row>
    <row r="41" spans="1:17" s="271" customFormat="1" x14ac:dyDescent="0.2">
      <c r="A41" s="272" t="str">
        <f>Portafolio_PA_Papa!D127</f>
        <v>8.3. Desarrollo de un Sistema integral de información para la cadena de la papa</v>
      </c>
      <c r="B41" s="293">
        <f>'Estimación por período'!B42</f>
        <v>308.2639733333333</v>
      </c>
      <c r="C41" s="305">
        <v>0.7</v>
      </c>
      <c r="D41" s="305">
        <v>0.25</v>
      </c>
      <c r="E41" s="305">
        <v>0.05</v>
      </c>
      <c r="F41" s="293">
        <f t="shared" si="2"/>
        <v>215.78478133333329</v>
      </c>
      <c r="G41" s="293">
        <f t="shared" si="3"/>
        <v>77.065993333333324</v>
      </c>
      <c r="H41" s="293">
        <f t="shared" si="4"/>
        <v>15.413198666666666</v>
      </c>
      <c r="I41" s="303">
        <v>0.6</v>
      </c>
      <c r="J41" s="303"/>
      <c r="K41" s="303">
        <v>0.4</v>
      </c>
      <c r="L41" s="293"/>
      <c r="M41" s="293">
        <f t="shared" si="5"/>
        <v>129.47086879999998</v>
      </c>
      <c r="N41" s="293">
        <f t="shared" si="6"/>
        <v>0</v>
      </c>
      <c r="O41" s="293">
        <f t="shared" si="7"/>
        <v>86.313912533333323</v>
      </c>
      <c r="P41" s="293">
        <f t="shared" si="8"/>
        <v>0</v>
      </c>
      <c r="Q41" s="324"/>
    </row>
    <row r="42" spans="1:17" s="271" customFormat="1" ht="28.5" x14ac:dyDescent="0.2">
      <c r="A42" s="274" t="str">
        <f>Portafolio_PA_Papa!D131</f>
        <v>8.4. Fortalecimiento y creación de instrumentos de financiamiento, comercialización, gestión de riesgos y empresarización para la cadena de la papa</v>
      </c>
      <c r="B42" s="295">
        <f>'Estimación por período'!B43</f>
        <v>687.94346499999995</v>
      </c>
      <c r="C42" s="307">
        <v>0.8</v>
      </c>
      <c r="D42" s="307">
        <v>0.1</v>
      </c>
      <c r="E42" s="305">
        <v>0.1</v>
      </c>
      <c r="F42" s="295">
        <f t="shared" si="2"/>
        <v>550.35477200000003</v>
      </c>
      <c r="G42" s="295">
        <f t="shared" si="3"/>
        <v>68.794346500000003</v>
      </c>
      <c r="H42" s="295">
        <f t="shared" si="4"/>
        <v>68.794346500000003</v>
      </c>
      <c r="I42" s="303">
        <v>0.9</v>
      </c>
      <c r="J42" s="303"/>
      <c r="K42" s="303">
        <v>0.1</v>
      </c>
      <c r="L42" s="295"/>
      <c r="M42" s="293">
        <f t="shared" si="5"/>
        <v>495.31929480000002</v>
      </c>
      <c r="N42" s="293">
        <f t="shared" si="6"/>
        <v>0</v>
      </c>
      <c r="O42" s="293">
        <f t="shared" si="7"/>
        <v>55.035477200000003</v>
      </c>
      <c r="P42" s="293">
        <f t="shared" si="8"/>
        <v>0</v>
      </c>
      <c r="Q42" s="324"/>
    </row>
    <row r="43" spans="1:17" s="277" customFormat="1" ht="15.75" x14ac:dyDescent="0.2">
      <c r="A43" s="275" t="s">
        <v>477</v>
      </c>
      <c r="B43" s="276">
        <f>'Estimación por período'!B44</f>
        <v>1138203.3043563194</v>
      </c>
      <c r="C43" s="551">
        <f>F43/B43</f>
        <v>0.92252539490343932</v>
      </c>
      <c r="D43" s="551">
        <f>G43/B43</f>
        <v>5.7679416427000606E-2</v>
      </c>
      <c r="E43" s="551">
        <f>H43/B43</f>
        <v>1.9795188669559871E-2</v>
      </c>
      <c r="F43" s="276">
        <f>F8+F12+F19+F23+F26+F31+F34+F38</f>
        <v>1050021.452831713</v>
      </c>
      <c r="G43" s="276">
        <f t="shared" ref="G43:P43" si="24">G8+G12+G19+G23+G26+G31+G34+G38</f>
        <v>65650.902370556258</v>
      </c>
      <c r="H43" s="276">
        <f t="shared" si="24"/>
        <v>22530.94915404982</v>
      </c>
      <c r="I43" s="315">
        <f>M43/F43</f>
        <v>0.65176838088791034</v>
      </c>
      <c r="J43" s="315">
        <f>N43/F43</f>
        <v>3.292004179454619E-2</v>
      </c>
      <c r="K43" s="315">
        <f>O43/F43</f>
        <v>0.30843394102696242</v>
      </c>
      <c r="L43" s="315">
        <f>P43/F43</f>
        <v>6.8776362905810396E-3</v>
      </c>
      <c r="M43" s="276">
        <f t="shared" si="24"/>
        <v>684370.78220969695</v>
      </c>
      <c r="N43" s="276">
        <f t="shared" si="24"/>
        <v>34566.750112390102</v>
      </c>
      <c r="O43" s="276">
        <f t="shared" si="24"/>
        <v>323862.25485974195</v>
      </c>
      <c r="P43" s="276">
        <f t="shared" si="24"/>
        <v>7221.6656498840166</v>
      </c>
      <c r="Q43" s="324"/>
    </row>
    <row r="44" spans="1:17" s="278" customFormat="1" x14ac:dyDescent="0.2">
      <c r="A44" s="281"/>
      <c r="B44" s="281"/>
      <c r="C44" s="281"/>
      <c r="D44" s="281"/>
      <c r="E44" s="311"/>
      <c r="F44" s="114"/>
      <c r="G44" s="114"/>
      <c r="H44" s="114"/>
      <c r="I44" s="114"/>
      <c r="J44" s="114"/>
      <c r="K44" s="114"/>
      <c r="L44" s="114"/>
      <c r="Q44" s="314"/>
    </row>
    <row r="45" spans="1:17" x14ac:dyDescent="0.2">
      <c r="B45" s="281"/>
      <c r="C45" s="281"/>
      <c r="D45" s="281"/>
      <c r="E45" s="311"/>
      <c r="F45" s="114"/>
    </row>
    <row r="46" spans="1:17" x14ac:dyDescent="0.2">
      <c r="F46" s="114"/>
    </row>
    <row r="47" spans="1:17" x14ac:dyDescent="0.2">
      <c r="D47" s="550"/>
      <c r="F47" s="114"/>
    </row>
  </sheetData>
  <sheetProtection algorithmName="SHA-512" hashValue="6uJcjI6B+jYIssBQ2h/Gh2HBdkfwp2CYCf6Zafe3R37J75Uum/i7aV2zGxIoh+IFw0dQ+4UeUnLHGCf7AXaVkg==" saltValue="j2+BXWcnbc2J7Enn63OaMw==" spinCount="100000" sheet="1" objects="1" scenarios="1"/>
  <mergeCells count="2">
    <mergeCell ref="A1:P1"/>
    <mergeCell ref="A2:P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0"/>
  <sheetViews>
    <sheetView showGridLines="0" zoomScale="60" zoomScaleNormal="60" workbookViewId="0">
      <selection activeCell="B2" sqref="B2"/>
    </sheetView>
  </sheetViews>
  <sheetFormatPr baseColWidth="10" defaultColWidth="10.7109375" defaultRowHeight="14.25" x14ac:dyDescent="0.2"/>
  <cols>
    <col min="1" max="1" width="13.42578125" style="2" customWidth="1"/>
    <col min="2" max="2" width="89.85546875" style="2" customWidth="1"/>
    <col min="3" max="3" width="34.85546875" style="2" customWidth="1"/>
    <col min="4" max="4" width="27.140625" style="2" customWidth="1"/>
    <col min="5" max="5" width="22.42578125" style="2" customWidth="1"/>
    <col min="6" max="6" width="19.7109375" style="2" customWidth="1"/>
    <col min="7" max="7" width="19.7109375" style="2" bestFit="1" customWidth="1"/>
    <col min="8" max="8" width="21.42578125" style="2" customWidth="1"/>
    <col min="9" max="11" width="19.7109375" style="2" bestFit="1" customWidth="1"/>
    <col min="12" max="12" width="19.140625" style="2" bestFit="1" customWidth="1"/>
    <col min="13" max="22" width="19.7109375" style="2" bestFit="1" customWidth="1"/>
    <col min="23" max="23" width="20.42578125" style="2" bestFit="1" customWidth="1"/>
    <col min="24" max="24" width="25.42578125" style="2" customWidth="1"/>
    <col min="25" max="25" width="22.28515625" style="2" bestFit="1" customWidth="1"/>
    <col min="26" max="26" width="19.140625" style="2" bestFit="1" customWidth="1"/>
    <col min="27" max="27" width="17" style="2" bestFit="1" customWidth="1"/>
    <col min="28" max="28" width="17.85546875" style="2" customWidth="1"/>
    <col min="29" max="16384" width="10.7109375" style="2"/>
  </cols>
  <sheetData>
    <row r="2" spans="1:26" ht="15" x14ac:dyDescent="0.25">
      <c r="A2" s="1" t="s">
        <v>0</v>
      </c>
    </row>
    <row r="3" spans="1:26" s="4" customFormat="1" ht="15" x14ac:dyDescent="0.25">
      <c r="A3" s="3"/>
    </row>
    <row r="4" spans="1:26" ht="21.6" customHeight="1" x14ac:dyDescent="0.25">
      <c r="A4" s="5"/>
      <c r="B4" s="6" t="str">
        <f>Portafolio_PA_Papa!C2</f>
        <v>1. Incremento del consumo y mejora de la comercialización de la papa</v>
      </c>
      <c r="C4" s="7"/>
      <c r="D4" s="8"/>
    </row>
    <row r="5" spans="1:26" ht="26.1" customHeight="1" x14ac:dyDescent="0.2"/>
    <row r="6" spans="1:26" ht="15" x14ac:dyDescent="0.25">
      <c r="E6" s="9">
        <v>1</v>
      </c>
      <c r="F6" s="9">
        <v>2</v>
      </c>
      <c r="G6" s="9">
        <v>3</v>
      </c>
      <c r="H6" s="9">
        <v>4</v>
      </c>
      <c r="I6" s="9">
        <v>5</v>
      </c>
      <c r="J6" s="9">
        <v>6</v>
      </c>
      <c r="K6" s="9">
        <v>7</v>
      </c>
      <c r="L6" s="9">
        <v>8</v>
      </c>
      <c r="M6" s="9">
        <v>9</v>
      </c>
      <c r="N6" s="9">
        <v>10</v>
      </c>
      <c r="O6" s="9">
        <v>11</v>
      </c>
      <c r="P6" s="9">
        <v>12</v>
      </c>
      <c r="Q6" s="9">
        <v>13</v>
      </c>
      <c r="R6" s="9">
        <v>14</v>
      </c>
      <c r="S6" s="9">
        <v>15</v>
      </c>
      <c r="T6" s="9">
        <v>16</v>
      </c>
      <c r="U6" s="9">
        <v>17</v>
      </c>
      <c r="V6" s="9">
        <v>18</v>
      </c>
      <c r="W6" s="9">
        <v>19</v>
      </c>
      <c r="X6" s="9">
        <v>20</v>
      </c>
      <c r="Y6" s="9" t="s">
        <v>1</v>
      </c>
    </row>
    <row r="7" spans="1:26" s="13" customFormat="1" ht="15" x14ac:dyDescent="0.25">
      <c r="A7" s="2"/>
      <c r="B7" s="10" t="s">
        <v>2</v>
      </c>
      <c r="C7" s="11" t="s">
        <v>3</v>
      </c>
      <c r="D7" s="11" t="s">
        <v>4</v>
      </c>
      <c r="E7" s="12">
        <f>SUM(E8:E10)</f>
        <v>2308315656.3889999</v>
      </c>
      <c r="F7" s="12">
        <f t="shared" ref="F7:X7" si="0">SUM(F8:F10)</f>
        <v>7137703755.1029997</v>
      </c>
      <c r="G7" s="12">
        <f t="shared" si="0"/>
        <v>7137703755.1029997</v>
      </c>
      <c r="H7" s="12">
        <f t="shared" si="0"/>
        <v>7137703755.1029997</v>
      </c>
      <c r="I7" s="12">
        <f t="shared" si="0"/>
        <v>15617703755.102997</v>
      </c>
      <c r="J7" s="12">
        <f t="shared" si="0"/>
        <v>15617703755.102997</v>
      </c>
      <c r="K7" s="12">
        <f t="shared" si="0"/>
        <v>15617703755.102997</v>
      </c>
      <c r="L7" s="12">
        <f t="shared" si="0"/>
        <v>15617703755.102997</v>
      </c>
      <c r="M7" s="12">
        <f t="shared" si="0"/>
        <v>15617703755.102997</v>
      </c>
      <c r="N7" s="12">
        <f t="shared" si="0"/>
        <v>15617703755.102997</v>
      </c>
      <c r="O7" s="12">
        <f t="shared" si="0"/>
        <v>15617703755.102997</v>
      </c>
      <c r="P7" s="12">
        <f t="shared" si="0"/>
        <v>15404946969.166998</v>
      </c>
      <c r="Q7" s="12">
        <f t="shared" si="0"/>
        <v>6924946969.1669998</v>
      </c>
      <c r="R7" s="12">
        <f t="shared" si="0"/>
        <v>6924946969.1669998</v>
      </c>
      <c r="S7" s="12">
        <f t="shared" si="0"/>
        <v>6924946969.1669998</v>
      </c>
      <c r="T7" s="12">
        <f t="shared" si="0"/>
        <v>6924946969.1669998</v>
      </c>
      <c r="U7" s="12">
        <f t="shared" si="0"/>
        <v>6924946969.1669998</v>
      </c>
      <c r="V7" s="12">
        <f t="shared" si="0"/>
        <v>6924946969.1669998</v>
      </c>
      <c r="W7" s="12">
        <f t="shared" si="0"/>
        <v>6924946969.1669998</v>
      </c>
      <c r="X7" s="12">
        <f t="shared" si="0"/>
        <v>6924946969.1669998</v>
      </c>
      <c r="Y7" s="12">
        <f>SUM(Y8:Y10)</f>
        <v>203849875929.92197</v>
      </c>
    </row>
    <row r="8" spans="1:26" s="221" customFormat="1" x14ac:dyDescent="0.25">
      <c r="B8" s="538" t="str">
        <f>Portafolio_PA_Papa!D2</f>
        <v>1.1. Incremento del consumo interno de papa y sus derivados</v>
      </c>
      <c r="C8" s="222" t="s">
        <v>492</v>
      </c>
      <c r="D8" s="222" t="s">
        <v>493</v>
      </c>
      <c r="E8" s="222">
        <f>I56*4</f>
        <v>1031744204.8213333</v>
      </c>
      <c r="F8" s="222">
        <f>H57</f>
        <v>3171232614.4639997</v>
      </c>
      <c r="G8" s="222">
        <f t="shared" ref="G8:I9" si="1">F8</f>
        <v>3171232614.4639997</v>
      </c>
      <c r="H8" s="222">
        <f t="shared" si="1"/>
        <v>3171232614.4639997</v>
      </c>
      <c r="I8" s="222">
        <f t="shared" si="1"/>
        <v>3171232614.4639997</v>
      </c>
      <c r="J8" s="222">
        <f>H57</f>
        <v>3171232614.4639997</v>
      </c>
      <c r="K8" s="222">
        <f>H57</f>
        <v>3171232614.4639997</v>
      </c>
      <c r="L8" s="222">
        <f t="shared" ref="K8:N9" si="2">K8</f>
        <v>3171232614.4639997</v>
      </c>
      <c r="M8" s="222">
        <f t="shared" si="2"/>
        <v>3171232614.4639997</v>
      </c>
      <c r="N8" s="222">
        <f t="shared" si="2"/>
        <v>3171232614.4639997</v>
      </c>
      <c r="O8" s="222">
        <f>H8</f>
        <v>3171232614.4639997</v>
      </c>
      <c r="P8" s="222">
        <f>H56</f>
        <v>3095232614.4639997</v>
      </c>
      <c r="Q8" s="222">
        <f t="shared" ref="Q8:S9" si="3">P8</f>
        <v>3095232614.4639997</v>
      </c>
      <c r="R8" s="222">
        <f t="shared" si="3"/>
        <v>3095232614.4639997</v>
      </c>
      <c r="S8" s="222">
        <f t="shared" si="3"/>
        <v>3095232614.4639997</v>
      </c>
      <c r="T8" s="222">
        <f t="shared" ref="T8:X9" si="4">S8</f>
        <v>3095232614.4639997</v>
      </c>
      <c r="U8" s="222">
        <f t="shared" si="4"/>
        <v>3095232614.4639997</v>
      </c>
      <c r="V8" s="222">
        <f t="shared" si="4"/>
        <v>3095232614.4639997</v>
      </c>
      <c r="W8" s="222">
        <f t="shared" si="4"/>
        <v>3095232614.4639997</v>
      </c>
      <c r="X8" s="222">
        <f t="shared" si="4"/>
        <v>3095232614.4639997</v>
      </c>
      <c r="Y8" s="222">
        <f>SUM(E8:X8)</f>
        <v>60601163879.637314</v>
      </c>
    </row>
    <row r="9" spans="1:26" s="221" customFormat="1" x14ac:dyDescent="0.25">
      <c r="B9" s="538" t="str">
        <f>Portafolio_PA_Papa!D7</f>
        <v>1.2. Incursión y posicionamiento de la papa colombiana y sus derivados, en el mercado internacional</v>
      </c>
      <c r="C9" s="222" t="s">
        <v>492</v>
      </c>
      <c r="D9" s="222" t="s">
        <v>493</v>
      </c>
      <c r="E9" s="222">
        <f>I95*4</f>
        <v>433348271.47500008</v>
      </c>
      <c r="F9" s="222">
        <f>H97</f>
        <v>1436801600.3610001</v>
      </c>
      <c r="G9" s="222">
        <f t="shared" si="1"/>
        <v>1436801600.3610001</v>
      </c>
      <c r="H9" s="222">
        <f t="shared" si="1"/>
        <v>1436801600.3610001</v>
      </c>
      <c r="I9" s="222">
        <f t="shared" si="1"/>
        <v>1436801600.3610001</v>
      </c>
      <c r="J9" s="222">
        <f>I9</f>
        <v>1436801600.3610001</v>
      </c>
      <c r="K9" s="222">
        <f t="shared" si="2"/>
        <v>1436801600.3610001</v>
      </c>
      <c r="L9" s="222">
        <f t="shared" si="2"/>
        <v>1436801600.3610001</v>
      </c>
      <c r="M9" s="222">
        <f t="shared" si="2"/>
        <v>1436801600.3610001</v>
      </c>
      <c r="N9" s="222">
        <f t="shared" si="2"/>
        <v>1436801600.3610001</v>
      </c>
      <c r="O9" s="222">
        <f>N9</f>
        <v>1436801600.3610001</v>
      </c>
      <c r="P9" s="222">
        <f>H95</f>
        <v>1300044814.4250002</v>
      </c>
      <c r="Q9" s="222">
        <f t="shared" si="3"/>
        <v>1300044814.4250002</v>
      </c>
      <c r="R9" s="222">
        <f t="shared" si="3"/>
        <v>1300044814.4250002</v>
      </c>
      <c r="S9" s="222">
        <f t="shared" si="3"/>
        <v>1300044814.4250002</v>
      </c>
      <c r="T9" s="222">
        <f t="shared" si="4"/>
        <v>1300044814.4250002</v>
      </c>
      <c r="U9" s="222">
        <f t="shared" si="4"/>
        <v>1300044814.4250002</v>
      </c>
      <c r="V9" s="222">
        <f t="shared" si="4"/>
        <v>1300044814.4250002</v>
      </c>
      <c r="W9" s="222">
        <f t="shared" si="4"/>
        <v>1300044814.4250002</v>
      </c>
      <c r="X9" s="222">
        <f t="shared" si="4"/>
        <v>1300044814.4250002</v>
      </c>
      <c r="Y9" s="222">
        <f t="shared" ref="Y9:Y10" si="5">SUM(E9:X9)</f>
        <v>26501767604.909996</v>
      </c>
    </row>
    <row r="10" spans="1:26" s="221" customFormat="1" x14ac:dyDescent="0.25">
      <c r="B10" s="538" t="str">
        <f>Portafolio_PA_Papa!D13</f>
        <v>1.3. Mejora de la comercialización de la papa y sus derivados</v>
      </c>
      <c r="C10" s="222" t="s">
        <v>492</v>
      </c>
      <c r="D10" s="222" t="s">
        <v>493</v>
      </c>
      <c r="E10" s="222">
        <f>I138*4</f>
        <v>843223180.09266663</v>
      </c>
      <c r="F10" s="222">
        <f>H138</f>
        <v>2529669540.2779999</v>
      </c>
      <c r="G10" s="222">
        <f>F10</f>
        <v>2529669540.2779999</v>
      </c>
      <c r="H10" s="222">
        <f>G10</f>
        <v>2529669540.2779999</v>
      </c>
      <c r="I10" s="222">
        <f>H139</f>
        <v>11009669540.277998</v>
      </c>
      <c r="J10" s="222">
        <f>I10</f>
        <v>11009669540.277998</v>
      </c>
      <c r="K10" s="222">
        <f t="shared" ref="K10:P10" si="6">J10</f>
        <v>11009669540.277998</v>
      </c>
      <c r="L10" s="222">
        <f t="shared" si="6"/>
        <v>11009669540.277998</v>
      </c>
      <c r="M10" s="222">
        <f t="shared" si="6"/>
        <v>11009669540.277998</v>
      </c>
      <c r="N10" s="222">
        <f t="shared" si="6"/>
        <v>11009669540.277998</v>
      </c>
      <c r="O10" s="222">
        <f t="shared" si="6"/>
        <v>11009669540.277998</v>
      </c>
      <c r="P10" s="222">
        <f t="shared" si="6"/>
        <v>11009669540.277998</v>
      </c>
      <c r="Q10" s="222">
        <f>H10</f>
        <v>2529669540.2779999</v>
      </c>
      <c r="R10" s="222">
        <f>H10</f>
        <v>2529669540.2779999</v>
      </c>
      <c r="S10" s="222">
        <f t="shared" ref="S10:X10" si="7">R10</f>
        <v>2529669540.2779999</v>
      </c>
      <c r="T10" s="222">
        <f t="shared" si="7"/>
        <v>2529669540.2779999</v>
      </c>
      <c r="U10" s="222">
        <f t="shared" si="7"/>
        <v>2529669540.2779999</v>
      </c>
      <c r="V10" s="222">
        <f t="shared" si="7"/>
        <v>2529669540.2779999</v>
      </c>
      <c r="W10" s="222">
        <f t="shared" si="7"/>
        <v>2529669540.2779999</v>
      </c>
      <c r="X10" s="222">
        <f t="shared" si="7"/>
        <v>2529669540.2779999</v>
      </c>
      <c r="Y10" s="222">
        <f t="shared" si="5"/>
        <v>116746944445.37466</v>
      </c>
    </row>
    <row r="11" spans="1:26" s="13" customFormat="1" ht="24.6" customHeight="1" x14ac:dyDescent="0.25">
      <c r="A11" s="2"/>
      <c r="B11" s="10" t="s">
        <v>1</v>
      </c>
      <c r="C11" s="10"/>
      <c r="D11" s="10"/>
      <c r="E11" s="19">
        <f>SUM(E8:E10)</f>
        <v>2308315656.3889999</v>
      </c>
      <c r="F11" s="19">
        <f t="shared" ref="F11:Y11" si="8">SUM(F8:F10)</f>
        <v>7137703755.1029997</v>
      </c>
      <c r="G11" s="19">
        <f t="shared" si="8"/>
        <v>7137703755.1029997</v>
      </c>
      <c r="H11" s="19">
        <f t="shared" si="8"/>
        <v>7137703755.1029997</v>
      </c>
      <c r="I11" s="19">
        <f t="shared" si="8"/>
        <v>15617703755.102997</v>
      </c>
      <c r="J11" s="19">
        <f t="shared" si="8"/>
        <v>15617703755.102997</v>
      </c>
      <c r="K11" s="19">
        <f t="shared" si="8"/>
        <v>15617703755.102997</v>
      </c>
      <c r="L11" s="19">
        <f t="shared" si="8"/>
        <v>15617703755.102997</v>
      </c>
      <c r="M11" s="19">
        <f t="shared" si="8"/>
        <v>15617703755.102997</v>
      </c>
      <c r="N11" s="19">
        <f t="shared" si="8"/>
        <v>15617703755.102997</v>
      </c>
      <c r="O11" s="19">
        <f t="shared" si="8"/>
        <v>15617703755.102997</v>
      </c>
      <c r="P11" s="19">
        <f t="shared" si="8"/>
        <v>15404946969.166998</v>
      </c>
      <c r="Q11" s="19">
        <f t="shared" si="8"/>
        <v>6924946969.1669998</v>
      </c>
      <c r="R11" s="19">
        <f t="shared" si="8"/>
        <v>6924946969.1669998</v>
      </c>
      <c r="S11" s="19">
        <f t="shared" si="8"/>
        <v>6924946969.1669998</v>
      </c>
      <c r="T11" s="19">
        <f t="shared" si="8"/>
        <v>6924946969.1669998</v>
      </c>
      <c r="U11" s="19">
        <f t="shared" si="8"/>
        <v>6924946969.1669998</v>
      </c>
      <c r="V11" s="19">
        <f t="shared" si="8"/>
        <v>6924946969.1669998</v>
      </c>
      <c r="W11" s="19">
        <f t="shared" si="8"/>
        <v>6924946969.1669998</v>
      </c>
      <c r="X11" s="19">
        <f t="shared" si="8"/>
        <v>6924946969.1669998</v>
      </c>
      <c r="Y11" s="19">
        <f t="shared" si="8"/>
        <v>203849875929.92197</v>
      </c>
    </row>
    <row r="12" spans="1:26" s="23" customFormat="1" ht="24.6" customHeight="1" x14ac:dyDescent="0.25">
      <c r="A12" s="4"/>
      <c r="B12" s="20"/>
      <c r="C12" s="20"/>
      <c r="D12" s="20"/>
      <c r="E12" s="20"/>
      <c r="F12" s="21"/>
      <c r="G12" s="22"/>
      <c r="H12" s="21"/>
      <c r="I12" s="21"/>
      <c r="J12" s="21"/>
      <c r="K12" s="21"/>
      <c r="L12" s="21"/>
      <c r="M12" s="21"/>
      <c r="N12" s="21"/>
      <c r="O12" s="21"/>
      <c r="P12" s="21"/>
      <c r="Q12" s="21"/>
      <c r="R12" s="21"/>
      <c r="S12" s="21"/>
      <c r="T12" s="21"/>
      <c r="U12" s="21"/>
      <c r="V12" s="21"/>
      <c r="W12" s="21"/>
      <c r="X12" s="21"/>
      <c r="Y12" s="21"/>
      <c r="Z12" s="21"/>
    </row>
    <row r="13" spans="1:26" s="4" customFormat="1" ht="14.45" customHeight="1" x14ac:dyDescent="0.25">
      <c r="B13" s="680" t="str">
        <f>B8</f>
        <v>1.1. Incremento del consumo interno de papa y sus derivados</v>
      </c>
      <c r="C13" s="681"/>
      <c r="D13" s="681"/>
      <c r="E13" s="681"/>
      <c r="F13" s="681"/>
      <c r="G13" s="681"/>
      <c r="H13" s="681"/>
      <c r="I13" s="213"/>
      <c r="X13" s="25"/>
    </row>
    <row r="14" spans="1:26" s="4" customFormat="1" ht="14.45" customHeight="1" x14ac:dyDescent="0.25">
      <c r="B14" s="682"/>
      <c r="C14" s="682"/>
      <c r="D14" s="682"/>
      <c r="E14" s="682"/>
      <c r="F14" s="682"/>
      <c r="G14" s="682"/>
      <c r="H14" s="682"/>
      <c r="I14" s="213"/>
      <c r="X14" s="25"/>
    </row>
    <row r="15" spans="1:26" s="4" customFormat="1" ht="27" customHeight="1" x14ac:dyDescent="0.25">
      <c r="B15" s="683" t="str">
        <f>Portafolio_PA_Papa!E2</f>
        <v xml:space="preserve">1.1.1. Estructurar y actualizar un portafolio comercial, a nivel nacional, para los productos tanto genéricos como diferenciados de la cadena de la papa, tipificando criterios de calidad e inocuidad, propiedades nutricionales, formas de preparación, procesos industriales, entre otras.  </v>
      </c>
      <c r="C15" s="684"/>
      <c r="D15" s="684"/>
      <c r="E15" s="684"/>
      <c r="F15" s="684"/>
      <c r="G15" s="684"/>
      <c r="H15" s="684"/>
      <c r="I15" s="318"/>
      <c r="X15" s="25"/>
    </row>
    <row r="16" spans="1:26" s="4" customFormat="1" ht="29.45" customHeight="1" x14ac:dyDescent="0.25">
      <c r="B16" s="683" t="str">
        <f>Portafolio_PA_Papa!E3</f>
        <v>1.1.2. Analizar de manera periódica, tendencias, y oportunidades relacionados con el consumo de papa y sus derivados y productos sustitutos, la dinámica de precios y costos y la estructura de comercialización, a lo largo de la cadena, a partir de los estudios que se desarrollen al respecto en la actividad 8.3.4.</v>
      </c>
      <c r="C16" s="683"/>
      <c r="D16" s="683"/>
      <c r="E16" s="683"/>
      <c r="F16" s="683"/>
      <c r="G16" s="683"/>
      <c r="H16" s="683"/>
      <c r="I16" s="318"/>
      <c r="X16" s="25"/>
    </row>
    <row r="17" spans="2:24" s="4" customFormat="1" ht="42" customHeight="1" x14ac:dyDescent="0.25">
      <c r="B17" s="683" t="str">
        <f>Portafolio_PA_Papa!E4</f>
        <v>1.1.3. Diseñar e implementar una campaña integral de corto, mediano y largo plazo, para fomentar el consumo de papa y sus derivados y las preparaciones culinarias con papa, en los mercados nacional, regional y local, a partir de la oferta de productos genéricos y diferenciados, teniendo en cuenta las tendencias y potencialidades del mercado y sus diferentes segmentos (centrales de abastos, grandes, medianas y pequeñas superficies, canal tradicional, canal HORECA, Fruver, tiendas especializadas en papa, aplicaciones digitales, industrias, entre otras).</v>
      </c>
      <c r="C17" s="683"/>
      <c r="D17" s="683"/>
      <c r="E17" s="683"/>
      <c r="F17" s="683"/>
      <c r="G17" s="683"/>
      <c r="H17" s="683"/>
      <c r="I17" s="318"/>
      <c r="X17" s="25"/>
    </row>
    <row r="18" spans="2:24" s="4" customFormat="1" ht="27" customHeight="1" x14ac:dyDescent="0.25">
      <c r="B18" s="683" t="str">
        <f>Portafolio_PA_Papa!E5</f>
        <v>1.1.4. Diseñar e implementar acciones de educación al consumidor, tales como capacitaciones, socializaciones, educación no formal, entre otros, con respaldo médico, teniendo en cuenta los diferentes segmentos de mercado y la oferta de productos genéricos y diferenciados de la cadena de la papa.</v>
      </c>
      <c r="C18" s="684"/>
      <c r="D18" s="684"/>
      <c r="E18" s="684"/>
      <c r="F18" s="684"/>
      <c r="G18" s="684"/>
      <c r="H18" s="684"/>
      <c r="I18" s="318"/>
      <c r="X18" s="25"/>
    </row>
    <row r="19" spans="2:24" s="4" customFormat="1" ht="30.95" customHeight="1" x14ac:dyDescent="0.25">
      <c r="B19" s="683" t="str">
        <f>Portafolio_PA_Papa!E6</f>
        <v>1.1.5. Desarrollar y posicionar marcas y sellos distintivos de papa y sus derivados, diferenciados, en los ámbitos local, regional y nacional, teniendo en cuenta posibles sinergias con las estrategias de los gobiernos nacionales y departamentales para resaltar características diferenciales de los productos colombianos.</v>
      </c>
      <c r="C19" s="684"/>
      <c r="D19" s="684"/>
      <c r="E19" s="684"/>
      <c r="F19" s="684"/>
      <c r="G19" s="684"/>
      <c r="H19" s="684"/>
      <c r="I19" s="318"/>
      <c r="X19" s="25"/>
    </row>
    <row r="20" spans="2:24" s="4" customFormat="1" ht="14.45" customHeight="1" x14ac:dyDescent="0.25">
      <c r="B20" s="534"/>
      <c r="C20" s="534"/>
      <c r="D20" s="534"/>
      <c r="E20" s="534"/>
      <c r="F20" s="534"/>
      <c r="G20" s="534"/>
      <c r="H20" s="534"/>
      <c r="I20" s="318"/>
      <c r="X20" s="25"/>
    </row>
    <row r="21" spans="2:24" s="4" customFormat="1" ht="14.45" customHeight="1" x14ac:dyDescent="0.25">
      <c r="B21" s="544" t="s">
        <v>1128</v>
      </c>
      <c r="C21" s="320"/>
      <c r="D21" s="320"/>
      <c r="E21" s="320"/>
      <c r="F21" s="320"/>
      <c r="G21" s="320"/>
      <c r="H21" s="320"/>
      <c r="I21" s="318"/>
      <c r="X21" s="25"/>
    </row>
    <row r="22" spans="2:24" ht="15" x14ac:dyDescent="0.25">
      <c r="B22" s="26" t="s">
        <v>5</v>
      </c>
      <c r="C22" s="26" t="s">
        <v>6</v>
      </c>
      <c r="D22" s="26" t="s">
        <v>7</v>
      </c>
      <c r="E22" s="26" t="s">
        <v>8</v>
      </c>
      <c r="F22" s="27" t="s">
        <v>9</v>
      </c>
      <c r="G22" s="26" t="s">
        <v>10</v>
      </c>
      <c r="H22" s="26" t="s">
        <v>11</v>
      </c>
      <c r="X22" s="28"/>
    </row>
    <row r="23" spans="2:24" x14ac:dyDescent="0.2">
      <c r="B23" s="29" t="s">
        <v>12</v>
      </c>
      <c r="C23" s="29">
        <v>10</v>
      </c>
      <c r="D23" s="29" t="s">
        <v>13</v>
      </c>
      <c r="E23" s="30">
        <v>500000</v>
      </c>
      <c r="F23" s="29"/>
      <c r="G23" s="29"/>
      <c r="H23" s="31">
        <f>C23*E23</f>
        <v>5000000</v>
      </c>
    </row>
    <row r="24" spans="2:24" x14ac:dyDescent="0.2">
      <c r="B24" s="29" t="s">
        <v>14</v>
      </c>
      <c r="C24" s="29">
        <v>10</v>
      </c>
      <c r="D24" s="29" t="s">
        <v>13</v>
      </c>
      <c r="E24" s="30">
        <v>100000</v>
      </c>
      <c r="F24" s="29"/>
      <c r="G24" s="29"/>
      <c r="H24" s="31">
        <f t="shared" ref="H24:H27" si="9">C24*E24</f>
        <v>1000000</v>
      </c>
    </row>
    <row r="25" spans="2:24" x14ac:dyDescent="0.2">
      <c r="B25" s="29" t="s">
        <v>15</v>
      </c>
      <c r="C25" s="29">
        <v>1</v>
      </c>
      <c r="D25" s="29" t="s">
        <v>16</v>
      </c>
      <c r="E25" s="30">
        <v>11349940</v>
      </c>
      <c r="F25" s="29"/>
      <c r="G25" s="29"/>
      <c r="H25" s="31">
        <f>C25*E25</f>
        <v>11349940</v>
      </c>
      <c r="I25" s="32"/>
      <c r="J25" s="4"/>
    </row>
    <row r="26" spans="2:24" x14ac:dyDescent="0.2">
      <c r="B26" s="29" t="s">
        <v>17</v>
      </c>
      <c r="C26" s="33">
        <v>10</v>
      </c>
      <c r="D26" s="29" t="s">
        <v>13</v>
      </c>
      <c r="E26" s="30">
        <v>1625000</v>
      </c>
      <c r="F26" s="29"/>
      <c r="G26" s="29"/>
      <c r="H26" s="31">
        <f t="shared" si="9"/>
        <v>16250000</v>
      </c>
    </row>
    <row r="27" spans="2:24" x14ac:dyDescent="0.2">
      <c r="B27" s="29" t="s">
        <v>18</v>
      </c>
      <c r="C27" s="33">
        <v>10</v>
      </c>
      <c r="D27" s="29" t="s">
        <v>13</v>
      </c>
      <c r="E27" s="30">
        <v>325000</v>
      </c>
      <c r="F27" s="29"/>
      <c r="G27" s="29"/>
      <c r="H27" s="31">
        <f t="shared" si="9"/>
        <v>3250000</v>
      </c>
    </row>
    <row r="28" spans="2:24" x14ac:dyDescent="0.2">
      <c r="B28" s="29" t="s">
        <v>262</v>
      </c>
      <c r="C28" s="29">
        <v>1</v>
      </c>
      <c r="D28" s="29" t="s">
        <v>36</v>
      </c>
      <c r="E28" s="30">
        <v>6604729</v>
      </c>
      <c r="F28" s="29"/>
      <c r="G28" s="29">
        <v>4</v>
      </c>
      <c r="H28" s="31">
        <f>C28*E28</f>
        <v>6604729</v>
      </c>
      <c r="I28" s="32"/>
      <c r="J28" s="4"/>
    </row>
    <row r="29" spans="2:24" x14ac:dyDescent="0.2">
      <c r="B29" s="29" t="s">
        <v>19</v>
      </c>
      <c r="C29" s="33">
        <v>1</v>
      </c>
      <c r="D29" s="29" t="s">
        <v>13</v>
      </c>
      <c r="E29" s="34">
        <v>116200000</v>
      </c>
      <c r="F29" s="29"/>
      <c r="G29" s="29"/>
      <c r="H29" s="31">
        <f>C29*E29</f>
        <v>116200000</v>
      </c>
    </row>
    <row r="30" spans="2:24" x14ac:dyDescent="0.2">
      <c r="B30" s="29" t="s">
        <v>20</v>
      </c>
      <c r="C30" s="33">
        <v>5</v>
      </c>
      <c r="D30" s="29" t="s">
        <v>13</v>
      </c>
      <c r="E30" s="34">
        <v>130105000</v>
      </c>
      <c r="F30" s="29"/>
      <c r="G30" s="29"/>
      <c r="H30" s="31">
        <f>C30*E30</f>
        <v>650525000</v>
      </c>
    </row>
    <row r="31" spans="2:24" x14ac:dyDescent="0.2">
      <c r="B31" s="29" t="s">
        <v>21</v>
      </c>
      <c r="C31" s="33">
        <v>20</v>
      </c>
      <c r="D31" s="29" t="s">
        <v>13</v>
      </c>
      <c r="E31" s="34">
        <v>500000</v>
      </c>
      <c r="F31" s="29"/>
      <c r="G31" s="29"/>
      <c r="H31" s="31">
        <f t="shared" ref="H31:H47" si="10">C31*E31</f>
        <v>10000000</v>
      </c>
    </row>
    <row r="32" spans="2:24" x14ac:dyDescent="0.2">
      <c r="B32" s="29" t="s">
        <v>22</v>
      </c>
      <c r="C32" s="29">
        <v>2</v>
      </c>
      <c r="D32" s="29" t="s">
        <v>13</v>
      </c>
      <c r="E32" s="34">
        <v>3500000</v>
      </c>
      <c r="F32" s="29"/>
      <c r="G32" s="29"/>
      <c r="H32" s="31">
        <f t="shared" si="10"/>
        <v>7000000</v>
      </c>
    </row>
    <row r="33" spans="2:10" x14ac:dyDescent="0.2">
      <c r="B33" s="29" t="s">
        <v>23</v>
      </c>
      <c r="C33" s="29">
        <f>5*12</f>
        <v>60</v>
      </c>
      <c r="D33" s="29" t="s">
        <v>13</v>
      </c>
      <c r="E33" s="34">
        <v>500000</v>
      </c>
      <c r="F33" s="29"/>
      <c r="G33" s="29"/>
      <c r="H33" s="31">
        <f t="shared" si="10"/>
        <v>30000000</v>
      </c>
    </row>
    <row r="34" spans="2:10" x14ac:dyDescent="0.2">
      <c r="B34" s="29" t="s">
        <v>24</v>
      </c>
      <c r="C34" s="33">
        <v>10</v>
      </c>
      <c r="D34" s="29" t="s">
        <v>13</v>
      </c>
      <c r="E34" s="34">
        <v>25484000</v>
      </c>
      <c r="F34" s="29"/>
      <c r="G34" s="29"/>
      <c r="H34" s="31">
        <f t="shared" si="10"/>
        <v>254840000</v>
      </c>
      <c r="I34" s="35"/>
      <c r="J34" s="4"/>
    </row>
    <row r="35" spans="2:10" x14ac:dyDescent="0.2">
      <c r="B35" s="29" t="s">
        <v>25</v>
      </c>
      <c r="C35" s="33">
        <v>10</v>
      </c>
      <c r="D35" s="29" t="s">
        <v>13</v>
      </c>
      <c r="E35" s="34">
        <v>8000000</v>
      </c>
      <c r="F35" s="29"/>
      <c r="G35" s="29"/>
      <c r="H35" s="31">
        <f t="shared" si="10"/>
        <v>80000000</v>
      </c>
      <c r="I35" s="35"/>
      <c r="J35" s="4"/>
    </row>
    <row r="36" spans="2:10" x14ac:dyDescent="0.2">
      <c r="B36" s="33" t="s">
        <v>26</v>
      </c>
      <c r="C36" s="33">
        <v>1</v>
      </c>
      <c r="D36" s="33" t="s">
        <v>13</v>
      </c>
      <c r="E36" s="211">
        <v>10000000</v>
      </c>
      <c r="F36" s="33"/>
      <c r="G36" s="33"/>
      <c r="H36" s="31">
        <f t="shared" si="10"/>
        <v>10000000</v>
      </c>
      <c r="I36" s="35"/>
      <c r="J36" s="4"/>
    </row>
    <row r="37" spans="2:10" x14ac:dyDescent="0.2">
      <c r="B37" s="33" t="s">
        <v>27</v>
      </c>
      <c r="C37" s="33">
        <v>10</v>
      </c>
      <c r="D37" s="33" t="s">
        <v>13</v>
      </c>
      <c r="E37" s="211">
        <v>3000000</v>
      </c>
      <c r="F37" s="33"/>
      <c r="G37" s="33"/>
      <c r="H37" s="31">
        <f t="shared" si="10"/>
        <v>30000000</v>
      </c>
      <c r="I37" s="35"/>
      <c r="J37" s="4"/>
    </row>
    <row r="38" spans="2:10" x14ac:dyDescent="0.2">
      <c r="B38" s="33" t="s">
        <v>28</v>
      </c>
      <c r="C38" s="33">
        <f>10*10*10</f>
        <v>1000</v>
      </c>
      <c r="D38" s="33" t="s">
        <v>13</v>
      </c>
      <c r="E38" s="211">
        <v>350000</v>
      </c>
      <c r="F38" s="33"/>
      <c r="G38" s="33"/>
      <c r="H38" s="31">
        <f t="shared" si="10"/>
        <v>350000000</v>
      </c>
      <c r="I38" s="35"/>
      <c r="J38" s="4"/>
    </row>
    <row r="39" spans="2:10" x14ac:dyDescent="0.2">
      <c r="B39" s="33" t="s">
        <v>267</v>
      </c>
      <c r="C39" s="33">
        <v>6</v>
      </c>
      <c r="D39" s="33" t="s">
        <v>13</v>
      </c>
      <c r="E39" s="211">
        <v>2300000</v>
      </c>
      <c r="F39" s="33"/>
      <c r="G39" s="33">
        <v>10</v>
      </c>
      <c r="H39" s="31">
        <f>G39*E39*C39</f>
        <v>138000000</v>
      </c>
      <c r="I39" s="35"/>
      <c r="J39" s="4"/>
    </row>
    <row r="40" spans="2:10" x14ac:dyDescent="0.2">
      <c r="B40" s="33" t="s">
        <v>265</v>
      </c>
      <c r="C40" s="62">
        <v>4</v>
      </c>
      <c r="D40" s="33" t="s">
        <v>266</v>
      </c>
      <c r="E40" s="211">
        <v>19000000</v>
      </c>
      <c r="F40" s="33"/>
      <c r="G40" s="33"/>
      <c r="H40" s="31">
        <f>C40*E40</f>
        <v>76000000</v>
      </c>
      <c r="I40" s="35"/>
      <c r="J40" s="4"/>
    </row>
    <row r="41" spans="2:10" x14ac:dyDescent="0.2">
      <c r="B41" s="29" t="s">
        <v>418</v>
      </c>
      <c r="C41" s="62">
        <v>2</v>
      </c>
      <c r="D41" s="29" t="s">
        <v>55</v>
      </c>
      <c r="E41" s="34">
        <v>8059394.2679999992</v>
      </c>
      <c r="F41" s="29"/>
      <c r="G41" s="29"/>
      <c r="H41" s="31">
        <f t="shared" si="10"/>
        <v>16118788.535999998</v>
      </c>
      <c r="I41" s="35"/>
      <c r="J41" s="4"/>
    </row>
    <row r="42" spans="2:10" x14ac:dyDescent="0.2">
      <c r="B42" s="29" t="s">
        <v>263</v>
      </c>
      <c r="C42" s="62">
        <v>2</v>
      </c>
      <c r="D42" s="29" t="s">
        <v>55</v>
      </c>
      <c r="E42" s="34">
        <v>15581259.960000001</v>
      </c>
      <c r="F42" s="29"/>
      <c r="G42" s="29"/>
      <c r="H42" s="31">
        <f t="shared" si="10"/>
        <v>31162519.920000002</v>
      </c>
      <c r="I42" s="35"/>
      <c r="J42" s="4"/>
    </row>
    <row r="43" spans="2:10" x14ac:dyDescent="0.2">
      <c r="B43" s="29" t="s">
        <v>419</v>
      </c>
      <c r="C43" s="62">
        <v>2</v>
      </c>
      <c r="D43" s="29" t="s">
        <v>55</v>
      </c>
      <c r="E43" s="34">
        <v>26398566.504000001</v>
      </c>
      <c r="F43" s="29"/>
      <c r="G43" s="29"/>
      <c r="H43" s="31">
        <f t="shared" si="10"/>
        <v>52797133.008000001</v>
      </c>
      <c r="I43" s="35"/>
      <c r="J43" s="4"/>
    </row>
    <row r="44" spans="2:10" x14ac:dyDescent="0.2">
      <c r="B44" s="29" t="s">
        <v>64</v>
      </c>
      <c r="C44" s="62">
        <v>10</v>
      </c>
      <c r="D44" s="29" t="s">
        <v>264</v>
      </c>
      <c r="E44" s="34">
        <v>43000000</v>
      </c>
      <c r="F44" s="36">
        <v>0.5</v>
      </c>
      <c r="G44" s="29"/>
      <c r="H44" s="31">
        <f>C44*E44*F44</f>
        <v>215000000</v>
      </c>
      <c r="I44" s="35"/>
      <c r="J44" s="4"/>
    </row>
    <row r="45" spans="2:10" x14ac:dyDescent="0.2">
      <c r="B45" s="29" t="s">
        <v>30</v>
      </c>
      <c r="C45" s="29">
        <f>5*10</f>
        <v>50</v>
      </c>
      <c r="D45" s="29" t="s">
        <v>31</v>
      </c>
      <c r="E45" s="34">
        <v>300000</v>
      </c>
      <c r="F45" s="36"/>
      <c r="G45" s="29"/>
      <c r="H45" s="31">
        <f t="shared" si="10"/>
        <v>15000000</v>
      </c>
    </row>
    <row r="46" spans="2:10" x14ac:dyDescent="0.2">
      <c r="B46" s="29" t="s">
        <v>32</v>
      </c>
      <c r="C46" s="29">
        <v>10</v>
      </c>
      <c r="D46" s="29" t="s">
        <v>33</v>
      </c>
      <c r="E46" s="34">
        <v>5000000</v>
      </c>
      <c r="F46" s="29"/>
      <c r="G46" s="29"/>
      <c r="H46" s="31">
        <f t="shared" si="10"/>
        <v>50000000</v>
      </c>
      <c r="I46" s="35"/>
      <c r="J46" s="4"/>
    </row>
    <row r="47" spans="2:10" x14ac:dyDescent="0.2">
      <c r="B47" s="29" t="s">
        <v>34</v>
      </c>
      <c r="C47" s="29">
        <v>10</v>
      </c>
      <c r="D47" s="29" t="s">
        <v>33</v>
      </c>
      <c r="E47" s="34">
        <v>1500000</v>
      </c>
      <c r="F47" s="29"/>
      <c r="G47" s="29"/>
      <c r="H47" s="31">
        <f t="shared" si="10"/>
        <v>15000000</v>
      </c>
      <c r="I47" s="35"/>
      <c r="J47" s="4"/>
    </row>
    <row r="48" spans="2:10" x14ac:dyDescent="0.2">
      <c r="B48" s="29" t="s">
        <v>35</v>
      </c>
      <c r="C48" s="29">
        <v>5</v>
      </c>
      <c r="D48" s="29" t="s">
        <v>36</v>
      </c>
      <c r="E48" s="30">
        <v>7862772</v>
      </c>
      <c r="F48" s="36">
        <v>1</v>
      </c>
      <c r="G48" s="29">
        <v>12</v>
      </c>
      <c r="H48" s="31">
        <f>C48*E48*G48*F48</f>
        <v>471766320</v>
      </c>
      <c r="I48" s="37"/>
    </row>
    <row r="49" spans="2:10" x14ac:dyDescent="0.2">
      <c r="B49" s="29" t="s">
        <v>37</v>
      </c>
      <c r="C49" s="33">
        <v>4</v>
      </c>
      <c r="D49" s="29" t="s">
        <v>38</v>
      </c>
      <c r="E49" s="30">
        <v>1438122</v>
      </c>
      <c r="F49" s="29"/>
      <c r="G49" s="29"/>
      <c r="H49" s="31">
        <f>C49*E49</f>
        <v>5752488</v>
      </c>
      <c r="I49" s="37"/>
    </row>
    <row r="50" spans="2:10" x14ac:dyDescent="0.2">
      <c r="B50" s="29" t="s">
        <v>39</v>
      </c>
      <c r="C50" s="33">
        <v>8</v>
      </c>
      <c r="D50" s="29" t="s">
        <v>40</v>
      </c>
      <c r="E50" s="30">
        <v>1213122</v>
      </c>
      <c r="F50" s="29"/>
      <c r="G50" s="29"/>
      <c r="H50" s="31">
        <f>C50*E50</f>
        <v>9704976</v>
      </c>
      <c r="I50" s="37"/>
    </row>
    <row r="51" spans="2:10" x14ac:dyDescent="0.2">
      <c r="B51" s="29" t="s">
        <v>41</v>
      </c>
      <c r="C51" s="33">
        <v>10</v>
      </c>
      <c r="D51" s="29" t="s">
        <v>42</v>
      </c>
      <c r="E51" s="30">
        <v>3931384</v>
      </c>
      <c r="F51" s="36">
        <v>1</v>
      </c>
      <c r="G51" s="29">
        <v>8</v>
      </c>
      <c r="H51" s="31">
        <f>C51*E51*G51*F51</f>
        <v>314510720</v>
      </c>
    </row>
    <row r="52" spans="2:10" x14ac:dyDescent="0.2">
      <c r="B52" s="29" t="s">
        <v>43</v>
      </c>
      <c r="C52" s="33">
        <v>10</v>
      </c>
      <c r="D52" s="29" t="s">
        <v>13</v>
      </c>
      <c r="E52" s="30">
        <v>1160000</v>
      </c>
      <c r="F52" s="36">
        <v>1</v>
      </c>
      <c r="G52" s="29">
        <v>8</v>
      </c>
      <c r="H52" s="31">
        <f>C52*E52*G52*F52</f>
        <v>92800000</v>
      </c>
    </row>
    <row r="53" spans="2:10" ht="13.5" customHeight="1" x14ac:dyDescent="0.2">
      <c r="B53" s="29" t="s">
        <v>44</v>
      </c>
      <c r="C53" s="33">
        <v>10</v>
      </c>
      <c r="D53" s="29" t="s">
        <v>13</v>
      </c>
      <c r="E53" s="30">
        <v>120000</v>
      </c>
      <c r="F53" s="36">
        <v>1</v>
      </c>
      <c r="G53" s="29">
        <v>8</v>
      </c>
      <c r="H53" s="31">
        <f>C53*E53*G53*F53</f>
        <v>9600000</v>
      </c>
    </row>
    <row r="54" spans="2:10" x14ac:dyDescent="0.2">
      <c r="B54" s="29" t="s">
        <v>45</v>
      </c>
      <c r="C54" s="38"/>
      <c r="D54" s="29"/>
      <c r="E54" s="30"/>
      <c r="F54" s="36"/>
      <c r="G54" s="29"/>
      <c r="H54" s="31" t="s">
        <v>46</v>
      </c>
    </row>
    <row r="55" spans="2:10" ht="15" x14ac:dyDescent="0.25">
      <c r="B55" s="29" t="s">
        <v>47</v>
      </c>
      <c r="C55" s="29"/>
      <c r="D55" s="29"/>
      <c r="E55" s="29"/>
      <c r="F55" s="29"/>
      <c r="G55" s="29"/>
      <c r="H55" s="30" t="s">
        <v>46</v>
      </c>
      <c r="I55" s="43" t="s">
        <v>501</v>
      </c>
    </row>
    <row r="56" spans="2:10" ht="15" x14ac:dyDescent="0.25">
      <c r="B56" s="39" t="s">
        <v>381</v>
      </c>
      <c r="C56" s="40"/>
      <c r="D56" s="41"/>
      <c r="E56" s="41"/>
      <c r="F56" s="42"/>
      <c r="G56" s="220"/>
      <c r="H56" s="43">
        <f>SUM(H23:H55)</f>
        <v>3095232614.4639997</v>
      </c>
      <c r="I56" s="43">
        <f>H56/12</f>
        <v>257936051.20533332</v>
      </c>
    </row>
    <row r="57" spans="2:10" ht="15" x14ac:dyDescent="0.25">
      <c r="B57" s="39" t="s">
        <v>417</v>
      </c>
      <c r="C57" s="218"/>
      <c r="D57" s="218"/>
      <c r="E57" s="218"/>
      <c r="F57" s="218"/>
      <c r="G57" s="218"/>
      <c r="H57" s="43">
        <f>SUM(H23:H54)+H40</f>
        <v>3171232614.4639997</v>
      </c>
    </row>
    <row r="58" spans="2:10" s="217" customFormat="1" ht="382.5" customHeight="1" x14ac:dyDescent="0.2">
      <c r="B58" s="215" t="s">
        <v>1091</v>
      </c>
      <c r="C58" s="218"/>
      <c r="D58" s="218"/>
      <c r="E58" s="218"/>
      <c r="F58" s="218"/>
      <c r="G58" s="218"/>
      <c r="H58" s="218"/>
      <c r="I58" s="219"/>
      <c r="J58" s="219"/>
    </row>
    <row r="59" spans="2:10" s="217" customFormat="1" ht="12.75" x14ac:dyDescent="0.2">
      <c r="B59" s="215"/>
      <c r="C59" s="218"/>
      <c r="D59" s="218"/>
      <c r="E59" s="218"/>
      <c r="F59" s="218"/>
      <c r="G59" s="218"/>
      <c r="H59" s="218"/>
      <c r="I59" s="219"/>
      <c r="J59" s="219"/>
    </row>
    <row r="60" spans="2:10" ht="15" x14ac:dyDescent="0.25">
      <c r="B60" s="680" t="str">
        <f>B9</f>
        <v>1.2. Incursión y posicionamiento de la papa colombiana y sus derivados, en el mercado internacional</v>
      </c>
      <c r="C60" s="681"/>
      <c r="D60" s="681"/>
      <c r="E60" s="681"/>
      <c r="F60" s="681"/>
      <c r="G60" s="681"/>
      <c r="H60" s="681"/>
      <c r="I60" s="46"/>
    </row>
    <row r="61" spans="2:10" x14ac:dyDescent="0.2">
      <c r="B61" s="682"/>
      <c r="C61" s="682"/>
      <c r="D61" s="682"/>
      <c r="E61" s="682"/>
      <c r="F61" s="682"/>
      <c r="G61" s="682"/>
      <c r="H61" s="682"/>
    </row>
    <row r="62" spans="2:10" ht="26.45" customHeight="1" x14ac:dyDescent="0.2">
      <c r="B62" s="683" t="str">
        <f>Portafolio_PA_Papa!E7</f>
        <v>1.2.1. Analizar periódicamente las tendencias, oportunidades, y empresas, relacionadas con la exportación de productos de la cadena de la papa, así como los mercados objetivo, condiciones de acceso, canales de comercialización y segmentos de mercado, entre otras variables de importancia para impulsar ventas al exterior, a partir de los estudios que se desarrollen en la actividad 8.3.4, así como de los mecanismos de seguimiento con que cuenten las entidades involucradas.</v>
      </c>
      <c r="C62" s="683"/>
      <c r="D62" s="683"/>
      <c r="E62" s="683"/>
      <c r="F62" s="683"/>
      <c r="G62" s="683"/>
      <c r="H62" s="683"/>
    </row>
    <row r="63" spans="2:10" ht="31.5" customHeight="1" x14ac:dyDescent="0.25">
      <c r="B63" s="683" t="str">
        <f>Portafolio_PA_Papa!E8</f>
        <v>1.2.2. Impulsar y consolidar el posicionamiento de los productos de la cadena de la papa con los que Colombia pueda competir en el mercado internacional, teniendo en cuenta los avances en admisibilidad sanitaria (proyecto 7.3), y resaltando formas de diferenciación, de preparación, denominaciones de origen, sellos verdes, producción orgánica, sellos diferenciadores, marcas, entre otros.</v>
      </c>
      <c r="C63" s="684"/>
      <c r="D63" s="684"/>
      <c r="E63" s="684"/>
      <c r="F63" s="684"/>
      <c r="G63" s="684"/>
      <c r="H63" s="684"/>
    </row>
    <row r="64" spans="2:10" ht="17.45" customHeight="1" x14ac:dyDescent="0.25">
      <c r="B64" s="683" t="str">
        <f>Portafolio_PA_Papa!E9</f>
        <v>1.2.3. Identificar y fortalecer las empresas con potencial exportador, y promover mecanismos de relacionamiento entre industriales locales y clientes internacionales.</v>
      </c>
      <c r="C64" s="684"/>
      <c r="D64" s="684"/>
      <c r="E64" s="684"/>
      <c r="F64" s="684"/>
      <c r="G64" s="684"/>
      <c r="H64" s="684"/>
    </row>
    <row r="65" spans="1:10" ht="14.45" customHeight="1" x14ac:dyDescent="0.25">
      <c r="B65" s="683" t="str">
        <f>Portafolio_PA_Papa!E10</f>
        <v>1.2.4. Realizar acompañamiento técnico, comercial, financiero, legal, normativo, entre otros, a las empresas potenciales para la exportación de los productos de la cadena de la papa.</v>
      </c>
      <c r="C65" s="684"/>
      <c r="D65" s="684"/>
      <c r="E65" s="684"/>
      <c r="F65" s="684"/>
      <c r="G65" s="684"/>
      <c r="H65" s="684"/>
    </row>
    <row r="66" spans="1:10" ht="14.45" customHeight="1" x14ac:dyDescent="0.25">
      <c r="B66" s="683" t="str">
        <f>Portafolio_PA_Papa!E11</f>
        <v>1.2.5. Implementar, fortalecer y divulgar instrumentos y mecanismos que incentiven la exportación de los productos de la cadena de la papa.</v>
      </c>
      <c r="C66" s="684"/>
      <c r="D66" s="684"/>
      <c r="E66" s="684"/>
      <c r="F66" s="684"/>
      <c r="G66" s="684"/>
      <c r="H66" s="684"/>
    </row>
    <row r="67" spans="1:10" ht="27.6" customHeight="1" x14ac:dyDescent="0.25">
      <c r="B67" s="683" t="str">
        <f>Portafolio_PA_Papa!E12</f>
        <v xml:space="preserve">1.2.6. Impulsar el diseño e implementación de acciones de promoción y comercialización, lideradas por ProColombia para las empresas de la cadena de la papa, que permitan posicionar y consolidar sus productos, incluyendo mecanismos como ruedas de negocios, participación en ferias, misiones comerciales, entre otros.  </v>
      </c>
      <c r="C67" s="684"/>
      <c r="D67" s="684"/>
      <c r="E67" s="684"/>
      <c r="F67" s="684"/>
      <c r="G67" s="684"/>
      <c r="H67" s="684"/>
    </row>
    <row r="68" spans="1:10" ht="14.1" customHeight="1" x14ac:dyDescent="0.25">
      <c r="B68" s="317"/>
      <c r="C68" s="317"/>
      <c r="D68" s="317"/>
      <c r="E68" s="317"/>
      <c r="F68" s="317"/>
      <c r="G68" s="317"/>
      <c r="H68" s="317"/>
    </row>
    <row r="69" spans="1:10" ht="15" x14ac:dyDescent="0.25">
      <c r="B69" s="544" t="s">
        <v>1128</v>
      </c>
      <c r="C69" s="320"/>
      <c r="D69" s="320"/>
      <c r="E69" s="320"/>
      <c r="F69" s="320"/>
      <c r="G69" s="320"/>
      <c r="H69" s="320"/>
    </row>
    <row r="70" spans="1:10" ht="15" x14ac:dyDescent="0.25">
      <c r="B70" s="26" t="s">
        <v>5</v>
      </c>
      <c r="C70" s="26" t="s">
        <v>6</v>
      </c>
      <c r="D70" s="26" t="s">
        <v>7</v>
      </c>
      <c r="E70" s="26" t="s">
        <v>8</v>
      </c>
      <c r="F70" s="26" t="s">
        <v>48</v>
      </c>
      <c r="G70" s="26" t="s">
        <v>10</v>
      </c>
      <c r="H70" s="26" t="s">
        <v>11</v>
      </c>
    </row>
    <row r="71" spans="1:10" s="4" customFormat="1" x14ac:dyDescent="0.2">
      <c r="A71" s="48"/>
      <c r="B71" s="29" t="s">
        <v>12</v>
      </c>
      <c r="C71" s="29">
        <v>12</v>
      </c>
      <c r="D71" s="29" t="s">
        <v>13</v>
      </c>
      <c r="E71" s="30">
        <v>500000</v>
      </c>
      <c r="F71" s="29"/>
      <c r="G71" s="29"/>
      <c r="H71" s="31">
        <f>C71*E71</f>
        <v>6000000</v>
      </c>
      <c r="I71" s="37"/>
    </row>
    <row r="72" spans="1:10" s="4" customFormat="1" x14ac:dyDescent="0.2">
      <c r="B72" s="29" t="s">
        <v>14</v>
      </c>
      <c r="C72" s="29">
        <v>12</v>
      </c>
      <c r="D72" s="29" t="s">
        <v>13</v>
      </c>
      <c r="E72" s="30">
        <v>100000</v>
      </c>
      <c r="F72" s="29"/>
      <c r="G72" s="29"/>
      <c r="H72" s="31">
        <f t="shared" ref="H72:H90" si="11">C72*E72</f>
        <v>1200000</v>
      </c>
      <c r="I72" s="37"/>
    </row>
    <row r="73" spans="1:10" s="4" customFormat="1" x14ac:dyDescent="0.2">
      <c r="B73" s="29" t="s">
        <v>49</v>
      </c>
      <c r="C73" s="29">
        <v>1</v>
      </c>
      <c r="D73" s="29" t="s">
        <v>16</v>
      </c>
      <c r="E73" s="30">
        <v>11349940</v>
      </c>
      <c r="F73" s="29"/>
      <c r="G73" s="29"/>
      <c r="H73" s="31">
        <f t="shared" si="11"/>
        <v>11349940</v>
      </c>
      <c r="I73" s="37"/>
    </row>
    <row r="74" spans="1:10" x14ac:dyDescent="0.2">
      <c r="B74" s="29" t="s">
        <v>50</v>
      </c>
      <c r="C74" s="29">
        <v>2</v>
      </c>
      <c r="D74" s="29" t="s">
        <v>13</v>
      </c>
      <c r="E74" s="30">
        <v>900000</v>
      </c>
      <c r="F74" s="29"/>
      <c r="G74" s="29"/>
      <c r="H74" s="31">
        <f t="shared" si="11"/>
        <v>1800000</v>
      </c>
      <c r="I74" s="32"/>
      <c r="J74" s="4"/>
    </row>
    <row r="75" spans="1:10" x14ac:dyDescent="0.2">
      <c r="B75" s="29" t="s">
        <v>51</v>
      </c>
      <c r="C75" s="29">
        <v>2</v>
      </c>
      <c r="D75" s="29" t="s">
        <v>52</v>
      </c>
      <c r="E75" s="30">
        <v>5918241</v>
      </c>
      <c r="F75" s="29"/>
      <c r="G75" s="29"/>
      <c r="H75" s="31">
        <f t="shared" si="11"/>
        <v>11836482</v>
      </c>
      <c r="I75" s="32"/>
      <c r="J75" s="4"/>
    </row>
    <row r="76" spans="1:10" x14ac:dyDescent="0.2">
      <c r="B76" s="29" t="s">
        <v>53</v>
      </c>
      <c r="C76" s="29">
        <v>3</v>
      </c>
      <c r="D76" s="29" t="s">
        <v>54</v>
      </c>
      <c r="E76" s="30">
        <v>41000000</v>
      </c>
      <c r="F76" s="29"/>
      <c r="G76" s="29"/>
      <c r="H76" s="31">
        <f t="shared" si="11"/>
        <v>123000000</v>
      </c>
      <c r="I76" s="32"/>
      <c r="J76" s="4"/>
    </row>
    <row r="77" spans="1:10" x14ac:dyDescent="0.2">
      <c r="B77" s="29" t="s">
        <v>56</v>
      </c>
      <c r="C77" s="29">
        <v>2</v>
      </c>
      <c r="D77" s="29" t="s">
        <v>55</v>
      </c>
      <c r="E77" s="30">
        <v>31162519.920000002</v>
      </c>
      <c r="F77" s="29"/>
      <c r="G77" s="29"/>
      <c r="H77" s="31">
        <f t="shared" si="11"/>
        <v>62325039.840000004</v>
      </c>
      <c r="I77" s="32"/>
      <c r="J77" s="4"/>
    </row>
    <row r="78" spans="1:10" x14ac:dyDescent="0.2">
      <c r="B78" s="29" t="s">
        <v>57</v>
      </c>
      <c r="C78" s="29">
        <v>3</v>
      </c>
      <c r="D78" s="29" t="s">
        <v>55</v>
      </c>
      <c r="E78" s="30">
        <v>49497312.195</v>
      </c>
      <c r="F78" s="29"/>
      <c r="G78" s="29"/>
      <c r="H78" s="31">
        <f t="shared" si="11"/>
        <v>148491936.58500001</v>
      </c>
      <c r="I78" s="32"/>
      <c r="J78" s="4"/>
    </row>
    <row r="79" spans="1:10" s="4" customFormat="1" x14ac:dyDescent="0.2">
      <c r="A79" s="48"/>
      <c r="B79" s="29" t="s">
        <v>58</v>
      </c>
      <c r="C79" s="33">
        <v>12</v>
      </c>
      <c r="D79" s="29" t="s">
        <v>13</v>
      </c>
      <c r="E79" s="30">
        <v>1625000</v>
      </c>
      <c r="F79" s="29"/>
      <c r="G79" s="29"/>
      <c r="H79" s="31">
        <f t="shared" si="11"/>
        <v>19500000</v>
      </c>
      <c r="I79" s="35"/>
    </row>
    <row r="80" spans="1:10" s="4" customFormat="1" x14ac:dyDescent="0.2">
      <c r="A80" s="48"/>
      <c r="B80" s="29" t="s">
        <v>59</v>
      </c>
      <c r="C80" s="33">
        <v>12</v>
      </c>
      <c r="D80" s="29" t="s">
        <v>13</v>
      </c>
      <c r="E80" s="30">
        <v>325000</v>
      </c>
      <c r="F80" s="29"/>
      <c r="G80" s="29"/>
      <c r="H80" s="31">
        <f t="shared" si="11"/>
        <v>3900000</v>
      </c>
      <c r="I80" s="49"/>
    </row>
    <row r="81" spans="1:10" s="4" customFormat="1" x14ac:dyDescent="0.2">
      <c r="A81" s="48"/>
      <c r="B81" s="29" t="s">
        <v>29</v>
      </c>
      <c r="C81" s="33">
        <v>12</v>
      </c>
      <c r="D81" s="29" t="s">
        <v>13</v>
      </c>
      <c r="E81" s="30">
        <v>4120000</v>
      </c>
      <c r="F81" s="29"/>
      <c r="G81" s="29"/>
      <c r="H81" s="31">
        <f t="shared" si="11"/>
        <v>49440000</v>
      </c>
      <c r="I81" s="49"/>
    </row>
    <row r="82" spans="1:10" s="4" customFormat="1" x14ac:dyDescent="0.2">
      <c r="B82" s="29" t="s">
        <v>60</v>
      </c>
      <c r="C82" s="33">
        <v>2</v>
      </c>
      <c r="D82" s="101" t="s">
        <v>61</v>
      </c>
      <c r="E82" s="30">
        <v>46000000</v>
      </c>
      <c r="F82" s="29"/>
      <c r="G82" s="29"/>
      <c r="H82" s="31">
        <f t="shared" si="11"/>
        <v>92000000</v>
      </c>
      <c r="I82" s="35"/>
    </row>
    <row r="83" spans="1:10" x14ac:dyDescent="0.2">
      <c r="B83" s="50" t="s">
        <v>62</v>
      </c>
      <c r="C83" s="33">
        <v>4</v>
      </c>
      <c r="D83" s="29" t="s">
        <v>63</v>
      </c>
      <c r="E83" s="34">
        <v>10000000</v>
      </c>
      <c r="F83" s="29"/>
      <c r="G83" s="29"/>
      <c r="H83" s="31">
        <f t="shared" si="11"/>
        <v>40000000</v>
      </c>
      <c r="I83" s="37"/>
    </row>
    <row r="84" spans="1:10" x14ac:dyDescent="0.2">
      <c r="B84" s="29" t="s">
        <v>64</v>
      </c>
      <c r="C84" s="29">
        <v>4</v>
      </c>
      <c r="D84" s="29" t="s">
        <v>55</v>
      </c>
      <c r="E84" s="34">
        <v>43000000</v>
      </c>
      <c r="F84" s="51"/>
      <c r="G84" s="29"/>
      <c r="H84" s="31">
        <f t="shared" si="11"/>
        <v>172000000</v>
      </c>
      <c r="I84" s="37"/>
    </row>
    <row r="85" spans="1:10" x14ac:dyDescent="0.2">
      <c r="B85" s="52" t="s">
        <v>27</v>
      </c>
      <c r="C85" s="29">
        <v>1</v>
      </c>
      <c r="D85" s="29" t="s">
        <v>13</v>
      </c>
      <c r="E85" s="34">
        <v>10000000</v>
      </c>
      <c r="F85" s="53"/>
      <c r="G85" s="29"/>
      <c r="H85" s="31">
        <f t="shared" si="11"/>
        <v>10000000</v>
      </c>
      <c r="I85" s="37"/>
    </row>
    <row r="86" spans="1:10" x14ac:dyDescent="0.2">
      <c r="B86" s="54" t="s">
        <v>65</v>
      </c>
      <c r="C86" s="54">
        <v>1</v>
      </c>
      <c r="D86" s="29" t="s">
        <v>55</v>
      </c>
      <c r="E86" s="55">
        <v>15581259.960000001</v>
      </c>
      <c r="F86" s="56"/>
      <c r="G86" s="54"/>
      <c r="H86" s="31">
        <f t="shared" si="11"/>
        <v>15581259.960000001</v>
      </c>
    </row>
    <row r="87" spans="1:10" x14ac:dyDescent="0.2">
      <c r="B87" s="54" t="s">
        <v>66</v>
      </c>
      <c r="C87" s="54">
        <v>2</v>
      </c>
      <c r="D87" s="29" t="s">
        <v>55</v>
      </c>
      <c r="E87" s="55">
        <v>26398566.504000001</v>
      </c>
      <c r="F87" s="56"/>
      <c r="G87" s="54"/>
      <c r="H87" s="31">
        <f t="shared" si="11"/>
        <v>52797133.008000001</v>
      </c>
    </row>
    <row r="88" spans="1:10" x14ac:dyDescent="0.2">
      <c r="B88" s="29" t="s">
        <v>35</v>
      </c>
      <c r="C88" s="29">
        <v>4</v>
      </c>
      <c r="D88" s="29" t="s">
        <v>36</v>
      </c>
      <c r="E88" s="30">
        <v>7862772</v>
      </c>
      <c r="F88" s="36">
        <v>1</v>
      </c>
      <c r="G88" s="29">
        <v>12</v>
      </c>
      <c r="H88" s="31">
        <f t="shared" si="11"/>
        <v>31451088</v>
      </c>
      <c r="I88" s="37"/>
    </row>
    <row r="89" spans="1:10" x14ac:dyDescent="0.2">
      <c r="B89" s="29" t="s">
        <v>37</v>
      </c>
      <c r="C89" s="29">
        <v>4</v>
      </c>
      <c r="D89" s="29" t="s">
        <v>38</v>
      </c>
      <c r="E89" s="30">
        <v>1438122</v>
      </c>
      <c r="F89" s="29"/>
      <c r="G89" s="29"/>
      <c r="H89" s="31">
        <f t="shared" si="11"/>
        <v>5752488</v>
      </c>
      <c r="I89" s="37"/>
    </row>
    <row r="90" spans="1:10" x14ac:dyDescent="0.2">
      <c r="B90" s="29" t="s">
        <v>39</v>
      </c>
      <c r="C90" s="29">
        <v>8</v>
      </c>
      <c r="D90" s="29" t="s">
        <v>38</v>
      </c>
      <c r="E90" s="30">
        <v>1213122</v>
      </c>
      <c r="F90" s="29"/>
      <c r="G90" s="29"/>
      <c r="H90" s="31">
        <f t="shared" si="11"/>
        <v>9704976</v>
      </c>
      <c r="I90" s="37"/>
    </row>
    <row r="91" spans="1:10" x14ac:dyDescent="0.2">
      <c r="B91" s="29" t="s">
        <v>41</v>
      </c>
      <c r="C91" s="33">
        <v>12</v>
      </c>
      <c r="D91" s="29" t="s">
        <v>42</v>
      </c>
      <c r="E91" s="30">
        <v>3931384</v>
      </c>
      <c r="F91" s="36">
        <v>1</v>
      </c>
      <c r="G91" s="29">
        <v>8</v>
      </c>
      <c r="H91" s="31">
        <f>C91*E91*G91*F91</f>
        <v>377412864</v>
      </c>
    </row>
    <row r="92" spans="1:10" x14ac:dyDescent="0.2">
      <c r="B92" s="29" t="s">
        <v>43</v>
      </c>
      <c r="C92" s="33">
        <v>12</v>
      </c>
      <c r="D92" s="29" t="s">
        <v>13</v>
      </c>
      <c r="E92" s="30">
        <v>1160000</v>
      </c>
      <c r="F92" s="36">
        <v>1</v>
      </c>
      <c r="G92" s="29">
        <v>8</v>
      </c>
      <c r="H92" s="31">
        <f>C92*E92*G92*F92</f>
        <v>111360000</v>
      </c>
    </row>
    <row r="93" spans="1:10" x14ac:dyDescent="0.2">
      <c r="B93" s="29" t="s">
        <v>44</v>
      </c>
      <c r="C93" s="33">
        <v>12</v>
      </c>
      <c r="D93" s="29" t="s">
        <v>13</v>
      </c>
      <c r="E93" s="30">
        <v>120000</v>
      </c>
      <c r="F93" s="36">
        <v>1</v>
      </c>
      <c r="G93" s="29">
        <v>8</v>
      </c>
      <c r="H93" s="31">
        <f>C93*E93*G93*F93</f>
        <v>11520000</v>
      </c>
    </row>
    <row r="94" spans="1:10" ht="15" x14ac:dyDescent="0.25">
      <c r="B94" s="29" t="s">
        <v>67</v>
      </c>
      <c r="C94" s="29"/>
      <c r="D94" s="29"/>
      <c r="E94" s="29"/>
      <c r="F94" s="29"/>
      <c r="G94" s="29"/>
      <c r="H94" s="31" t="s">
        <v>46</v>
      </c>
      <c r="I94" s="57" t="s">
        <v>501</v>
      </c>
    </row>
    <row r="95" spans="1:10" ht="15" x14ac:dyDescent="0.25">
      <c r="B95" s="39" t="s">
        <v>11</v>
      </c>
      <c r="C95" s="40"/>
      <c r="D95" s="41"/>
      <c r="E95" s="42"/>
      <c r="F95" s="42"/>
      <c r="G95" s="41"/>
      <c r="H95" s="57">
        <f>SUM(H71:H94)-H86-H87</f>
        <v>1300044814.4250002</v>
      </c>
      <c r="I95" s="57">
        <f>H95/12</f>
        <v>108337067.86875002</v>
      </c>
    </row>
    <row r="96" spans="1:10" s="4" customFormat="1" ht="260.45" hidden="1" customHeight="1" x14ac:dyDescent="0.25">
      <c r="B96" s="192" t="s">
        <v>68</v>
      </c>
      <c r="C96" s="45"/>
      <c r="D96" s="45"/>
      <c r="E96" s="45"/>
      <c r="F96" s="45"/>
      <c r="G96" s="45"/>
      <c r="H96" s="57">
        <f>SUM(H72:H95)</f>
        <v>2662468021.8180003</v>
      </c>
      <c r="I96" s="2"/>
      <c r="J96" s="2"/>
    </row>
    <row r="97" spans="2:24" ht="15" x14ac:dyDescent="0.25">
      <c r="B97" s="39" t="s">
        <v>284</v>
      </c>
      <c r="H97" s="57">
        <f>SUM(H71:H94)+H86+H87</f>
        <v>1436801600.3610001</v>
      </c>
    </row>
    <row r="98" spans="2:24" ht="287.45" customHeight="1" x14ac:dyDescent="0.2">
      <c r="B98" s="215" t="s">
        <v>1092</v>
      </c>
      <c r="C98" s="4"/>
      <c r="D98" s="4"/>
      <c r="E98" s="4"/>
      <c r="F98" s="25"/>
      <c r="G98" s="25"/>
    </row>
    <row r="99" spans="2:24" x14ac:dyDescent="0.2">
      <c r="B99" s="215"/>
      <c r="C99" s="4"/>
      <c r="D99" s="4"/>
      <c r="E99" s="4"/>
      <c r="F99" s="25"/>
      <c r="G99" s="25"/>
    </row>
    <row r="100" spans="2:24" x14ac:dyDescent="0.2">
      <c r="B100" s="44"/>
      <c r="C100" s="4"/>
      <c r="D100" s="4"/>
      <c r="E100" s="4"/>
      <c r="F100" s="25"/>
      <c r="G100" s="25"/>
    </row>
    <row r="101" spans="2:24" ht="15" x14ac:dyDescent="0.25">
      <c r="B101" s="680" t="str">
        <f>B10</f>
        <v>1.3. Mejora de la comercialización de la papa y sus derivados</v>
      </c>
      <c r="C101" s="681"/>
      <c r="D101" s="681"/>
      <c r="E101" s="681"/>
      <c r="F101" s="681"/>
      <c r="G101" s="681"/>
      <c r="H101" s="681"/>
    </row>
    <row r="102" spans="2:24" ht="32.1" customHeight="1" x14ac:dyDescent="0.25">
      <c r="B102" s="685" t="str">
        <f>Portafolio_PA_Papa!E13</f>
        <v>1.3.1. Socializar y capacitar a los agentes de la cadena en la aplicación de la normatividad y las normas técnicas para la comercialización de la papa fresca, que se diseñen en la actividad 7.2.3, para formalizar y mejorar las condiciones de comercialización según las variedades, las necesidades del consumidor, entre otras.</v>
      </c>
      <c r="C102" s="685"/>
      <c r="D102" s="685"/>
      <c r="E102" s="685"/>
      <c r="F102" s="685"/>
      <c r="G102" s="685"/>
      <c r="H102" s="685"/>
      <c r="I102" s="536"/>
    </row>
    <row r="103" spans="2:24" ht="42.6" customHeight="1" x14ac:dyDescent="0.25">
      <c r="B103" s="685" t="str">
        <f>Portafolio_PA_Papa!E14</f>
        <v xml:space="preserve">1.3.2. Realizar acompañamiento técnico, comercial, financiero, normativo, entre otros, a productores y organizaciones de productores, comercializadores y procesadores de papa, para reducir la intermediación, generar economías de escala, diversificar la oferta, agregar valor, y aumentar la eficiencia en la logística, a través de mecanismos como ferias comerciales, ruedas de negocios, contratos de suministro, entre otros, en articulación con los instrumentos existentes, como por ejemplo la estrategia de comercialización de agricultura por contrato y la estrategia 360 grados para la mitigación de riesgos agropecuarios. </v>
      </c>
      <c r="C103" s="685"/>
      <c r="D103" s="685"/>
      <c r="E103" s="685"/>
      <c r="F103" s="685"/>
      <c r="G103" s="685"/>
      <c r="H103" s="685"/>
      <c r="I103" s="536"/>
    </row>
    <row r="104" spans="2:24" ht="15" x14ac:dyDescent="0.25">
      <c r="B104" s="685" t="str">
        <f>Portafolio_PA_Papa!E15</f>
        <v>1.3.3. Desarrollar circuitos cortos de comercialización en mercados campesinos y comunitarios, con base en el comportamiento y tendencias del mercado, a través de la creación y fortalecimiento de alianzas y redes territoriales en las regiones productoras de papa.</v>
      </c>
      <c r="C104" s="685"/>
      <c r="D104" s="685"/>
      <c r="E104" s="685"/>
      <c r="F104" s="685"/>
      <c r="G104" s="685"/>
      <c r="H104" s="685"/>
      <c r="I104" s="536"/>
    </row>
    <row r="105" spans="2:24" ht="15" x14ac:dyDescent="0.25">
      <c r="B105" s="685" t="str">
        <f>Portafolio_PA_Papa!E16</f>
        <v>1.3.4. Establecer convenios público-privados, para promover las compras públicas de papa y sus derivados a través de los programas oficiales de alimentación a nivel nacional, departamental y municipal.</v>
      </c>
      <c r="C105" s="685"/>
      <c r="D105" s="685"/>
      <c r="E105" s="685"/>
      <c r="F105" s="685"/>
      <c r="G105" s="685"/>
      <c r="H105" s="685"/>
      <c r="I105" s="536"/>
    </row>
    <row r="106" spans="2:24" ht="30.6" customHeight="1" x14ac:dyDescent="0.25">
      <c r="B106" s="685" t="str">
        <f>Portafolio_PA_Papa!E17</f>
        <v xml:space="preserve">1.3.5. Escalar la implementación de los instrumentos de comercialización de papa, de acuerdo con los estudios de la actividad 8.3.4 y los avances de la actividad 8.4.4, sobre diseño y/o mejora de instrumentos de comercialización, a partir de incentivos y cofinanciación específica para los usuarios de estos instrumentos, así como de priorizar su atención en los diferentes programas estatales. </v>
      </c>
      <c r="C106" s="684"/>
      <c r="D106" s="684"/>
      <c r="E106" s="684"/>
      <c r="F106" s="684"/>
      <c r="G106" s="684"/>
      <c r="H106" s="684"/>
      <c r="I106" s="317"/>
    </row>
    <row r="107" spans="2:24" ht="18" customHeight="1" x14ac:dyDescent="0.25">
      <c r="B107" s="685" t="str">
        <f>Portafolio_PA_Papa!E18</f>
        <v xml:space="preserve">1.3.6. Impulsar la mejora de la infraestructura de comercialización local (plazas locales y centros mayoristas de origen) en puntos estratégicos a nivel regional, realizando las adecuaciones locativas requeridas e incorporando plataformas de información. </v>
      </c>
      <c r="C107" s="685"/>
      <c r="D107" s="685"/>
      <c r="E107" s="685"/>
      <c r="F107" s="685"/>
      <c r="G107" s="685"/>
      <c r="H107" s="685"/>
      <c r="I107" s="317"/>
    </row>
    <row r="108" spans="2:24" ht="14.1" customHeight="1" x14ac:dyDescent="0.25">
      <c r="B108" s="398"/>
      <c r="C108" s="215"/>
      <c r="D108" s="4"/>
      <c r="E108" s="4"/>
      <c r="F108" s="4"/>
      <c r="G108" s="25"/>
      <c r="H108" s="25"/>
      <c r="I108" s="536"/>
    </row>
    <row r="109" spans="2:24" ht="15" x14ac:dyDescent="0.25">
      <c r="B109" s="544" t="s">
        <v>1128</v>
      </c>
      <c r="C109" s="319"/>
      <c r="D109" s="319"/>
      <c r="E109" s="319"/>
      <c r="F109" s="319"/>
      <c r="G109" s="319"/>
      <c r="H109" s="319"/>
    </row>
    <row r="110" spans="2:24" ht="15" x14ac:dyDescent="0.25">
      <c r="B110" s="26" t="s">
        <v>5</v>
      </c>
      <c r="C110" s="26" t="s">
        <v>6</v>
      </c>
      <c r="D110" s="26" t="s">
        <v>7</v>
      </c>
      <c r="E110" s="26" t="s">
        <v>8</v>
      </c>
      <c r="F110" s="27" t="s">
        <v>9</v>
      </c>
      <c r="G110" s="26" t="s">
        <v>10</v>
      </c>
      <c r="H110" s="26" t="s">
        <v>11</v>
      </c>
      <c r="X110" s="28"/>
    </row>
    <row r="111" spans="2:24" x14ac:dyDescent="0.2">
      <c r="B111" s="29" t="s">
        <v>12</v>
      </c>
      <c r="C111" s="29">
        <v>12</v>
      </c>
      <c r="D111" s="29" t="s">
        <v>13</v>
      </c>
      <c r="E111" s="30">
        <v>500000</v>
      </c>
      <c r="F111" s="29"/>
      <c r="G111" s="29"/>
      <c r="H111" s="31">
        <f>C111*E111</f>
        <v>6000000</v>
      </c>
    </row>
    <row r="112" spans="2:24" x14ac:dyDescent="0.2">
      <c r="B112" s="29" t="s">
        <v>14</v>
      </c>
      <c r="C112" s="29">
        <v>12</v>
      </c>
      <c r="D112" s="29" t="s">
        <v>13</v>
      </c>
      <c r="E112" s="30">
        <v>100000</v>
      </c>
      <c r="F112" s="29"/>
      <c r="G112" s="29"/>
      <c r="H112" s="31">
        <f t="shared" ref="H112:H114" si="12">C112*E112</f>
        <v>1200000</v>
      </c>
    </row>
    <row r="113" spans="2:10" x14ac:dyDescent="0.2">
      <c r="B113" s="29" t="s">
        <v>17</v>
      </c>
      <c r="C113" s="33">
        <v>24</v>
      </c>
      <c r="D113" s="29" t="s">
        <v>13</v>
      </c>
      <c r="E113" s="30">
        <v>1625000</v>
      </c>
      <c r="F113" s="29"/>
      <c r="G113" s="29"/>
      <c r="H113" s="31">
        <f t="shared" si="12"/>
        <v>39000000</v>
      </c>
    </row>
    <row r="114" spans="2:10" x14ac:dyDescent="0.2">
      <c r="B114" s="29" t="s">
        <v>18</v>
      </c>
      <c r="C114" s="33">
        <v>24</v>
      </c>
      <c r="D114" s="29" t="s">
        <v>13</v>
      </c>
      <c r="E114" s="30">
        <v>325000</v>
      </c>
      <c r="F114" s="29"/>
      <c r="G114" s="29"/>
      <c r="H114" s="31">
        <f t="shared" si="12"/>
        <v>7800000</v>
      </c>
    </row>
    <row r="115" spans="2:10" x14ac:dyDescent="0.2">
      <c r="B115" s="29" t="s">
        <v>29</v>
      </c>
      <c r="C115" s="33">
        <v>24</v>
      </c>
      <c r="D115" s="29" t="s">
        <v>13</v>
      </c>
      <c r="E115" s="34">
        <v>4120000</v>
      </c>
      <c r="F115" s="29"/>
      <c r="G115" s="29"/>
      <c r="H115" s="31">
        <f t="shared" ref="H115:H123" si="13">C115*E115</f>
        <v>98880000</v>
      </c>
      <c r="I115" s="35"/>
      <c r="J115" s="4"/>
    </row>
    <row r="116" spans="2:10" x14ac:dyDescent="0.2">
      <c r="B116" s="29" t="s">
        <v>143</v>
      </c>
      <c r="C116" s="33">
        <v>24</v>
      </c>
      <c r="D116" s="29" t="s">
        <v>13</v>
      </c>
      <c r="E116" s="34">
        <v>23700000</v>
      </c>
      <c r="F116" s="29"/>
      <c r="G116" s="29"/>
      <c r="H116" s="31">
        <f t="shared" si="13"/>
        <v>568800000</v>
      </c>
      <c r="I116" s="35"/>
      <c r="J116" s="4"/>
    </row>
    <row r="117" spans="2:10" x14ac:dyDescent="0.2">
      <c r="B117" s="29" t="s">
        <v>142</v>
      </c>
      <c r="C117" s="33">
        <v>24</v>
      </c>
      <c r="D117" s="29" t="s">
        <v>13</v>
      </c>
      <c r="E117" s="34">
        <v>10000000</v>
      </c>
      <c r="F117" s="29"/>
      <c r="G117" s="29"/>
      <c r="H117" s="31">
        <f t="shared" si="13"/>
        <v>240000000</v>
      </c>
      <c r="I117" s="35"/>
      <c r="J117" s="4"/>
    </row>
    <row r="118" spans="2:10" x14ac:dyDescent="0.2">
      <c r="B118" s="29" t="s">
        <v>252</v>
      </c>
      <c r="C118" s="33">
        <f>12*4</f>
        <v>48</v>
      </c>
      <c r="D118" s="29" t="s">
        <v>13</v>
      </c>
      <c r="E118" s="34">
        <v>3800000</v>
      </c>
      <c r="F118" s="29"/>
      <c r="G118" s="29"/>
      <c r="H118" s="31">
        <f t="shared" si="13"/>
        <v>182400000</v>
      </c>
      <c r="I118" s="35"/>
      <c r="J118" s="4"/>
    </row>
    <row r="119" spans="2:10" x14ac:dyDescent="0.2">
      <c r="B119" s="29" t="s">
        <v>144</v>
      </c>
      <c r="C119" s="33">
        <v>12</v>
      </c>
      <c r="D119" s="29" t="s">
        <v>13</v>
      </c>
      <c r="E119" s="34">
        <v>25000000</v>
      </c>
      <c r="F119" s="29"/>
      <c r="G119" s="29"/>
      <c r="H119" s="31">
        <f>C119*E119</f>
        <v>300000000</v>
      </c>
      <c r="I119" s="35"/>
      <c r="J119" s="4"/>
    </row>
    <row r="120" spans="2:10" x14ac:dyDescent="0.2">
      <c r="B120" s="29" t="s">
        <v>27</v>
      </c>
      <c r="C120" s="33">
        <v>12</v>
      </c>
      <c r="D120" s="29" t="s">
        <v>13</v>
      </c>
      <c r="E120" s="34">
        <v>2000000</v>
      </c>
      <c r="F120" s="29"/>
      <c r="G120" s="29"/>
      <c r="H120" s="31">
        <f t="shared" si="13"/>
        <v>24000000</v>
      </c>
      <c r="I120" s="35"/>
      <c r="J120" s="4"/>
    </row>
    <row r="121" spans="2:10" x14ac:dyDescent="0.2">
      <c r="B121" s="29" t="s">
        <v>386</v>
      </c>
      <c r="C121" s="29">
        <v>6</v>
      </c>
      <c r="D121" s="29" t="s">
        <v>36</v>
      </c>
      <c r="E121" s="30">
        <v>5032173</v>
      </c>
      <c r="F121" s="29"/>
      <c r="G121" s="29">
        <v>10</v>
      </c>
      <c r="H121" s="31">
        <f>C121*E121</f>
        <v>30193038</v>
      </c>
      <c r="I121" s="32"/>
      <c r="J121" s="4"/>
    </row>
    <row r="122" spans="2:10" x14ac:dyDescent="0.2">
      <c r="B122" s="29" t="s">
        <v>260</v>
      </c>
      <c r="C122" s="62">
        <v>400000</v>
      </c>
      <c r="D122" s="29" t="s">
        <v>261</v>
      </c>
      <c r="E122" s="34">
        <v>37899.999999999993</v>
      </c>
      <c r="F122" s="36">
        <v>0.5</v>
      </c>
      <c r="G122" s="29"/>
      <c r="H122" s="31">
        <f>C122*E122*F122</f>
        <v>7579999999.9999981</v>
      </c>
      <c r="I122" s="35"/>
      <c r="J122" s="4"/>
    </row>
    <row r="123" spans="2:10" x14ac:dyDescent="0.2">
      <c r="B123" s="29" t="s">
        <v>384</v>
      </c>
      <c r="C123" s="62">
        <v>10</v>
      </c>
      <c r="D123" s="29" t="s">
        <v>55</v>
      </c>
      <c r="E123" s="34">
        <v>5000000</v>
      </c>
      <c r="F123" s="29"/>
      <c r="G123" s="29"/>
      <c r="H123" s="31">
        <f t="shared" si="13"/>
        <v>50000000</v>
      </c>
      <c r="I123" s="35"/>
      <c r="J123" s="4"/>
    </row>
    <row r="124" spans="2:10" x14ac:dyDescent="0.2">
      <c r="B124" s="33" t="s">
        <v>1143</v>
      </c>
      <c r="C124" s="62">
        <v>4</v>
      </c>
      <c r="D124" s="33" t="s">
        <v>13</v>
      </c>
      <c r="E124" s="34">
        <v>750000000</v>
      </c>
      <c r="F124" s="549">
        <v>0.3</v>
      </c>
      <c r="G124" s="38"/>
      <c r="H124" s="31">
        <f>C124*E124*F124</f>
        <v>900000000</v>
      </c>
      <c r="I124" s="35"/>
      <c r="J124" s="4"/>
    </row>
    <row r="125" spans="2:10" x14ac:dyDescent="0.2">
      <c r="B125" s="29" t="s">
        <v>387</v>
      </c>
      <c r="C125" s="29">
        <v>2</v>
      </c>
      <c r="D125" s="29" t="s">
        <v>55</v>
      </c>
      <c r="E125" s="30">
        <v>10745859.024</v>
      </c>
      <c r="F125" s="29"/>
      <c r="G125" s="29"/>
      <c r="H125" s="31">
        <f t="shared" ref="H125:H127" si="14">C125*E125</f>
        <v>21491718.048</v>
      </c>
      <c r="I125" s="32"/>
      <c r="J125" s="4"/>
    </row>
    <row r="126" spans="2:10" x14ac:dyDescent="0.2">
      <c r="B126" s="29" t="s">
        <v>56</v>
      </c>
      <c r="C126" s="29">
        <v>2</v>
      </c>
      <c r="D126" s="29" t="s">
        <v>55</v>
      </c>
      <c r="E126" s="30">
        <v>31162519.920000002</v>
      </c>
      <c r="F126" s="29"/>
      <c r="G126" s="29"/>
      <c r="H126" s="31">
        <f t="shared" si="14"/>
        <v>62325039.840000004</v>
      </c>
      <c r="I126" s="32"/>
      <c r="J126" s="4"/>
    </row>
    <row r="127" spans="2:10" x14ac:dyDescent="0.2">
      <c r="B127" s="29" t="s">
        <v>57</v>
      </c>
      <c r="C127" s="29">
        <v>2</v>
      </c>
      <c r="D127" s="29" t="s">
        <v>55</v>
      </c>
      <c r="E127" s="30">
        <v>49497312.195</v>
      </c>
      <c r="F127" s="29"/>
      <c r="G127" s="29"/>
      <c r="H127" s="31">
        <f t="shared" si="14"/>
        <v>98994624.390000001</v>
      </c>
      <c r="I127" s="32"/>
      <c r="J127" s="4"/>
    </row>
    <row r="128" spans="2:10" x14ac:dyDescent="0.2">
      <c r="B128" s="29" t="s">
        <v>35</v>
      </c>
      <c r="C128" s="29">
        <v>3</v>
      </c>
      <c r="D128" s="29" t="s">
        <v>36</v>
      </c>
      <c r="E128" s="30">
        <v>7862772</v>
      </c>
      <c r="F128" s="36">
        <v>1</v>
      </c>
      <c r="G128" s="29">
        <v>12</v>
      </c>
      <c r="H128" s="31">
        <f>C128*E128*G128*F128</f>
        <v>283059792</v>
      </c>
      <c r="I128" s="37"/>
    </row>
    <row r="129" spans="2:10" x14ac:dyDescent="0.2">
      <c r="B129" s="29" t="s">
        <v>37</v>
      </c>
      <c r="C129" s="33">
        <v>3</v>
      </c>
      <c r="D129" s="29" t="s">
        <v>38</v>
      </c>
      <c r="E129" s="30">
        <v>1438122</v>
      </c>
      <c r="F129" s="29"/>
      <c r="G129" s="29"/>
      <c r="H129" s="31">
        <f>C129*E129</f>
        <v>4314366</v>
      </c>
      <c r="I129" s="37"/>
    </row>
    <row r="130" spans="2:10" x14ac:dyDescent="0.2">
      <c r="B130" s="29" t="s">
        <v>39</v>
      </c>
      <c r="C130" s="33">
        <v>9</v>
      </c>
      <c r="D130" s="29" t="s">
        <v>40</v>
      </c>
      <c r="E130" s="30">
        <v>1213122</v>
      </c>
      <c r="F130" s="29"/>
      <c r="G130" s="29"/>
      <c r="H130" s="31">
        <f>C130*E130</f>
        <v>10918098</v>
      </c>
      <c r="I130" s="37"/>
    </row>
    <row r="131" spans="2:10" x14ac:dyDescent="0.2">
      <c r="B131" s="29" t="s">
        <v>41</v>
      </c>
      <c r="C131" s="33">
        <v>12</v>
      </c>
      <c r="D131" s="29" t="s">
        <v>42</v>
      </c>
      <c r="E131" s="30">
        <v>3931384</v>
      </c>
      <c r="F131" s="36">
        <v>1</v>
      </c>
      <c r="G131" s="29">
        <v>8</v>
      </c>
      <c r="H131" s="31">
        <f>C131*E131*G131*F131</f>
        <v>377412864</v>
      </c>
    </row>
    <row r="132" spans="2:10" x14ac:dyDescent="0.2">
      <c r="B132" s="29" t="s">
        <v>43</v>
      </c>
      <c r="C132" s="33">
        <v>12</v>
      </c>
      <c r="D132" s="29" t="s">
        <v>13</v>
      </c>
      <c r="E132" s="30">
        <v>1160000</v>
      </c>
      <c r="F132" s="36">
        <v>1</v>
      </c>
      <c r="G132" s="29">
        <v>8</v>
      </c>
      <c r="H132" s="31">
        <f>C132*E132*G132*F132</f>
        <v>111360000</v>
      </c>
    </row>
    <row r="133" spans="2:10" ht="13.5" customHeight="1" x14ac:dyDescent="0.2">
      <c r="B133" s="29" t="s">
        <v>44</v>
      </c>
      <c r="C133" s="33">
        <v>12</v>
      </c>
      <c r="D133" s="29" t="s">
        <v>13</v>
      </c>
      <c r="E133" s="30">
        <v>120000</v>
      </c>
      <c r="F133" s="36">
        <v>1</v>
      </c>
      <c r="G133" s="29">
        <v>8</v>
      </c>
      <c r="H133" s="31">
        <f>C133*E133*G133*F133</f>
        <v>11520000</v>
      </c>
    </row>
    <row r="134" spans="2:10" x14ac:dyDescent="0.2">
      <c r="B134" s="29" t="s">
        <v>383</v>
      </c>
      <c r="C134" s="38"/>
      <c r="D134" s="29"/>
      <c r="E134" s="30"/>
      <c r="F134" s="36"/>
      <c r="G134" s="29"/>
      <c r="H134" s="31" t="s">
        <v>46</v>
      </c>
    </row>
    <row r="135" spans="2:10" x14ac:dyDescent="0.2">
      <c r="B135" s="29" t="s">
        <v>382</v>
      </c>
      <c r="C135" s="38"/>
      <c r="D135" s="29"/>
      <c r="E135" s="30"/>
      <c r="F135" s="36"/>
      <c r="G135" s="29"/>
      <c r="H135" s="31" t="s">
        <v>46</v>
      </c>
    </row>
    <row r="136" spans="2:10" x14ac:dyDescent="0.2">
      <c r="B136" s="29" t="s">
        <v>385</v>
      </c>
      <c r="C136" s="38"/>
      <c r="D136" s="29"/>
      <c r="E136" s="30"/>
      <c r="F136" s="36"/>
      <c r="G136" s="29"/>
      <c r="H136" s="31" t="s">
        <v>46</v>
      </c>
    </row>
    <row r="137" spans="2:10" ht="15" x14ac:dyDescent="0.25">
      <c r="B137" s="29" t="s">
        <v>47</v>
      </c>
      <c r="C137" s="29"/>
      <c r="D137" s="29"/>
      <c r="E137" s="29"/>
      <c r="F137" s="29"/>
      <c r="G137" s="29"/>
      <c r="H137" s="30" t="s">
        <v>46</v>
      </c>
      <c r="I137" s="43" t="s">
        <v>501</v>
      </c>
    </row>
    <row r="138" spans="2:10" ht="15" x14ac:dyDescent="0.25">
      <c r="B138" s="39" t="s">
        <v>502</v>
      </c>
      <c r="C138" s="40"/>
      <c r="D138" s="41"/>
      <c r="E138" s="41"/>
      <c r="F138" s="42"/>
      <c r="G138" s="220"/>
      <c r="H138" s="43">
        <f>SUM(H111:H136)-H122-H124</f>
        <v>2529669540.2779999</v>
      </c>
      <c r="I138" s="43">
        <f>H138/12</f>
        <v>210805795.02316666</v>
      </c>
    </row>
    <row r="139" spans="2:10" ht="15" x14ac:dyDescent="0.25">
      <c r="B139" s="39" t="s">
        <v>420</v>
      </c>
      <c r="C139" s="218"/>
      <c r="D139" s="218"/>
      <c r="E139" s="218"/>
      <c r="F139" s="218"/>
      <c r="G139" s="218"/>
      <c r="H139" s="43">
        <f>H138+H122+H124</f>
        <v>11009669540.277998</v>
      </c>
    </row>
    <row r="140" spans="2:10" s="4" customFormat="1" ht="378.6" customHeight="1" x14ac:dyDescent="0.2">
      <c r="B140" s="216" t="s">
        <v>1093</v>
      </c>
      <c r="C140" s="45"/>
      <c r="D140" s="45"/>
      <c r="E140" s="45"/>
      <c r="F140" s="45"/>
      <c r="G140" s="45"/>
      <c r="H140" s="45"/>
      <c r="I140" s="2"/>
      <c r="J140" s="2"/>
    </row>
  </sheetData>
  <sheetProtection algorithmName="SHA-512" hashValue="3VMifTpyG6MpJRlA0EKMIsU5L4l+O77aiaU8xdzF0ypMICHKKbnMpJf/R+xje/SWp+iu9VOxyVuAgpdD7RlODQ==" saltValue="13RFP2xq5lFkx6PTdPA4/A==" spinCount="100000" sheet="1" objects="1" scenarios="1"/>
  <mergeCells count="20">
    <mergeCell ref="B107:H107"/>
    <mergeCell ref="B60:H61"/>
    <mergeCell ref="B102:H102"/>
    <mergeCell ref="B103:H103"/>
    <mergeCell ref="B104:H104"/>
    <mergeCell ref="B105:H105"/>
    <mergeCell ref="B106:H106"/>
    <mergeCell ref="B13:H14"/>
    <mergeCell ref="B101:H101"/>
    <mergeCell ref="B15:H15"/>
    <mergeCell ref="B62:H62"/>
    <mergeCell ref="B66:H66"/>
    <mergeCell ref="B67:H67"/>
    <mergeCell ref="B63:H63"/>
    <mergeCell ref="B64:H64"/>
    <mergeCell ref="B65:H65"/>
    <mergeCell ref="B16:H16"/>
    <mergeCell ref="B17:H17"/>
    <mergeCell ref="B18:H18"/>
    <mergeCell ref="B19:H1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88"/>
  <sheetViews>
    <sheetView showGridLines="0" zoomScale="60" zoomScaleNormal="60" workbookViewId="0">
      <selection activeCell="B3" sqref="B3"/>
    </sheetView>
  </sheetViews>
  <sheetFormatPr baseColWidth="10" defaultColWidth="10.7109375" defaultRowHeight="14.25" x14ac:dyDescent="0.2"/>
  <cols>
    <col min="1" max="1" width="13.42578125" style="2" customWidth="1"/>
    <col min="2" max="2" width="94.42578125" style="2" customWidth="1"/>
    <col min="3" max="3" width="34.85546875" style="2" customWidth="1"/>
    <col min="4" max="4" width="27.140625" style="2" customWidth="1"/>
    <col min="5" max="5" width="22.42578125" style="2" customWidth="1"/>
    <col min="6" max="7" width="21.7109375" style="2" bestFit="1" customWidth="1"/>
    <col min="8" max="8" width="21.140625" style="2" customWidth="1"/>
    <col min="9" max="9" width="21.42578125" style="2" customWidth="1"/>
    <col min="10" max="11" width="21.42578125" style="2" bestFit="1" customWidth="1"/>
    <col min="12" max="12" width="21" style="2" bestFit="1" customWidth="1"/>
    <col min="13" max="13" width="21.7109375" style="2" bestFit="1" customWidth="1"/>
    <col min="14" max="15" width="21.42578125" style="2" bestFit="1" customWidth="1"/>
    <col min="16" max="16" width="21" style="2" bestFit="1" customWidth="1"/>
    <col min="17" max="17" width="21.42578125" style="2" bestFit="1" customWidth="1"/>
    <col min="18" max="19" width="21" style="2" bestFit="1" customWidth="1"/>
    <col min="20" max="20" width="20.140625" style="2" bestFit="1" customWidth="1"/>
    <col min="21" max="22" width="21" style="2" bestFit="1" customWidth="1"/>
    <col min="23" max="23" width="20.42578125" style="2" bestFit="1" customWidth="1"/>
    <col min="24" max="24" width="25.42578125" style="2" customWidth="1"/>
    <col min="25" max="25" width="22.28515625" style="2" bestFit="1" customWidth="1"/>
    <col min="26" max="26" width="19.140625" style="2" bestFit="1" customWidth="1"/>
    <col min="27" max="27" width="17" style="2" bestFit="1" customWidth="1"/>
    <col min="28" max="28" width="17.85546875" style="2" customWidth="1"/>
    <col min="29" max="16384" width="10.7109375" style="2"/>
  </cols>
  <sheetData>
    <row r="2" spans="1:26" ht="15" x14ac:dyDescent="0.25">
      <c r="A2" s="1" t="s">
        <v>0</v>
      </c>
    </row>
    <row r="3" spans="1:26" s="4" customFormat="1" ht="15" x14ac:dyDescent="0.25">
      <c r="A3" s="3"/>
    </row>
    <row r="4" spans="1:26" ht="21.6" customHeight="1" x14ac:dyDescent="0.25">
      <c r="A4" s="5"/>
      <c r="B4" s="6" t="str">
        <f>Portafolio_PA_Papa!C19</f>
        <v>2. Mejora de la productividad en la producción y procesamiento de papa</v>
      </c>
      <c r="C4" s="7"/>
      <c r="D4" s="8"/>
    </row>
    <row r="5" spans="1:26" ht="26.1" customHeight="1" x14ac:dyDescent="0.2"/>
    <row r="6" spans="1:26" ht="15" x14ac:dyDescent="0.25">
      <c r="E6" s="9">
        <v>1</v>
      </c>
      <c r="F6" s="9">
        <v>2</v>
      </c>
      <c r="G6" s="9">
        <v>3</v>
      </c>
      <c r="H6" s="9">
        <v>4</v>
      </c>
      <c r="I6" s="9">
        <v>5</v>
      </c>
      <c r="J6" s="9">
        <v>6</v>
      </c>
      <c r="K6" s="9">
        <v>7</v>
      </c>
      <c r="L6" s="9">
        <v>8</v>
      </c>
      <c r="M6" s="9">
        <v>9</v>
      </c>
      <c r="N6" s="9">
        <v>10</v>
      </c>
      <c r="O6" s="9">
        <v>11</v>
      </c>
      <c r="P6" s="9">
        <v>12</v>
      </c>
      <c r="Q6" s="9">
        <v>13</v>
      </c>
      <c r="R6" s="9">
        <v>14</v>
      </c>
      <c r="S6" s="9">
        <v>15</v>
      </c>
      <c r="T6" s="9">
        <v>16</v>
      </c>
      <c r="U6" s="9">
        <v>17</v>
      </c>
      <c r="V6" s="9">
        <v>18</v>
      </c>
      <c r="W6" s="9">
        <v>19</v>
      </c>
      <c r="X6" s="9">
        <v>20</v>
      </c>
      <c r="Y6" s="9" t="s">
        <v>1</v>
      </c>
    </row>
    <row r="7" spans="1:26" s="13" customFormat="1" ht="15" x14ac:dyDescent="0.25">
      <c r="A7" s="2"/>
      <c r="B7" s="10" t="s">
        <v>2</v>
      </c>
      <c r="C7" s="11" t="s">
        <v>3</v>
      </c>
      <c r="D7" s="11" t="s">
        <v>4</v>
      </c>
      <c r="E7" s="12">
        <f>SUM(E8:E13)</f>
        <v>2749724523.3333335</v>
      </c>
      <c r="F7" s="12">
        <f t="shared" ref="F7:X7" si="0">SUM(F8:F13)</f>
        <v>23280923977.298244</v>
      </c>
      <c r="G7" s="12">
        <f t="shared" si="0"/>
        <v>29626157430.700893</v>
      </c>
      <c r="H7" s="12">
        <f t="shared" si="0"/>
        <v>32607407430.700893</v>
      </c>
      <c r="I7" s="12">
        <f t="shared" si="0"/>
        <v>32786282430.700893</v>
      </c>
      <c r="J7" s="12">
        <f t="shared" si="0"/>
        <v>32975889930.700893</v>
      </c>
      <c r="K7" s="12">
        <f t="shared" si="0"/>
        <v>29782407518.432892</v>
      </c>
      <c r="L7" s="12">
        <f t="shared" si="0"/>
        <v>29995450505.432892</v>
      </c>
      <c r="M7" s="12">
        <f t="shared" si="0"/>
        <v>30221276071.652893</v>
      </c>
      <c r="N7" s="12">
        <f t="shared" si="0"/>
        <v>30460651171.846092</v>
      </c>
      <c r="O7" s="12">
        <f t="shared" si="0"/>
        <v>28507326504.050884</v>
      </c>
      <c r="P7" s="12">
        <f t="shared" si="0"/>
        <v>23904443665.692966</v>
      </c>
      <c r="Q7" s="12">
        <f t="shared" si="0"/>
        <v>23918000770.174667</v>
      </c>
      <c r="R7" s="12">
        <f t="shared" si="0"/>
        <v>18881241623.647892</v>
      </c>
      <c r="S7" s="12">
        <f t="shared" si="0"/>
        <v>18881241623.647892</v>
      </c>
      <c r="T7" s="12">
        <f t="shared" si="0"/>
        <v>18881241623.647892</v>
      </c>
      <c r="U7" s="12">
        <f t="shared" si="0"/>
        <v>18881241623.647892</v>
      </c>
      <c r="V7" s="12">
        <f t="shared" si="0"/>
        <v>18881241623.647892</v>
      </c>
      <c r="W7" s="12">
        <f t="shared" si="0"/>
        <v>18881241623.647892</v>
      </c>
      <c r="X7" s="12">
        <f t="shared" si="0"/>
        <v>16747408995.647894</v>
      </c>
      <c r="Y7" s="12">
        <f>SUM(E7:X7)</f>
        <v>480850800668.25372</v>
      </c>
    </row>
    <row r="8" spans="1:26" s="18" customFormat="1" x14ac:dyDescent="0.2">
      <c r="A8" s="14"/>
      <c r="B8" s="15" t="str">
        <f>Portafolio_PA_Papa!D19</f>
        <v>2.1. Mejora de la producción de semilla certificada de papa</v>
      </c>
      <c r="C8" s="16" t="s">
        <v>494</v>
      </c>
      <c r="D8" s="16" t="s">
        <v>493</v>
      </c>
      <c r="E8" s="17">
        <f>I54*4</f>
        <v>1488409388</v>
      </c>
      <c r="F8" s="17">
        <f>H55</f>
        <v>5063428404</v>
      </c>
      <c r="G8" s="17">
        <f>F8</f>
        <v>5063428404</v>
      </c>
      <c r="H8" s="17">
        <f>G8</f>
        <v>5063428404</v>
      </c>
      <c r="I8" s="17">
        <f>H8</f>
        <v>5063428404</v>
      </c>
      <c r="J8" s="17">
        <f t="shared" ref="J8" si="1">I8</f>
        <v>5063428404</v>
      </c>
      <c r="K8" s="17">
        <f>H54</f>
        <v>4465228164</v>
      </c>
      <c r="L8" s="17">
        <f>K8</f>
        <v>4465228164</v>
      </c>
      <c r="M8" s="17">
        <f>L8</f>
        <v>4465228164</v>
      </c>
      <c r="N8" s="17">
        <f>M8</f>
        <v>4465228164</v>
      </c>
      <c r="O8" s="17">
        <f>N8</f>
        <v>4465228164</v>
      </c>
      <c r="P8" s="17">
        <f>H54</f>
        <v>4465228164</v>
      </c>
      <c r="Q8" s="17">
        <f>P8</f>
        <v>4465228164</v>
      </c>
      <c r="R8" s="17">
        <f>H54</f>
        <v>4465228164</v>
      </c>
      <c r="S8" s="17">
        <f>R8</f>
        <v>4465228164</v>
      </c>
      <c r="T8" s="17">
        <f>S8</f>
        <v>4465228164</v>
      </c>
      <c r="U8" s="17">
        <f>S8</f>
        <v>4465228164</v>
      </c>
      <c r="V8" s="17">
        <f t="shared" ref="V8:X8" si="2">U8</f>
        <v>4465228164</v>
      </c>
      <c r="W8" s="17">
        <f t="shared" si="2"/>
        <v>4465228164</v>
      </c>
      <c r="X8" s="539">
        <f t="shared" si="2"/>
        <v>4465228164</v>
      </c>
      <c r="Y8" s="17">
        <f>SUM(E8:X8)</f>
        <v>89318745704</v>
      </c>
    </row>
    <row r="9" spans="1:26" s="18" customFormat="1" x14ac:dyDescent="0.2">
      <c r="A9" s="14"/>
      <c r="B9" s="15" t="str">
        <f>Portafolio_PA_Papa!D24</f>
        <v>2.2. Fortalecimiento de la asistencia técnica y extensión agrícola a productores de papa</v>
      </c>
      <c r="C9" s="16" t="s">
        <v>495</v>
      </c>
      <c r="D9" s="16" t="s">
        <v>493</v>
      </c>
      <c r="E9" s="17"/>
      <c r="F9" s="17">
        <f>I108*10</f>
        <v>6919697515.9649124</v>
      </c>
      <c r="G9" s="17">
        <f>H109</f>
        <v>12605316660.435894</v>
      </c>
      <c r="H9" s="17">
        <f>$G$9+I111</f>
        <v>15586566660.435894</v>
      </c>
      <c r="I9" s="17">
        <f>$G$9+J111</f>
        <v>15765441660.435894</v>
      </c>
      <c r="J9" s="17">
        <f>$G$9+K111</f>
        <v>15955049160.435894</v>
      </c>
      <c r="K9" s="17">
        <f>$H$110+L111</f>
        <v>14061415743.157894</v>
      </c>
      <c r="L9" s="17">
        <f t="shared" ref="L9:N9" si="3">$H$110+M111</f>
        <v>14274458730.157894</v>
      </c>
      <c r="M9" s="17">
        <f t="shared" si="3"/>
        <v>14500284296.377895</v>
      </c>
      <c r="N9" s="17">
        <f t="shared" si="3"/>
        <v>14739659396.571095</v>
      </c>
      <c r="O9" s="17">
        <f>$H$108+P111</f>
        <v>12786334728.775887</v>
      </c>
      <c r="P9" s="17">
        <f t="shared" ref="P9:X9" si="4">$H$108+Q111</f>
        <v>13055296591.352966</v>
      </c>
      <c r="Q9" s="17">
        <f>H108+R111</f>
        <v>13340396165.684669</v>
      </c>
      <c r="R9" s="17">
        <f t="shared" si="4"/>
        <v>8303637019.1578941</v>
      </c>
      <c r="S9" s="17">
        <f t="shared" si="4"/>
        <v>8303637019.1578941</v>
      </c>
      <c r="T9" s="17">
        <f t="shared" si="4"/>
        <v>8303637019.1578941</v>
      </c>
      <c r="U9" s="17">
        <f t="shared" si="4"/>
        <v>8303637019.1578941</v>
      </c>
      <c r="V9" s="17">
        <f t="shared" si="4"/>
        <v>8303637019.1578941</v>
      </c>
      <c r="W9" s="17">
        <f t="shared" si="4"/>
        <v>8303637019.1578941</v>
      </c>
      <c r="X9" s="539">
        <f t="shared" si="4"/>
        <v>8303637019.1578941</v>
      </c>
      <c r="Y9" s="17">
        <f>SUM(E9:X9)</f>
        <v>221715376443.89209</v>
      </c>
    </row>
    <row r="10" spans="1:26" s="18" customFormat="1" ht="28.5" x14ac:dyDescent="0.2">
      <c r="A10" s="14"/>
      <c r="B10" s="15" t="str">
        <f>Portafolio_PA_Papa!D33</f>
        <v>2.3.  Fortalecimiento de las capacidades técnicas y empresariales de MiPymes procesadoras  de papa</v>
      </c>
      <c r="C10" s="16" t="s">
        <v>495</v>
      </c>
      <c r="D10" s="16" t="s">
        <v>493</v>
      </c>
      <c r="E10" s="17"/>
      <c r="F10" s="17">
        <f>I160*10</f>
        <v>1940359195.4083333</v>
      </c>
      <c r="G10" s="17">
        <f>H161</f>
        <v>2599973504.3400002</v>
      </c>
      <c r="H10" s="17">
        <f t="shared" ref="H10:O10" si="5">G10</f>
        <v>2599973504.3400002</v>
      </c>
      <c r="I10" s="17">
        <f t="shared" si="5"/>
        <v>2599973504.3400002</v>
      </c>
      <c r="J10" s="17">
        <f t="shared" si="5"/>
        <v>2599973504.3400002</v>
      </c>
      <c r="K10" s="17">
        <f t="shared" si="5"/>
        <v>2599973504.3400002</v>
      </c>
      <c r="L10" s="17">
        <f t="shared" si="5"/>
        <v>2599973504.3400002</v>
      </c>
      <c r="M10" s="17">
        <f t="shared" si="5"/>
        <v>2599973504.3400002</v>
      </c>
      <c r="N10" s="17">
        <f t="shared" si="5"/>
        <v>2599973504.3400002</v>
      </c>
      <c r="O10" s="17">
        <f t="shared" si="5"/>
        <v>2599973504.3400002</v>
      </c>
      <c r="P10" s="17">
        <f>O10</f>
        <v>2599973504.3400002</v>
      </c>
      <c r="Q10" s="17">
        <f>H160</f>
        <v>2328431034.4899998</v>
      </c>
      <c r="R10" s="17">
        <f t="shared" ref="Q10:T13" si="6">Q10</f>
        <v>2328431034.4899998</v>
      </c>
      <c r="S10" s="17">
        <f t="shared" si="6"/>
        <v>2328431034.4899998</v>
      </c>
      <c r="T10" s="17">
        <f t="shared" si="6"/>
        <v>2328431034.4899998</v>
      </c>
      <c r="U10" s="17">
        <f>S10</f>
        <v>2328431034.4899998</v>
      </c>
      <c r="V10" s="17">
        <f t="shared" ref="V10:X13" si="7">U10</f>
        <v>2328431034.4899998</v>
      </c>
      <c r="W10" s="17">
        <f t="shared" si="7"/>
        <v>2328431034.4899998</v>
      </c>
      <c r="X10" s="539">
        <f t="shared" si="7"/>
        <v>2328431034.4899998</v>
      </c>
      <c r="Y10" s="17">
        <f>SUM(E10:X10)</f>
        <v>46567542514.728317</v>
      </c>
    </row>
    <row r="11" spans="1:26" s="18" customFormat="1" x14ac:dyDescent="0.2">
      <c r="A11" s="14"/>
      <c r="B11" s="15" t="str">
        <f>Portafolio_PA_Papa!D39</f>
        <v>2.4. Promoción de la integración y las alianzas estratégicas en la cadena de la papa</v>
      </c>
      <c r="C11" s="16" t="s">
        <v>494</v>
      </c>
      <c r="D11" s="16" t="s">
        <v>496</v>
      </c>
      <c r="E11" s="17">
        <f>I201*4</f>
        <v>711277542.66666663</v>
      </c>
      <c r="F11" s="17">
        <f>H202</f>
        <v>2620993030.145</v>
      </c>
      <c r="G11" s="17">
        <f>F11</f>
        <v>2620993030.145</v>
      </c>
      <c r="H11" s="17">
        <f t="shared" ref="H11:J13" si="8">G11</f>
        <v>2620993030.145</v>
      </c>
      <c r="I11" s="17">
        <f t="shared" si="8"/>
        <v>2620993030.145</v>
      </c>
      <c r="J11" s="17">
        <f t="shared" si="8"/>
        <v>2620993030.145</v>
      </c>
      <c r="K11" s="17">
        <f>H203</f>
        <v>1919344275.1549997</v>
      </c>
      <c r="L11" s="17">
        <f t="shared" ref="L11:O13" si="9">K11</f>
        <v>1919344275.1549997</v>
      </c>
      <c r="M11" s="17">
        <f t="shared" si="9"/>
        <v>1919344275.1549997</v>
      </c>
      <c r="N11" s="17">
        <f t="shared" si="9"/>
        <v>1919344275.1549997</v>
      </c>
      <c r="O11" s="17">
        <f t="shared" si="9"/>
        <v>1919344275.1549997</v>
      </c>
      <c r="P11" s="17">
        <f>H201</f>
        <v>2133832627.9999998</v>
      </c>
      <c r="Q11" s="17">
        <f t="shared" si="6"/>
        <v>2133832627.9999998</v>
      </c>
      <c r="R11" s="17">
        <f t="shared" si="6"/>
        <v>2133832627.9999998</v>
      </c>
      <c r="S11" s="17">
        <f t="shared" si="6"/>
        <v>2133832627.9999998</v>
      </c>
      <c r="T11" s="17">
        <f t="shared" si="6"/>
        <v>2133832627.9999998</v>
      </c>
      <c r="U11" s="17">
        <f>T11</f>
        <v>2133832627.9999998</v>
      </c>
      <c r="V11" s="17">
        <f t="shared" si="7"/>
        <v>2133832627.9999998</v>
      </c>
      <c r="W11" s="17">
        <f t="shared" si="7"/>
        <v>2133832627.9999998</v>
      </c>
      <c r="X11" s="539"/>
      <c r="Y11" s="17">
        <f t="shared" ref="Y11:Y13" si="10">SUM(E11:X11)</f>
        <v>40483625093.166664</v>
      </c>
    </row>
    <row r="12" spans="1:26" s="18" customFormat="1" ht="28.5" x14ac:dyDescent="0.2">
      <c r="A12" s="14"/>
      <c r="B12" s="15" t="str">
        <f>Portafolio_PA_Papa!D42</f>
        <v>2.5. Mejora de la capacidad instalada en el almacenamiento y procesamiento agroindustrial de la papa</v>
      </c>
      <c r="C12" s="16" t="s">
        <v>494</v>
      </c>
      <c r="D12" s="16" t="s">
        <v>493</v>
      </c>
      <c r="E12" s="17">
        <f>I246*4</f>
        <v>174251543.33333337</v>
      </c>
      <c r="F12" s="17">
        <f>H247</f>
        <v>4084607242.48</v>
      </c>
      <c r="G12" s="17">
        <f>F12</f>
        <v>4084607242.48</v>
      </c>
      <c r="H12" s="17">
        <f t="shared" si="8"/>
        <v>4084607242.48</v>
      </c>
      <c r="I12" s="17">
        <f t="shared" si="8"/>
        <v>4084607242.48</v>
      </c>
      <c r="J12" s="17">
        <f t="shared" si="8"/>
        <v>4084607242.48</v>
      </c>
      <c r="K12" s="17">
        <f>J12</f>
        <v>4084607242.48</v>
      </c>
      <c r="L12" s="17">
        <f t="shared" si="9"/>
        <v>4084607242.48</v>
      </c>
      <c r="M12" s="17">
        <f t="shared" si="9"/>
        <v>4084607242.48</v>
      </c>
      <c r="N12" s="17">
        <f t="shared" si="9"/>
        <v>4084607242.48</v>
      </c>
      <c r="O12" s="17">
        <f t="shared" si="9"/>
        <v>4084607242.48</v>
      </c>
      <c r="P12" s="17">
        <f>H246</f>
        <v>522754630.00000012</v>
      </c>
      <c r="Q12" s="17">
        <f t="shared" si="6"/>
        <v>522754630.00000012</v>
      </c>
      <c r="R12" s="17">
        <f t="shared" si="6"/>
        <v>522754630.00000012</v>
      </c>
      <c r="S12" s="17">
        <f t="shared" si="6"/>
        <v>522754630.00000012</v>
      </c>
      <c r="T12" s="17">
        <f t="shared" si="6"/>
        <v>522754630.00000012</v>
      </c>
      <c r="U12" s="17">
        <f>T12</f>
        <v>522754630.00000012</v>
      </c>
      <c r="V12" s="17">
        <f t="shared" si="7"/>
        <v>522754630.00000012</v>
      </c>
      <c r="W12" s="17">
        <f t="shared" si="7"/>
        <v>522754630.00000012</v>
      </c>
      <c r="X12" s="539">
        <f t="shared" si="7"/>
        <v>522754630.00000012</v>
      </c>
      <c r="Y12" s="17">
        <f t="shared" si="10"/>
        <v>45725115638.133339</v>
      </c>
    </row>
    <row r="13" spans="1:26" s="18" customFormat="1" x14ac:dyDescent="0.2">
      <c r="A13" s="14"/>
      <c r="B13" s="15" t="str">
        <f>Portafolio_PA_Papa!D48</f>
        <v>2.6. Optimización de la oferta de insumos y servicios asociados a la cadena.</v>
      </c>
      <c r="C13" s="16" t="s">
        <v>494</v>
      </c>
      <c r="D13" s="16" t="s">
        <v>493</v>
      </c>
      <c r="E13" s="17">
        <f>I285*4</f>
        <v>375786049.33333343</v>
      </c>
      <c r="F13" s="17">
        <f>H286</f>
        <v>2651838589.3000002</v>
      </c>
      <c r="G13" s="17">
        <f>F13</f>
        <v>2651838589.3000002</v>
      </c>
      <c r="H13" s="17">
        <f t="shared" si="8"/>
        <v>2651838589.3000002</v>
      </c>
      <c r="I13" s="17">
        <f t="shared" si="8"/>
        <v>2651838589.3000002</v>
      </c>
      <c r="J13" s="17">
        <f t="shared" si="8"/>
        <v>2651838589.3000002</v>
      </c>
      <c r="K13" s="17">
        <f>J13</f>
        <v>2651838589.3000002</v>
      </c>
      <c r="L13" s="17">
        <f t="shared" si="9"/>
        <v>2651838589.3000002</v>
      </c>
      <c r="M13" s="17">
        <f t="shared" si="9"/>
        <v>2651838589.3000002</v>
      </c>
      <c r="N13" s="17">
        <f t="shared" si="9"/>
        <v>2651838589.3000002</v>
      </c>
      <c r="O13" s="17">
        <f t="shared" si="9"/>
        <v>2651838589.3000002</v>
      </c>
      <c r="P13" s="17">
        <f>H285</f>
        <v>1127358148.0000002</v>
      </c>
      <c r="Q13" s="17">
        <f t="shared" si="6"/>
        <v>1127358148.0000002</v>
      </c>
      <c r="R13" s="17">
        <f t="shared" si="6"/>
        <v>1127358148.0000002</v>
      </c>
      <c r="S13" s="17">
        <f t="shared" si="6"/>
        <v>1127358148.0000002</v>
      </c>
      <c r="T13" s="17">
        <f t="shared" si="6"/>
        <v>1127358148.0000002</v>
      </c>
      <c r="U13" s="17">
        <f>T13</f>
        <v>1127358148.0000002</v>
      </c>
      <c r="V13" s="17">
        <f t="shared" si="7"/>
        <v>1127358148.0000002</v>
      </c>
      <c r="W13" s="17">
        <f t="shared" si="7"/>
        <v>1127358148.0000002</v>
      </c>
      <c r="X13" s="539">
        <f t="shared" si="7"/>
        <v>1127358148.0000002</v>
      </c>
      <c r="Y13" s="17">
        <f t="shared" si="10"/>
        <v>37040395274.333336</v>
      </c>
    </row>
    <row r="14" spans="1:26" s="13" customFormat="1" ht="24.6" customHeight="1" x14ac:dyDescent="0.25">
      <c r="A14" s="2"/>
      <c r="B14" s="10" t="s">
        <v>1</v>
      </c>
      <c r="C14" s="10"/>
      <c r="D14" s="10"/>
      <c r="E14" s="19">
        <f>SUM(E8:E13)</f>
        <v>2749724523.3333335</v>
      </c>
      <c r="F14" s="19">
        <f t="shared" ref="F14:X14" si="11">SUM(F8:F13)</f>
        <v>23280923977.298244</v>
      </c>
      <c r="G14" s="19">
        <f t="shared" si="11"/>
        <v>29626157430.700893</v>
      </c>
      <c r="H14" s="19">
        <f t="shared" si="11"/>
        <v>32607407430.700893</v>
      </c>
      <c r="I14" s="19">
        <f t="shared" si="11"/>
        <v>32786282430.700893</v>
      </c>
      <c r="J14" s="19">
        <f t="shared" si="11"/>
        <v>32975889930.700893</v>
      </c>
      <c r="K14" s="19">
        <f t="shared" si="11"/>
        <v>29782407518.432892</v>
      </c>
      <c r="L14" s="19">
        <f t="shared" si="11"/>
        <v>29995450505.432892</v>
      </c>
      <c r="M14" s="19">
        <f t="shared" si="11"/>
        <v>30221276071.652893</v>
      </c>
      <c r="N14" s="19">
        <f t="shared" si="11"/>
        <v>30460651171.846092</v>
      </c>
      <c r="O14" s="19">
        <f t="shared" si="11"/>
        <v>28507326504.050884</v>
      </c>
      <c r="P14" s="19">
        <f t="shared" si="11"/>
        <v>23904443665.692966</v>
      </c>
      <c r="Q14" s="19">
        <f t="shared" si="11"/>
        <v>23918000770.174667</v>
      </c>
      <c r="R14" s="19">
        <f t="shared" si="11"/>
        <v>18881241623.647892</v>
      </c>
      <c r="S14" s="19">
        <f t="shared" si="11"/>
        <v>18881241623.647892</v>
      </c>
      <c r="T14" s="19">
        <f t="shared" si="11"/>
        <v>18881241623.647892</v>
      </c>
      <c r="U14" s="19">
        <f t="shared" si="11"/>
        <v>18881241623.647892</v>
      </c>
      <c r="V14" s="19">
        <f t="shared" si="11"/>
        <v>18881241623.647892</v>
      </c>
      <c r="W14" s="19">
        <f t="shared" si="11"/>
        <v>18881241623.647892</v>
      </c>
      <c r="X14" s="19">
        <f t="shared" si="11"/>
        <v>16747408995.647894</v>
      </c>
      <c r="Y14" s="19">
        <f>SUM(E14:X14)</f>
        <v>480850800668.25372</v>
      </c>
    </row>
    <row r="15" spans="1:26" s="23" customFormat="1" ht="24.6" customHeight="1" x14ac:dyDescent="0.25">
      <c r="A15" s="4"/>
      <c r="B15" s="20"/>
      <c r="C15" s="20"/>
      <c r="D15" s="20"/>
      <c r="E15" s="20"/>
      <c r="F15" s="21"/>
      <c r="G15" s="22"/>
      <c r="H15" s="21"/>
      <c r="I15" s="21"/>
      <c r="J15" s="21"/>
      <c r="K15" s="21"/>
      <c r="L15" s="21"/>
      <c r="M15" s="21"/>
      <c r="N15" s="21"/>
      <c r="O15" s="21"/>
      <c r="P15" s="21"/>
      <c r="Q15" s="21"/>
      <c r="R15" s="21"/>
      <c r="S15" s="21"/>
      <c r="T15" s="21"/>
      <c r="U15" s="21"/>
      <c r="V15" s="21"/>
      <c r="W15" s="21"/>
      <c r="X15" s="21"/>
      <c r="Y15" s="21"/>
      <c r="Z15" s="21"/>
    </row>
    <row r="17" spans="1:26" s="4" customFormat="1" ht="14.45" customHeight="1" x14ac:dyDescent="0.25">
      <c r="B17" s="686" t="str">
        <f>B8</f>
        <v>2.1. Mejora de la producción de semilla certificada de papa</v>
      </c>
      <c r="C17" s="682"/>
      <c r="D17" s="682"/>
      <c r="E17" s="682"/>
      <c r="F17" s="682"/>
      <c r="G17" s="682"/>
      <c r="H17" s="682"/>
      <c r="I17" s="213"/>
      <c r="X17" s="25"/>
    </row>
    <row r="18" spans="1:26" s="4" customFormat="1" ht="14.45" customHeight="1" x14ac:dyDescent="0.25">
      <c r="B18" s="682"/>
      <c r="C18" s="682"/>
      <c r="D18" s="682"/>
      <c r="E18" s="682"/>
      <c r="F18" s="682"/>
      <c r="G18" s="682"/>
      <c r="H18" s="682"/>
      <c r="I18" s="213"/>
      <c r="X18" s="25"/>
    </row>
    <row r="19" spans="1:26" s="23" customFormat="1" ht="32.1" customHeight="1" x14ac:dyDescent="0.25">
      <c r="A19" s="4"/>
      <c r="B19" s="690" t="str">
        <f>Portafolio_PA_Papa!E19</f>
        <v xml:space="preserve">2.1.1. Identificar y priorizar áreas para la producción sostenible de semilla a nivel regional, considerando las condiciones de aislamiento y sanidad óptimas, así como las épocas de oferta, teniendo en cuenta la caracterización regional de la actividad 8.3.3, la zonificación de aptitud de papa comercial y de papa industrial y otros estudios que se requieran. </v>
      </c>
      <c r="C19" s="690"/>
      <c r="D19" s="690"/>
      <c r="E19" s="690"/>
      <c r="F19" s="690"/>
      <c r="G19" s="690"/>
      <c r="H19" s="690"/>
      <c r="I19" s="21"/>
      <c r="J19" s="21"/>
      <c r="K19" s="21"/>
      <c r="L19" s="21"/>
      <c r="M19" s="21"/>
      <c r="N19" s="21"/>
      <c r="O19" s="21"/>
      <c r="P19" s="21"/>
      <c r="Q19" s="21"/>
      <c r="R19" s="21"/>
      <c r="S19" s="21"/>
      <c r="T19" s="21"/>
      <c r="U19" s="21"/>
      <c r="V19" s="21"/>
      <c r="W19" s="21"/>
      <c r="X19" s="21"/>
      <c r="Y19" s="21"/>
      <c r="Z19" s="21"/>
    </row>
    <row r="20" spans="1:26" s="23" customFormat="1" ht="15" x14ac:dyDescent="0.25">
      <c r="A20" s="4"/>
      <c r="B20" s="690" t="str">
        <f>Portafolio_PA_Papa!E20</f>
        <v>2.1.2. Promover acuerdos y alianzas, a nivel nacional y/o regional, entre productores, organizaciones de productores, universidades, centros de investigación, procesadores de papa, entre otros, para la producción sostenible de semilla certificada de papa.</v>
      </c>
      <c r="C20" s="691"/>
      <c r="D20" s="691"/>
      <c r="E20" s="691"/>
      <c r="F20" s="691"/>
      <c r="G20" s="691"/>
      <c r="H20" s="691"/>
      <c r="I20" s="21"/>
      <c r="J20" s="21"/>
      <c r="K20" s="21"/>
      <c r="L20" s="21"/>
      <c r="M20" s="21"/>
      <c r="N20" s="21"/>
      <c r="O20" s="21"/>
      <c r="P20" s="21"/>
      <c r="Q20" s="21"/>
      <c r="R20" s="21"/>
      <c r="S20" s="21"/>
      <c r="T20" s="21"/>
      <c r="U20" s="21"/>
      <c r="V20" s="21"/>
      <c r="W20" s="21"/>
      <c r="X20" s="21"/>
      <c r="Y20" s="21"/>
      <c r="Z20" s="21"/>
    </row>
    <row r="21" spans="1:26" s="23" customFormat="1" ht="29.1" customHeight="1" x14ac:dyDescent="0.25">
      <c r="A21" s="4"/>
      <c r="B21" s="690" t="str">
        <f>Portafolio_PA_Papa!E21</f>
        <v>2.1.3. Impulsar la multiplicación y comercialización de semillas certificadas de papa, incluyendo las de papa nativa, a precios competitivos, a través de incentivos, instrumentos financieros, contratos a futuro, alianzas público - privadas, entre otros, para crear y fortalecer MiPymes que se dediquen a esta actividad (incluidas las organizaciones de productores), en el marco de la Resolución 3168 de 2015 del ICA, que reglamenta y controla la producción, importación, y exportación de semillas producto del mejoramiento genético para la comercialización y siembra en el país y el acuerdo 005 de 2020 del ICA.</v>
      </c>
      <c r="C21" s="691"/>
      <c r="D21" s="691"/>
      <c r="E21" s="691"/>
      <c r="F21" s="691"/>
      <c r="G21" s="691"/>
      <c r="H21" s="691"/>
      <c r="I21" s="21"/>
      <c r="J21" s="21"/>
      <c r="K21" s="21"/>
      <c r="L21" s="21"/>
      <c r="M21" s="21"/>
      <c r="N21" s="21"/>
      <c r="O21" s="21"/>
      <c r="P21" s="21"/>
      <c r="Q21" s="21"/>
      <c r="R21" s="21"/>
      <c r="S21" s="21"/>
      <c r="T21" s="21"/>
      <c r="U21" s="21"/>
      <c r="V21" s="21"/>
      <c r="W21" s="21"/>
      <c r="X21" s="21"/>
      <c r="Y21" s="21"/>
      <c r="Z21" s="21"/>
    </row>
    <row r="22" spans="1:26" s="23" customFormat="1" ht="15" x14ac:dyDescent="0.25">
      <c r="A22" s="4"/>
      <c r="B22" s="690" t="str">
        <f>Portafolio_PA_Papa!E22</f>
        <v>2.1.4. Realizar el acompañamiento técnico a los productores de semilla certificada tanto en aspectos agronómicos y ambientales, como en aspectos administrativos y gerenciales, en concordancia con los avances en I+D+i  y extensión agrícola del proyecto 6.1.</v>
      </c>
      <c r="C22" s="691"/>
      <c r="D22" s="691"/>
      <c r="E22" s="691"/>
      <c r="F22" s="691"/>
      <c r="G22" s="691"/>
      <c r="H22" s="691"/>
      <c r="I22" s="21"/>
      <c r="J22" s="21"/>
      <c r="K22" s="21"/>
      <c r="L22" s="21"/>
      <c r="M22" s="21"/>
      <c r="N22" s="21"/>
      <c r="O22" s="21"/>
      <c r="P22" s="21"/>
      <c r="Q22" s="21"/>
      <c r="R22" s="21"/>
      <c r="S22" s="21"/>
      <c r="T22" s="21"/>
      <c r="U22" s="21"/>
      <c r="V22" s="21"/>
      <c r="W22" s="21"/>
      <c r="X22" s="21"/>
      <c r="Y22" s="21"/>
      <c r="Z22" s="21"/>
    </row>
    <row r="23" spans="1:26" s="23" customFormat="1" ht="15" x14ac:dyDescent="0.25">
      <c r="A23" s="4"/>
      <c r="B23" s="690" t="str">
        <f>Portafolio_PA_Papa!E23</f>
        <v>2.1.5. Promover la construcción, mejora, adquisición o adecuación de infraestructura y equipos para el manejo poscosecha de la semilla en la fase de campo (selección, clasificación, tratamiento, empaque, rótulo y marbete), a través de incentivos e instrumentos financieros.</v>
      </c>
      <c r="C23" s="691"/>
      <c r="D23" s="691"/>
      <c r="E23" s="691"/>
      <c r="F23" s="691"/>
      <c r="G23" s="691"/>
      <c r="H23" s="691"/>
      <c r="I23" s="21"/>
      <c r="J23" s="21"/>
      <c r="K23" s="21"/>
      <c r="L23" s="21"/>
      <c r="M23" s="21"/>
      <c r="N23" s="21"/>
      <c r="O23" s="21"/>
      <c r="P23" s="21"/>
      <c r="Q23" s="21"/>
      <c r="R23" s="21"/>
      <c r="S23" s="21"/>
      <c r="T23" s="21"/>
      <c r="U23" s="21"/>
      <c r="V23" s="21"/>
      <c r="W23" s="21"/>
      <c r="X23" s="21"/>
      <c r="Y23" s="21"/>
      <c r="Z23" s="21"/>
    </row>
    <row r="24" spans="1:26" s="23" customFormat="1" ht="15" x14ac:dyDescent="0.25">
      <c r="A24" s="4"/>
      <c r="B24" s="545"/>
      <c r="C24" s="546"/>
      <c r="D24" s="546"/>
      <c r="E24" s="546"/>
      <c r="F24" s="546"/>
      <c r="G24" s="546"/>
      <c r="H24" s="546"/>
      <c r="I24" s="21"/>
      <c r="J24" s="21"/>
      <c r="K24" s="21"/>
      <c r="L24" s="21"/>
      <c r="M24" s="21"/>
      <c r="N24" s="21"/>
      <c r="O24" s="21"/>
      <c r="P24" s="21"/>
      <c r="Q24" s="21"/>
      <c r="R24" s="21"/>
      <c r="S24" s="21"/>
      <c r="T24" s="21"/>
      <c r="U24" s="21"/>
      <c r="V24" s="21"/>
      <c r="W24" s="21"/>
      <c r="X24" s="21"/>
      <c r="Y24" s="21"/>
      <c r="Z24" s="21"/>
    </row>
    <row r="25" spans="1:26" s="23" customFormat="1" ht="15" x14ac:dyDescent="0.25">
      <c r="A25" s="4"/>
      <c r="B25" s="544" t="s">
        <v>1128</v>
      </c>
      <c r="C25" s="20"/>
      <c r="D25" s="20"/>
      <c r="E25" s="20"/>
      <c r="F25" s="21"/>
      <c r="G25" s="22"/>
      <c r="H25" s="21"/>
      <c r="I25" s="21"/>
      <c r="J25" s="21"/>
      <c r="K25" s="21"/>
      <c r="L25" s="21"/>
      <c r="M25" s="21"/>
      <c r="N25" s="21"/>
      <c r="O25" s="21"/>
      <c r="P25" s="21"/>
      <c r="Q25" s="21"/>
      <c r="R25" s="21"/>
      <c r="S25" s="21"/>
      <c r="T25" s="21"/>
      <c r="U25" s="21"/>
      <c r="V25" s="21"/>
      <c r="W25" s="21"/>
      <c r="X25" s="21"/>
      <c r="Y25" s="21"/>
      <c r="Z25" s="21"/>
    </row>
    <row r="26" spans="1:26" ht="15" x14ac:dyDescent="0.25">
      <c r="B26" s="26" t="s">
        <v>5</v>
      </c>
      <c r="C26" s="26" t="s">
        <v>6</v>
      </c>
      <c r="D26" s="26" t="s">
        <v>7</v>
      </c>
      <c r="E26" s="26" t="s">
        <v>8</v>
      </c>
      <c r="F26" s="27" t="s">
        <v>9</v>
      </c>
      <c r="G26" s="26" t="s">
        <v>10</v>
      </c>
      <c r="H26" s="26" t="s">
        <v>11</v>
      </c>
      <c r="X26" s="28"/>
    </row>
    <row r="27" spans="1:26" x14ac:dyDescent="0.2">
      <c r="B27" s="33" t="s">
        <v>12</v>
      </c>
      <c r="C27" s="62">
        <v>12</v>
      </c>
      <c r="D27" s="33" t="s">
        <v>13</v>
      </c>
      <c r="E27" s="62">
        <v>500000</v>
      </c>
      <c r="F27" s="33"/>
      <c r="G27" s="33"/>
      <c r="H27" s="31">
        <f>C27*E27</f>
        <v>6000000</v>
      </c>
    </row>
    <row r="28" spans="1:26" x14ac:dyDescent="0.2">
      <c r="B28" s="33" t="s">
        <v>14</v>
      </c>
      <c r="C28" s="62">
        <v>12</v>
      </c>
      <c r="D28" s="33" t="s">
        <v>13</v>
      </c>
      <c r="E28" s="62">
        <v>100000</v>
      </c>
      <c r="F28" s="33"/>
      <c r="G28" s="33"/>
      <c r="H28" s="31">
        <f t="shared" ref="H28:H30" si="12">C28*E28</f>
        <v>1200000</v>
      </c>
    </row>
    <row r="29" spans="1:26" x14ac:dyDescent="0.2">
      <c r="B29" s="33" t="s">
        <v>17</v>
      </c>
      <c r="C29" s="62">
        <v>12</v>
      </c>
      <c r="D29" s="33" t="s">
        <v>13</v>
      </c>
      <c r="E29" s="62">
        <v>1625000</v>
      </c>
      <c r="F29" s="33"/>
      <c r="G29" s="33"/>
      <c r="H29" s="31">
        <f t="shared" si="12"/>
        <v>19500000</v>
      </c>
    </row>
    <row r="30" spans="1:26" x14ac:dyDescent="0.2">
      <c r="B30" s="33" t="s">
        <v>18</v>
      </c>
      <c r="C30" s="62">
        <v>12</v>
      </c>
      <c r="D30" s="33" t="s">
        <v>13</v>
      </c>
      <c r="E30" s="62">
        <v>325000</v>
      </c>
      <c r="F30" s="33"/>
      <c r="G30" s="33"/>
      <c r="H30" s="31">
        <f t="shared" si="12"/>
        <v>3900000</v>
      </c>
    </row>
    <row r="31" spans="1:26" x14ac:dyDescent="0.2">
      <c r="B31" s="33" t="s">
        <v>489</v>
      </c>
      <c r="C31" s="62">
        <v>4</v>
      </c>
      <c r="D31" s="33" t="s">
        <v>71</v>
      </c>
      <c r="E31" s="62">
        <v>14467506</v>
      </c>
      <c r="F31" s="33"/>
      <c r="G31" s="33">
        <v>10</v>
      </c>
      <c r="H31" s="62">
        <f>C31*E31*G31</f>
        <v>578700240</v>
      </c>
      <c r="I31" s="35"/>
      <c r="J31" s="4"/>
    </row>
    <row r="32" spans="1:26" x14ac:dyDescent="0.2">
      <c r="B32" s="33" t="s">
        <v>1096</v>
      </c>
      <c r="C32" s="62">
        <f>12*50</f>
        <v>600</v>
      </c>
      <c r="D32" s="33" t="s">
        <v>388</v>
      </c>
      <c r="E32" s="62">
        <v>120000</v>
      </c>
      <c r="F32" s="63">
        <v>1</v>
      </c>
      <c r="G32" s="33"/>
      <c r="H32" s="62">
        <f>C32*E32*F32</f>
        <v>72000000</v>
      </c>
      <c r="I32" s="35"/>
      <c r="J32" s="4"/>
    </row>
    <row r="33" spans="2:10" x14ac:dyDescent="0.2">
      <c r="B33" s="33" t="s">
        <v>1098</v>
      </c>
      <c r="C33" s="62">
        <f>12*40</f>
        <v>480</v>
      </c>
      <c r="D33" s="33" t="s">
        <v>388</v>
      </c>
      <c r="E33" s="62">
        <v>190000</v>
      </c>
      <c r="F33" s="63">
        <v>0.3</v>
      </c>
      <c r="G33" s="33"/>
      <c r="H33" s="62">
        <f>C33*E33*F33</f>
        <v>27360000</v>
      </c>
      <c r="I33" s="35"/>
      <c r="J33" s="4"/>
    </row>
    <row r="34" spans="2:10" x14ac:dyDescent="0.2">
      <c r="B34" s="33" t="s">
        <v>279</v>
      </c>
      <c r="C34" s="62">
        <v>12</v>
      </c>
      <c r="D34" s="33" t="s">
        <v>71</v>
      </c>
      <c r="E34" s="62">
        <v>1625000</v>
      </c>
      <c r="F34" s="33"/>
      <c r="G34" s="33"/>
      <c r="H34" s="62">
        <f t="shared" ref="H34:H39" si="13">C34*E34</f>
        <v>19500000</v>
      </c>
      <c r="I34" s="35"/>
      <c r="J34" s="4"/>
    </row>
    <row r="35" spans="2:10" x14ac:dyDescent="0.2">
      <c r="B35" s="33" t="s">
        <v>1099</v>
      </c>
      <c r="C35" s="62">
        <f>4*12</f>
        <v>48</v>
      </c>
      <c r="D35" s="33" t="s">
        <v>390</v>
      </c>
      <c r="E35" s="62">
        <v>7000000</v>
      </c>
      <c r="F35" s="33"/>
      <c r="G35" s="33"/>
      <c r="H35" s="31">
        <f t="shared" si="13"/>
        <v>336000000</v>
      </c>
      <c r="I35" s="187"/>
      <c r="J35" s="4"/>
    </row>
    <row r="36" spans="2:10" x14ac:dyDescent="0.2">
      <c r="B36" s="33" t="s">
        <v>389</v>
      </c>
      <c r="C36" s="62">
        <f>4*12</f>
        <v>48</v>
      </c>
      <c r="D36" s="33" t="s">
        <v>13</v>
      </c>
      <c r="E36" s="62">
        <v>4600000</v>
      </c>
      <c r="F36" s="33"/>
      <c r="G36" s="33"/>
      <c r="H36" s="31">
        <f t="shared" si="13"/>
        <v>220800000</v>
      </c>
      <c r="I36" s="187"/>
      <c r="J36" s="4"/>
    </row>
    <row r="37" spans="2:10" x14ac:dyDescent="0.2">
      <c r="B37" s="59" t="s">
        <v>391</v>
      </c>
      <c r="C37" s="62">
        <v>12</v>
      </c>
      <c r="D37" s="33" t="s">
        <v>13</v>
      </c>
      <c r="E37" s="62">
        <v>116200000</v>
      </c>
      <c r="F37" s="33"/>
      <c r="G37" s="33"/>
      <c r="H37" s="31">
        <f t="shared" si="13"/>
        <v>1394400000</v>
      </c>
      <c r="I37" s="35"/>
      <c r="J37" s="4"/>
    </row>
    <row r="38" spans="2:10" x14ac:dyDescent="0.2">
      <c r="B38" s="33" t="s">
        <v>69</v>
      </c>
      <c r="C38" s="62">
        <f>4*12</f>
        <v>48</v>
      </c>
      <c r="D38" s="33" t="s">
        <v>13</v>
      </c>
      <c r="E38" s="62">
        <v>23700000</v>
      </c>
      <c r="F38" s="33"/>
      <c r="G38" s="33"/>
      <c r="H38" s="31">
        <f t="shared" si="13"/>
        <v>1137600000</v>
      </c>
      <c r="I38" s="35"/>
      <c r="J38" s="4"/>
    </row>
    <row r="39" spans="2:10" x14ac:dyDescent="0.2">
      <c r="B39" s="33" t="s">
        <v>70</v>
      </c>
      <c r="C39" s="62">
        <f>3*12</f>
        <v>36</v>
      </c>
      <c r="D39" s="33" t="s">
        <v>13</v>
      </c>
      <c r="E39" s="62">
        <v>10000000</v>
      </c>
      <c r="F39" s="33"/>
      <c r="G39" s="33"/>
      <c r="H39" s="31">
        <f t="shared" si="13"/>
        <v>360000000</v>
      </c>
      <c r="I39" s="35"/>
      <c r="J39" s="4"/>
    </row>
    <row r="40" spans="2:10" x14ac:dyDescent="0.2">
      <c r="B40" s="33" t="s">
        <v>27</v>
      </c>
      <c r="C40" s="62">
        <v>12</v>
      </c>
      <c r="D40" s="33" t="s">
        <v>13</v>
      </c>
      <c r="E40" s="62">
        <v>3000000</v>
      </c>
      <c r="F40" s="33"/>
      <c r="G40" s="33"/>
      <c r="H40" s="31">
        <f t="shared" ref="H40:H41" si="14">C40*E40</f>
        <v>36000000</v>
      </c>
      <c r="I40" s="35"/>
      <c r="J40" s="4"/>
    </row>
    <row r="41" spans="2:10" x14ac:dyDescent="0.2">
      <c r="B41" s="33" t="s">
        <v>204</v>
      </c>
      <c r="C41" s="62">
        <v>12</v>
      </c>
      <c r="D41" s="33" t="s">
        <v>13</v>
      </c>
      <c r="E41" s="62">
        <v>5000000</v>
      </c>
      <c r="F41" s="33"/>
      <c r="G41" s="33"/>
      <c r="H41" s="31">
        <f t="shared" si="14"/>
        <v>60000000</v>
      </c>
      <c r="I41" s="35"/>
      <c r="J41" s="4"/>
    </row>
    <row r="42" spans="2:10" x14ac:dyDescent="0.2">
      <c r="B42" s="59" t="s">
        <v>1094</v>
      </c>
      <c r="C42" s="62">
        <v>2</v>
      </c>
      <c r="D42" s="33" t="s">
        <v>268</v>
      </c>
      <c r="E42" s="62">
        <v>95000000</v>
      </c>
      <c r="F42" s="63">
        <v>0.4</v>
      </c>
      <c r="G42" s="33"/>
      <c r="H42" s="62">
        <f>C42*E42*F42</f>
        <v>76000000</v>
      </c>
      <c r="I42" s="35"/>
      <c r="J42" s="4"/>
    </row>
    <row r="43" spans="2:10" x14ac:dyDescent="0.2">
      <c r="B43" s="59" t="s">
        <v>1095</v>
      </c>
      <c r="C43" s="62">
        <v>10</v>
      </c>
      <c r="D43" s="33" t="s">
        <v>268</v>
      </c>
      <c r="E43" s="62">
        <v>50000000</v>
      </c>
      <c r="F43" s="63">
        <v>0.4</v>
      </c>
      <c r="G43" s="33"/>
      <c r="H43" s="62">
        <f>C43*E43*F43</f>
        <v>200000000</v>
      </c>
      <c r="I43" s="35"/>
      <c r="J43" s="4"/>
    </row>
    <row r="44" spans="2:10" x14ac:dyDescent="0.2">
      <c r="B44" s="33" t="s">
        <v>213</v>
      </c>
      <c r="C44" s="62">
        <v>24</v>
      </c>
      <c r="D44" s="33" t="s">
        <v>13</v>
      </c>
      <c r="E44" s="62">
        <v>12284000</v>
      </c>
      <c r="F44" s="33"/>
      <c r="G44" s="33"/>
      <c r="H44" s="31">
        <f>C44*E44</f>
        <v>294816000</v>
      </c>
      <c r="I44" s="35"/>
      <c r="J44" s="4"/>
    </row>
    <row r="45" spans="2:10" x14ac:dyDescent="0.2">
      <c r="B45" s="33" t="s">
        <v>1097</v>
      </c>
      <c r="C45" s="62">
        <v>8</v>
      </c>
      <c r="D45" s="33" t="s">
        <v>55</v>
      </c>
      <c r="E45" s="62">
        <v>375000000</v>
      </c>
      <c r="F45" s="227">
        <v>7.4999999999999997E-2</v>
      </c>
      <c r="G45" s="33"/>
      <c r="H45" s="31">
        <f>C45*E45*F45</f>
        <v>225000000</v>
      </c>
    </row>
    <row r="46" spans="2:10" x14ac:dyDescent="0.2">
      <c r="B46" s="33" t="s">
        <v>557</v>
      </c>
      <c r="C46" s="62">
        <v>4</v>
      </c>
      <c r="D46" s="33" t="s">
        <v>55</v>
      </c>
      <c r="E46" s="62">
        <v>237000000</v>
      </c>
      <c r="F46" s="63">
        <v>0.2</v>
      </c>
      <c r="G46" s="33"/>
      <c r="H46" s="31">
        <f>C46*E46*F46</f>
        <v>189600000</v>
      </c>
      <c r="I46" s="35"/>
      <c r="J46" s="4"/>
    </row>
    <row r="47" spans="2:10" x14ac:dyDescent="0.2">
      <c r="B47" s="33" t="s">
        <v>35</v>
      </c>
      <c r="C47" s="62">
        <v>3</v>
      </c>
      <c r="D47" s="33" t="s">
        <v>36</v>
      </c>
      <c r="E47" s="62">
        <v>8963563</v>
      </c>
      <c r="F47" s="63">
        <v>1</v>
      </c>
      <c r="G47" s="33">
        <v>12</v>
      </c>
      <c r="H47" s="31">
        <f>C47*E47*G47*F47</f>
        <v>322688268</v>
      </c>
      <c r="I47" s="37"/>
    </row>
    <row r="48" spans="2:10" x14ac:dyDescent="0.2">
      <c r="B48" s="33" t="s">
        <v>78</v>
      </c>
      <c r="C48" s="62">
        <v>8</v>
      </c>
      <c r="D48" s="33" t="s">
        <v>38</v>
      </c>
      <c r="E48" s="62">
        <v>1213122</v>
      </c>
      <c r="F48" s="33"/>
      <c r="G48" s="33"/>
      <c r="H48" s="31">
        <f>C48*E48</f>
        <v>9704976</v>
      </c>
      <c r="I48" s="37"/>
    </row>
    <row r="49" spans="2:24" x14ac:dyDescent="0.2">
      <c r="B49" s="33" t="s">
        <v>79</v>
      </c>
      <c r="C49" s="62">
        <v>4</v>
      </c>
      <c r="D49" s="33" t="s">
        <v>40</v>
      </c>
      <c r="E49" s="62">
        <v>1438122</v>
      </c>
      <c r="F49" s="33"/>
      <c r="G49" s="33"/>
      <c r="H49" s="31">
        <f>C49*E49</f>
        <v>5752488</v>
      </c>
    </row>
    <row r="50" spans="2:24" x14ac:dyDescent="0.2">
      <c r="B50" s="33" t="s">
        <v>41</v>
      </c>
      <c r="C50" s="62">
        <v>6</v>
      </c>
      <c r="D50" s="33" t="s">
        <v>42</v>
      </c>
      <c r="E50" s="62">
        <v>3931384</v>
      </c>
      <c r="F50" s="63">
        <v>1</v>
      </c>
      <c r="G50" s="33">
        <v>8</v>
      </c>
      <c r="H50" s="31">
        <f>C50*E50*G50*F50</f>
        <v>188706432</v>
      </c>
    </row>
    <row r="51" spans="2:24" x14ac:dyDescent="0.2">
      <c r="B51" s="33" t="s">
        <v>43</v>
      </c>
      <c r="C51" s="62">
        <v>6</v>
      </c>
      <c r="D51" s="33" t="s">
        <v>13</v>
      </c>
      <c r="E51" s="62">
        <v>1300000</v>
      </c>
      <c r="F51" s="63">
        <v>1</v>
      </c>
      <c r="G51" s="33">
        <v>8</v>
      </c>
      <c r="H51" s="31">
        <f t="shared" ref="H51:H52" si="15">C51*E51*G51*F51</f>
        <v>62400000</v>
      </c>
    </row>
    <row r="52" spans="2:24" x14ac:dyDescent="0.2">
      <c r="B52" s="33" t="s">
        <v>44</v>
      </c>
      <c r="C52" s="62">
        <v>6</v>
      </c>
      <c r="D52" s="33" t="s">
        <v>13</v>
      </c>
      <c r="E52" s="62">
        <v>120000</v>
      </c>
      <c r="F52" s="63">
        <v>1</v>
      </c>
      <c r="G52" s="33">
        <v>8</v>
      </c>
      <c r="H52" s="31">
        <f t="shared" si="15"/>
        <v>5760000</v>
      </c>
    </row>
    <row r="53" spans="2:24" ht="15" x14ac:dyDescent="0.25">
      <c r="B53" s="33" t="s">
        <v>80</v>
      </c>
      <c r="C53" s="62"/>
      <c r="D53" s="33"/>
      <c r="E53" s="62"/>
      <c r="F53" s="33"/>
      <c r="G53" s="33"/>
      <c r="H53" s="31" t="s">
        <v>46</v>
      </c>
      <c r="I53" s="43" t="s">
        <v>501</v>
      </c>
    </row>
    <row r="54" spans="2:24" s="4" customFormat="1" ht="15" x14ac:dyDescent="0.25">
      <c r="B54" s="39" t="s">
        <v>381</v>
      </c>
      <c r="C54" s="2"/>
      <c r="D54" s="2"/>
      <c r="E54" s="2"/>
      <c r="F54" s="2"/>
      <c r="G54" s="287"/>
      <c r="H54" s="43">
        <f>SUM(H27:H53)-H31-H32-H33-H34-H42-H43-H45-H46</f>
        <v>4465228164</v>
      </c>
      <c r="I54" s="43">
        <f>H54/12</f>
        <v>372102347</v>
      </c>
      <c r="J54" s="2"/>
    </row>
    <row r="55" spans="2:24" s="4" customFormat="1" ht="15" x14ac:dyDescent="0.25">
      <c r="B55" s="39" t="s">
        <v>396</v>
      </c>
      <c r="C55" s="2"/>
      <c r="D55" s="2"/>
      <c r="E55" s="2"/>
      <c r="F55" s="2"/>
      <c r="G55" s="2"/>
      <c r="H55" s="43">
        <f>SUM(H27:H53)-H32-H33-H42-H43-H45-H46</f>
        <v>5063428404</v>
      </c>
      <c r="I55" s="2"/>
      <c r="J55" s="2"/>
    </row>
    <row r="56" spans="2:24" s="4" customFormat="1" ht="344.25" x14ac:dyDescent="0.25">
      <c r="B56" s="215" t="s">
        <v>1124</v>
      </c>
      <c r="C56" s="45"/>
      <c r="D56" s="45"/>
      <c r="E56" s="45"/>
      <c r="F56" s="45"/>
      <c r="G56" s="45"/>
      <c r="H56" s="45"/>
      <c r="I56" s="213"/>
      <c r="X56" s="25"/>
    </row>
    <row r="57" spans="2:24" x14ac:dyDescent="0.2">
      <c r="B57" s="182"/>
      <c r="C57" s="45"/>
      <c r="D57" s="45"/>
      <c r="E57" s="45"/>
      <c r="F57" s="45"/>
      <c r="G57" s="45"/>
      <c r="H57" s="45"/>
      <c r="X57" s="28"/>
    </row>
    <row r="58" spans="2:24" ht="14.1" customHeight="1" x14ac:dyDescent="0.2">
      <c r="B58" s="686" t="str">
        <f>B9</f>
        <v>2.2. Fortalecimiento de la asistencia técnica y extensión agrícola a productores de papa</v>
      </c>
      <c r="C58" s="682"/>
      <c r="D58" s="682"/>
      <c r="E58" s="682"/>
      <c r="F58" s="682"/>
      <c r="G58" s="682"/>
      <c r="H58" s="682"/>
      <c r="X58" s="28"/>
    </row>
    <row r="59" spans="2:24" x14ac:dyDescent="0.2">
      <c r="B59" s="682"/>
      <c r="C59" s="682"/>
      <c r="D59" s="682"/>
      <c r="E59" s="682"/>
      <c r="F59" s="682"/>
      <c r="G59" s="682"/>
      <c r="H59" s="682"/>
      <c r="X59" s="28"/>
    </row>
    <row r="60" spans="2:24" s="542" customFormat="1" ht="33" customHeight="1" x14ac:dyDescent="0.25">
      <c r="B60" s="685" t="str">
        <f>Portafolio_PA_Papa!E24</f>
        <v>2.2.1. Clasificar y priorizar a nivel regional, productores u organizaciones de productores de papa, según su nivel tecnológico, de mecanización, escala de producción, prácticas agronómicas y dinámica productiva, teniendo en cuenta la caracterización regional de la actividad 8.3.3 y los avances de los proyectos 5.3 sobre esquemas asociativos e integración y 6.1 sobre procesos de I+D+i.</v>
      </c>
      <c r="C60" s="684"/>
      <c r="D60" s="684"/>
      <c r="E60" s="684"/>
      <c r="F60" s="684"/>
      <c r="G60" s="684"/>
      <c r="H60" s="679"/>
      <c r="X60" s="543"/>
    </row>
    <row r="61" spans="2:24" s="542" customFormat="1" ht="40.5" customHeight="1" x14ac:dyDescent="0.25">
      <c r="B61" s="685" t="str">
        <f>Portafolio_PA_Papa!E25</f>
        <v>2.2.2. Realizar el acompañamiento a los productores y organizaciones de productores de papa, en planeación estratégica, gestión empresarial, desarrollo de alianzas comerciales y la adecuada gestión de proveedores de servicios e insumos; para estructurar un plan de negocios, acorde a sus expectativas y a las de la industria procesadora, que facilite el acceso a los recursos financieros para su ejecución, en articulación con los Planes Departamentales de Extensión Agropecuaria - PDEA (Ley 1876 de 2017).</v>
      </c>
      <c r="C61" s="684"/>
      <c r="D61" s="684"/>
      <c r="E61" s="684"/>
      <c r="F61" s="684"/>
      <c r="G61" s="684"/>
      <c r="H61" s="679"/>
      <c r="X61" s="543"/>
    </row>
    <row r="62" spans="2:24" s="542" customFormat="1" ht="40.5" customHeight="1" x14ac:dyDescent="0.25">
      <c r="B62" s="685" t="str">
        <f>Portafolio_PA_Papa!E26</f>
        <v>2.2.3. Brindar acompañamiento técnico y financiero a los productores de papa, para facilitar la compra y adopción de nuevas variedades de alto rendimiento, tolerantes a problemas bióticos y abióticos, precoces, adaptables a pisos térmicos inferiores a los tradicionales y que responden a las necesidades de los consumidores de papa fresca y procesada, en concordancia con los avances en I+D+i del proyecto 6.1, y teniendo en cuenta la Ley 1931 de 27 de julio de 2018 que establece medidas para la gestión de cambio climático, entre otros instrumentos.</v>
      </c>
      <c r="C62" s="684"/>
      <c r="D62" s="684"/>
      <c r="E62" s="684"/>
      <c r="F62" s="684"/>
      <c r="G62" s="684"/>
      <c r="H62" s="679"/>
      <c r="X62" s="543"/>
    </row>
    <row r="63" spans="2:24" s="542" customFormat="1" ht="28.5" customHeight="1" x14ac:dyDescent="0.25">
      <c r="B63" s="685" t="str">
        <f>Portafolio_PA_Papa!E27</f>
        <v>2.2.4. Promover la conexión entre empresas y/o profesionales especializados y los productores, para prestar asistencia técnica enfocada en la aplicación de tecnologías para el manejo integrado del cultivo, que incidan en el mejoramiento de los indicadores de rentabilidad y sostenibilidad del cultivo, y teniendo en cuenta los avances del proyecto 3.2 sobre promoción del manejo eficiente y sostenible del suelo y agua en el cultivo.</v>
      </c>
      <c r="C63" s="684"/>
      <c r="D63" s="684"/>
      <c r="E63" s="684"/>
      <c r="F63" s="684"/>
      <c r="G63" s="684"/>
      <c r="H63" s="679"/>
      <c r="X63" s="543"/>
    </row>
    <row r="64" spans="2:24" s="542" customFormat="1" ht="15" x14ac:dyDescent="0.25">
      <c r="B64" s="685" t="str">
        <f>Portafolio_PA_Papa!E28</f>
        <v>2.2.5. Capacitar y brindar acompañamiento técnico a los productores de papa, sobre labores de postcosecha (selección, limpieza, clasificación, empaque, almacenamiento, etc.), para facilitar y mejorar la comercialización de papa.</v>
      </c>
      <c r="C64" s="684"/>
      <c r="D64" s="684"/>
      <c r="E64" s="684"/>
      <c r="F64" s="684"/>
      <c r="G64" s="684"/>
      <c r="H64" s="679"/>
      <c r="X64" s="543"/>
    </row>
    <row r="65" spans="1:26" s="542" customFormat="1" ht="40.5" customHeight="1" x14ac:dyDescent="0.25">
      <c r="B65" s="685" t="str">
        <f>Portafolio_PA_Papa!E29</f>
        <v>2.2.6. Promover la agregación de valor en la producción de papa, aprovechando la diversidad genética de la papa con que cuenta Colombia, a través de capacitación, acompañamiento técnico, en elementos diferenciadores como, certificaciones BPA, producción orgánica, funcionalidad, sellos verdes, denominación de origen, entre otras, así como a  través de acuerdos entre productores y procesadores, y alianzas con empresas certificadoras, en el marco de la Resolución 30021 de 2017 que establece los requisitos para la Certificación en BPA en la producción primaria de vegetales y otras especies para consumo humano y la Resolución 329 de 2021 que reglamenta el sistema de Trazabilidad Vegetal.</v>
      </c>
      <c r="C65" s="684"/>
      <c r="D65" s="684"/>
      <c r="E65" s="684"/>
      <c r="F65" s="684"/>
      <c r="G65" s="684"/>
      <c r="H65" s="679"/>
      <c r="X65" s="543"/>
    </row>
    <row r="66" spans="1:26" s="542" customFormat="1" ht="30.95" customHeight="1" x14ac:dyDescent="0.25">
      <c r="B66" s="685" t="str">
        <f>Portafolio_PA_Papa!E30</f>
        <v>2.2.7. Fomentar inversiones en procesos de adecuación y mejoramiento de suelos, a través de instrumentos financieros e incentivos; y teniendo en cuenta los avances de los proyectos 3.2 sobre Promoción del manejo eficiente y sostenible del suelo y agua, y 8.4 sobre fortalecimiento y creación de instrumentos de financiamiento, para la cadena de la papa.</v>
      </c>
      <c r="C66" s="684"/>
      <c r="D66" s="684"/>
      <c r="E66" s="684"/>
      <c r="F66" s="684"/>
      <c r="G66" s="684"/>
      <c r="H66" s="679"/>
      <c r="X66" s="543"/>
    </row>
    <row r="67" spans="1:26" s="542" customFormat="1" ht="36.950000000000003" customHeight="1" x14ac:dyDescent="0.25">
      <c r="B67" s="685" t="str">
        <f>Portafolio_PA_Papa!E31</f>
        <v>2.2.8. Fomentar, a través de instrumentos financieros e incentivos, el acceso y uso de tecnologías avanzadas en las prácticas agronómicas de la producción primaria y en las labores de postcosecha, que posibiliten el aumento de escalas de producción, el incremento de la productividad del cultivo de papa y faciliten y mejoren su comercialización. conforme lo estipulado en la Ley 2186 del 2022 que fortalece el financiamiento de los pequeños y medianos productores agropecuarios.</v>
      </c>
      <c r="C67" s="684"/>
      <c r="D67" s="684"/>
      <c r="E67" s="684"/>
      <c r="F67" s="684"/>
      <c r="G67" s="684"/>
      <c r="H67" s="679"/>
      <c r="X67" s="543"/>
    </row>
    <row r="68" spans="1:26" s="542" customFormat="1" ht="35.450000000000003" customHeight="1" x14ac:dyDescent="0.25">
      <c r="B68" s="685" t="str">
        <f>Portafolio_PA_Papa!E32</f>
        <v>2.2.9. Implementar un mecanismo de monitoreo del nivel de adopción e impacto en la productividad, la escala, la competitividad y la empresarización, de las prácticas de manejo, las tecnologías y modelos de gestión empresarial aplicados por los productores, en las regiones productoras de papa.</v>
      </c>
      <c r="C68" s="684"/>
      <c r="D68" s="684"/>
      <c r="E68" s="684"/>
      <c r="F68" s="684"/>
      <c r="G68" s="684"/>
      <c r="H68" s="679"/>
      <c r="X68" s="543"/>
    </row>
    <row r="69" spans="1:26" s="542" customFormat="1" ht="15" x14ac:dyDescent="0.25">
      <c r="B69" s="535"/>
      <c r="C69" s="537"/>
      <c r="D69" s="537"/>
      <c r="E69" s="537"/>
      <c r="F69" s="537"/>
      <c r="G69" s="537"/>
      <c r="H69" s="317"/>
      <c r="X69" s="543"/>
    </row>
    <row r="70" spans="1:26" s="23" customFormat="1" ht="15" x14ac:dyDescent="0.25">
      <c r="A70" s="4"/>
      <c r="B70" s="544" t="s">
        <v>1128</v>
      </c>
      <c r="C70" s="20"/>
      <c r="D70" s="20"/>
      <c r="E70" s="20"/>
      <c r="F70" s="21"/>
      <c r="G70" s="22"/>
      <c r="H70" s="21"/>
      <c r="I70" s="21"/>
      <c r="J70" s="21"/>
      <c r="K70" s="21"/>
      <c r="L70" s="21"/>
      <c r="M70" s="21"/>
      <c r="N70" s="21"/>
      <c r="O70" s="21"/>
      <c r="P70" s="21"/>
      <c r="Q70" s="21"/>
      <c r="R70" s="21"/>
      <c r="S70" s="21"/>
      <c r="T70" s="21"/>
      <c r="U70" s="21"/>
      <c r="V70" s="21"/>
      <c r="W70" s="21"/>
      <c r="X70" s="21"/>
      <c r="Y70" s="21"/>
      <c r="Z70" s="21"/>
    </row>
    <row r="71" spans="1:26" ht="15" x14ac:dyDescent="0.25">
      <c r="B71" s="540" t="s">
        <v>5</v>
      </c>
      <c r="C71" s="540" t="s">
        <v>6</v>
      </c>
      <c r="D71" s="540" t="s">
        <v>7</v>
      </c>
      <c r="E71" s="540" t="s">
        <v>8</v>
      </c>
      <c r="F71" s="541" t="s">
        <v>9</v>
      </c>
      <c r="G71" s="540" t="s">
        <v>10</v>
      </c>
      <c r="H71" s="540" t="s">
        <v>11</v>
      </c>
    </row>
    <row r="72" spans="1:26" x14ac:dyDescent="0.2">
      <c r="B72" s="29" t="s">
        <v>12</v>
      </c>
      <c r="C72" s="69">
        <v>12</v>
      </c>
      <c r="D72" s="29" t="s">
        <v>13</v>
      </c>
      <c r="E72" s="69">
        <v>500000</v>
      </c>
      <c r="F72" s="29"/>
      <c r="G72" s="29"/>
      <c r="H72" s="31">
        <f>C72*E72</f>
        <v>6000000</v>
      </c>
    </row>
    <row r="73" spans="1:26" x14ac:dyDescent="0.2">
      <c r="B73" s="29" t="s">
        <v>14</v>
      </c>
      <c r="C73" s="69">
        <v>12</v>
      </c>
      <c r="D73" s="29" t="s">
        <v>13</v>
      </c>
      <c r="E73" s="69">
        <v>100000</v>
      </c>
      <c r="F73" s="29"/>
      <c r="G73" s="29"/>
      <c r="H73" s="31">
        <f t="shared" ref="H73:H75" si="16">C73*E73</f>
        <v>1200000</v>
      </c>
    </row>
    <row r="74" spans="1:26" x14ac:dyDescent="0.2">
      <c r="B74" s="29" t="s">
        <v>17</v>
      </c>
      <c r="C74" s="62">
        <f>4*12</f>
        <v>48</v>
      </c>
      <c r="D74" s="29" t="s">
        <v>13</v>
      </c>
      <c r="E74" s="69">
        <v>1625000</v>
      </c>
      <c r="F74" s="29"/>
      <c r="G74" s="29"/>
      <c r="H74" s="31">
        <f t="shared" si="16"/>
        <v>78000000</v>
      </c>
    </row>
    <row r="75" spans="1:26" x14ac:dyDescent="0.2">
      <c r="B75" s="29" t="s">
        <v>18</v>
      </c>
      <c r="C75" s="62">
        <f>4*12</f>
        <v>48</v>
      </c>
      <c r="D75" s="29" t="s">
        <v>13</v>
      </c>
      <c r="E75" s="69">
        <v>325000</v>
      </c>
      <c r="F75" s="29"/>
      <c r="G75" s="29"/>
      <c r="H75" s="31">
        <f t="shared" si="16"/>
        <v>15600000</v>
      </c>
    </row>
    <row r="76" spans="1:26" x14ac:dyDescent="0.2">
      <c r="B76" s="29" t="s">
        <v>24</v>
      </c>
      <c r="C76" s="62">
        <f>12*2</f>
        <v>24</v>
      </c>
      <c r="D76" s="29" t="s">
        <v>13</v>
      </c>
      <c r="E76" s="69">
        <v>25484000</v>
      </c>
      <c r="F76" s="29"/>
      <c r="G76" s="29"/>
      <c r="H76" s="31">
        <f>C76*E76</f>
        <v>611616000</v>
      </c>
    </row>
    <row r="77" spans="1:26" x14ac:dyDescent="0.2">
      <c r="B77" s="33" t="s">
        <v>282</v>
      </c>
      <c r="C77" s="62">
        <v>2368.4210526315787</v>
      </c>
      <c r="D77" s="29" t="s">
        <v>13</v>
      </c>
      <c r="E77" s="69">
        <v>1000000</v>
      </c>
      <c r="F77" s="36">
        <v>0.25</v>
      </c>
      <c r="G77" s="29"/>
      <c r="H77" s="31">
        <f>C77*E77*F77</f>
        <v>592105263.15789473</v>
      </c>
      <c r="I77" s="64"/>
      <c r="J77" s="4"/>
    </row>
    <row r="78" spans="1:26" x14ac:dyDescent="0.2">
      <c r="B78" s="29" t="s">
        <v>256</v>
      </c>
      <c r="C78" s="69">
        <v>72</v>
      </c>
      <c r="D78" s="29" t="s">
        <v>71</v>
      </c>
      <c r="E78" s="69">
        <v>4560407</v>
      </c>
      <c r="F78" s="29"/>
      <c r="G78" s="29">
        <v>12</v>
      </c>
      <c r="H78" s="62">
        <f>C78*E78*G78</f>
        <v>3940191648</v>
      </c>
      <c r="I78" s="35"/>
      <c r="J78" s="4"/>
    </row>
    <row r="79" spans="1:26" x14ac:dyDescent="0.2">
      <c r="B79" s="29" t="s">
        <v>489</v>
      </c>
      <c r="C79" s="69">
        <v>2</v>
      </c>
      <c r="D79" s="29" t="s">
        <v>71</v>
      </c>
      <c r="E79" s="69">
        <v>14467506</v>
      </c>
      <c r="F79" s="29"/>
      <c r="G79" s="29">
        <v>2</v>
      </c>
      <c r="H79" s="62">
        <f>C79*E79*G79</f>
        <v>57870024</v>
      </c>
      <c r="I79" s="35"/>
      <c r="J79" s="4"/>
    </row>
    <row r="80" spans="1:26" x14ac:dyDescent="0.2">
      <c r="B80" s="29" t="s">
        <v>27</v>
      </c>
      <c r="C80" s="62">
        <v>12</v>
      </c>
      <c r="D80" s="29" t="s">
        <v>13</v>
      </c>
      <c r="E80" s="69">
        <v>3000000</v>
      </c>
      <c r="F80" s="29"/>
      <c r="G80" s="29"/>
      <c r="H80" s="31">
        <f>C80*E80</f>
        <v>36000000</v>
      </c>
    </row>
    <row r="81" spans="1:12" x14ac:dyDescent="0.2">
      <c r="B81" s="29" t="s">
        <v>30</v>
      </c>
      <c r="C81" s="69">
        <f>5*12</f>
        <v>60</v>
      </c>
      <c r="D81" s="29" t="s">
        <v>31</v>
      </c>
      <c r="E81" s="69">
        <v>300000</v>
      </c>
      <c r="F81" s="36"/>
      <c r="G81" s="29"/>
      <c r="H81" s="31">
        <f t="shared" ref="H81:H89" si="17">C81*E81</f>
        <v>18000000</v>
      </c>
      <c r="I81" s="35"/>
      <c r="J81" s="4"/>
      <c r="K81" s="4"/>
      <c r="L81" s="4"/>
    </row>
    <row r="82" spans="1:12" x14ac:dyDescent="0.2">
      <c r="B82" s="29" t="s">
        <v>32</v>
      </c>
      <c r="C82" s="69">
        <v>12</v>
      </c>
      <c r="D82" s="29" t="s">
        <v>33</v>
      </c>
      <c r="E82" s="69">
        <v>5000000</v>
      </c>
      <c r="F82" s="29"/>
      <c r="G82" s="29"/>
      <c r="H82" s="31">
        <f t="shared" si="17"/>
        <v>60000000</v>
      </c>
      <c r="I82" s="35"/>
      <c r="J82" s="4"/>
      <c r="K82" s="4"/>
      <c r="L82" s="4"/>
    </row>
    <row r="83" spans="1:12" x14ac:dyDescent="0.2">
      <c r="B83" s="29" t="s">
        <v>34</v>
      </c>
      <c r="C83" s="69">
        <v>12</v>
      </c>
      <c r="D83" s="29" t="s">
        <v>33</v>
      </c>
      <c r="E83" s="69">
        <v>1500000</v>
      </c>
      <c r="F83" s="29"/>
      <c r="G83" s="29"/>
      <c r="H83" s="31">
        <f t="shared" si="17"/>
        <v>18000000</v>
      </c>
      <c r="I83" s="35"/>
      <c r="J83" s="4"/>
      <c r="K83" s="4"/>
      <c r="L83" s="4"/>
    </row>
    <row r="84" spans="1:12" x14ac:dyDescent="0.2">
      <c r="B84" s="29" t="s">
        <v>138</v>
      </c>
      <c r="C84" s="69">
        <v>12</v>
      </c>
      <c r="D84" s="29" t="s">
        <v>31</v>
      </c>
      <c r="E84" s="69">
        <v>3000000</v>
      </c>
      <c r="F84" s="29"/>
      <c r="G84" s="29"/>
      <c r="H84" s="31">
        <f t="shared" si="17"/>
        <v>36000000</v>
      </c>
      <c r="I84" s="35"/>
      <c r="J84" s="4"/>
    </row>
    <row r="85" spans="1:12" x14ac:dyDescent="0.2">
      <c r="B85" s="29" t="s">
        <v>139</v>
      </c>
      <c r="C85" s="69">
        <v>12</v>
      </c>
      <c r="D85" s="29" t="s">
        <v>31</v>
      </c>
      <c r="E85" s="69">
        <v>900000</v>
      </c>
      <c r="F85" s="29"/>
      <c r="G85" s="29"/>
      <c r="H85" s="31">
        <f t="shared" si="17"/>
        <v>10800000</v>
      </c>
      <c r="I85" s="187"/>
      <c r="J85" s="4"/>
    </row>
    <row r="86" spans="1:12" s="61" customFormat="1" x14ac:dyDescent="0.2">
      <c r="A86" s="2"/>
      <c r="B86" s="29" t="s">
        <v>1100</v>
      </c>
      <c r="C86" s="69">
        <v>36</v>
      </c>
      <c r="D86" s="29" t="s">
        <v>13</v>
      </c>
      <c r="E86" s="69">
        <v>4120000</v>
      </c>
      <c r="F86" s="29"/>
      <c r="G86" s="29"/>
      <c r="H86" s="31">
        <f t="shared" si="17"/>
        <v>148320000</v>
      </c>
    </row>
    <row r="87" spans="1:12" x14ac:dyDescent="0.2">
      <c r="B87" s="29" t="s">
        <v>1101</v>
      </c>
      <c r="C87" s="60">
        <v>12</v>
      </c>
      <c r="D87" s="59" t="s">
        <v>13</v>
      </c>
      <c r="E87" s="60">
        <v>6000000</v>
      </c>
      <c r="F87" s="59"/>
      <c r="G87" s="59"/>
      <c r="H87" s="31">
        <f t="shared" si="17"/>
        <v>72000000</v>
      </c>
      <c r="I87" s="35"/>
      <c r="J87" s="4"/>
    </row>
    <row r="88" spans="1:12" x14ac:dyDescent="0.2">
      <c r="B88" s="29" t="s">
        <v>69</v>
      </c>
      <c r="C88" s="69">
        <v>24</v>
      </c>
      <c r="D88" s="29" t="s">
        <v>13</v>
      </c>
      <c r="E88" s="69">
        <v>23700000</v>
      </c>
      <c r="F88" s="29"/>
      <c r="G88" s="29"/>
      <c r="H88" s="31">
        <f t="shared" si="17"/>
        <v>568800000</v>
      </c>
      <c r="I88" s="35"/>
      <c r="J88" s="4"/>
    </row>
    <row r="89" spans="1:12" x14ac:dyDescent="0.2">
      <c r="B89" s="29" t="s">
        <v>70</v>
      </c>
      <c r="C89" s="69">
        <v>24</v>
      </c>
      <c r="D89" s="29" t="s">
        <v>13</v>
      </c>
      <c r="E89" s="69">
        <v>10000000</v>
      </c>
      <c r="F89" s="29"/>
      <c r="G89" s="29"/>
      <c r="H89" s="31">
        <f t="shared" si="17"/>
        <v>240000000</v>
      </c>
      <c r="I89" s="35"/>
      <c r="J89" s="4"/>
    </row>
    <row r="90" spans="1:12" x14ac:dyDescent="0.2">
      <c r="B90" s="33" t="s">
        <v>77</v>
      </c>
      <c r="C90" s="62">
        <v>1</v>
      </c>
      <c r="D90" s="33" t="s">
        <v>36</v>
      </c>
      <c r="E90" s="62">
        <v>5661197</v>
      </c>
      <c r="F90" s="63"/>
      <c r="G90" s="33">
        <v>5</v>
      </c>
      <c r="H90" s="31">
        <f>C90*E90*G90</f>
        <v>28305985</v>
      </c>
      <c r="I90" s="35"/>
      <c r="J90" s="4"/>
    </row>
    <row r="91" spans="1:12" x14ac:dyDescent="0.2">
      <c r="B91" s="29" t="s">
        <v>279</v>
      </c>
      <c r="C91" s="69">
        <v>12</v>
      </c>
      <c r="D91" s="29" t="s">
        <v>71</v>
      </c>
      <c r="E91" s="69">
        <v>1625000</v>
      </c>
      <c r="F91" s="29"/>
      <c r="G91" s="29"/>
      <c r="H91" s="62">
        <f>C91*E91</f>
        <v>19500000</v>
      </c>
      <c r="I91" s="35"/>
      <c r="J91" s="4"/>
    </row>
    <row r="92" spans="1:12" s="184" customFormat="1" x14ac:dyDescent="0.2">
      <c r="B92" s="33" t="s">
        <v>76</v>
      </c>
      <c r="C92" s="62">
        <f>5*12</f>
        <v>60</v>
      </c>
      <c r="D92" s="33" t="s">
        <v>55</v>
      </c>
      <c r="E92" s="62">
        <v>36000000</v>
      </c>
      <c r="F92" s="63">
        <v>0.5</v>
      </c>
      <c r="G92" s="33"/>
      <c r="H92" s="31">
        <f>C92*E92*F92</f>
        <v>1080000000</v>
      </c>
      <c r="I92" s="183"/>
      <c r="J92" s="14"/>
    </row>
    <row r="93" spans="1:12" x14ac:dyDescent="0.2">
      <c r="B93" s="33" t="s">
        <v>75</v>
      </c>
      <c r="C93" s="62">
        <v>12</v>
      </c>
      <c r="D93" s="33" t="s">
        <v>73</v>
      </c>
      <c r="E93" s="62">
        <v>43000000</v>
      </c>
      <c r="F93" s="63">
        <v>0.5</v>
      </c>
      <c r="G93" s="33"/>
      <c r="H93" s="31">
        <f>C93*E93*F93</f>
        <v>258000000</v>
      </c>
      <c r="I93" s="35"/>
      <c r="J93" s="4"/>
    </row>
    <row r="94" spans="1:12" x14ac:dyDescent="0.2">
      <c r="B94" s="29" t="s">
        <v>393</v>
      </c>
      <c r="C94" s="69">
        <v>2</v>
      </c>
      <c r="D94" s="29" t="s">
        <v>55</v>
      </c>
      <c r="E94" s="69">
        <v>10745859.024</v>
      </c>
      <c r="F94" s="29"/>
      <c r="G94" s="29"/>
      <c r="H94" s="31">
        <f t="shared" ref="H94:H96" si="18">C94*E94</f>
        <v>21491718.048</v>
      </c>
      <c r="I94" s="32"/>
      <c r="J94" s="4"/>
    </row>
    <row r="95" spans="1:12" x14ac:dyDescent="0.2">
      <c r="B95" s="29" t="s">
        <v>394</v>
      </c>
      <c r="C95" s="69">
        <v>2</v>
      </c>
      <c r="D95" s="29" t="s">
        <v>55</v>
      </c>
      <c r="E95" s="69">
        <v>31162519.920000002</v>
      </c>
      <c r="F95" s="29"/>
      <c r="G95" s="29"/>
      <c r="H95" s="31">
        <f t="shared" si="18"/>
        <v>62325039.840000004</v>
      </c>
      <c r="I95" s="32"/>
      <c r="J95" s="4"/>
    </row>
    <row r="96" spans="1:12" x14ac:dyDescent="0.2">
      <c r="B96" s="29" t="s">
        <v>395</v>
      </c>
      <c r="C96" s="69">
        <v>2</v>
      </c>
      <c r="D96" s="29" t="s">
        <v>55</v>
      </c>
      <c r="E96" s="69">
        <v>49497312.195</v>
      </c>
      <c r="F96" s="29"/>
      <c r="G96" s="29"/>
      <c r="H96" s="31">
        <f t="shared" si="18"/>
        <v>98994624.390000001</v>
      </c>
      <c r="I96" s="64"/>
      <c r="J96" s="4"/>
    </row>
    <row r="97" spans="2:18" x14ac:dyDescent="0.2">
      <c r="B97" s="33" t="s">
        <v>269</v>
      </c>
      <c r="C97" s="62">
        <v>50</v>
      </c>
      <c r="D97" s="33" t="s">
        <v>271</v>
      </c>
      <c r="E97" s="62">
        <v>30000000</v>
      </c>
      <c r="F97" s="63">
        <v>0.8</v>
      </c>
      <c r="G97" s="33"/>
      <c r="H97" s="31">
        <f>C97*E97*F97</f>
        <v>1200000000</v>
      </c>
      <c r="I97" s="35"/>
      <c r="J97" s="4"/>
    </row>
    <row r="98" spans="2:18" x14ac:dyDescent="0.2">
      <c r="B98" s="33" t="s">
        <v>270</v>
      </c>
      <c r="C98" s="62">
        <v>100</v>
      </c>
      <c r="D98" s="33" t="s">
        <v>271</v>
      </c>
      <c r="E98" s="62">
        <v>10000000</v>
      </c>
      <c r="F98" s="63">
        <v>0.6</v>
      </c>
      <c r="G98" s="33"/>
      <c r="H98" s="31">
        <f>C98*E98*F98</f>
        <v>600000000</v>
      </c>
      <c r="I98" s="35"/>
      <c r="J98" s="4"/>
    </row>
    <row r="99" spans="2:18" x14ac:dyDescent="0.2">
      <c r="B99" s="33" t="s">
        <v>559</v>
      </c>
      <c r="C99" s="69">
        <f>10</f>
        <v>10</v>
      </c>
      <c r="D99" s="29" t="s">
        <v>55</v>
      </c>
      <c r="E99" s="62">
        <v>291730750</v>
      </c>
      <c r="F99" s="190">
        <v>0.3</v>
      </c>
      <c r="G99" s="29"/>
      <c r="H99" s="31">
        <f>C99*E99*F99</f>
        <v>875192250</v>
      </c>
      <c r="I99" s="35"/>
      <c r="J99" s="4"/>
    </row>
    <row r="100" spans="2:18" x14ac:dyDescent="0.2">
      <c r="B100" s="33" t="s">
        <v>558</v>
      </c>
      <c r="C100" s="69">
        <v>10</v>
      </c>
      <c r="D100" s="29" t="s">
        <v>55</v>
      </c>
      <c r="E100" s="62">
        <v>392000000</v>
      </c>
      <c r="F100" s="36">
        <v>0.2</v>
      </c>
      <c r="G100" s="29"/>
      <c r="H100" s="31">
        <f t="shared" ref="H100" si="19">C100*E100*F100</f>
        <v>784000000</v>
      </c>
      <c r="I100" s="37"/>
    </row>
    <row r="101" spans="2:18" x14ac:dyDescent="0.2">
      <c r="B101" s="29" t="s">
        <v>35</v>
      </c>
      <c r="C101" s="69">
        <v>5</v>
      </c>
      <c r="D101" s="29" t="s">
        <v>36</v>
      </c>
      <c r="E101" s="69">
        <v>8963563</v>
      </c>
      <c r="F101" s="36">
        <v>1</v>
      </c>
      <c r="G101" s="29">
        <v>12</v>
      </c>
      <c r="H101" s="31">
        <f>C101*E101*G101*F101</f>
        <v>537813780</v>
      </c>
      <c r="I101" s="37"/>
    </row>
    <row r="102" spans="2:18" x14ac:dyDescent="0.2">
      <c r="B102" s="29" t="s">
        <v>78</v>
      </c>
      <c r="C102" s="62">
        <v>8</v>
      </c>
      <c r="D102" s="29" t="s">
        <v>38</v>
      </c>
      <c r="E102" s="69">
        <v>1213122</v>
      </c>
      <c r="F102" s="29"/>
      <c r="G102" s="29"/>
      <c r="H102" s="31">
        <f>C102*E102</f>
        <v>9704976</v>
      </c>
      <c r="I102" s="37"/>
    </row>
    <row r="103" spans="2:18" x14ac:dyDescent="0.2">
      <c r="B103" s="29" t="s">
        <v>79</v>
      </c>
      <c r="C103" s="62">
        <v>4</v>
      </c>
      <c r="D103" s="29" t="s">
        <v>40</v>
      </c>
      <c r="E103" s="69">
        <v>1438122</v>
      </c>
      <c r="F103" s="29"/>
      <c r="G103" s="29"/>
      <c r="H103" s="31">
        <f>C103*E103</f>
        <v>5752488</v>
      </c>
    </row>
    <row r="104" spans="2:18" x14ac:dyDescent="0.2">
      <c r="B104" s="29" t="s">
        <v>41</v>
      </c>
      <c r="C104" s="62">
        <v>12</v>
      </c>
      <c r="D104" s="29" t="s">
        <v>42</v>
      </c>
      <c r="E104" s="69">
        <v>3931384</v>
      </c>
      <c r="F104" s="36">
        <v>1</v>
      </c>
      <c r="G104" s="29">
        <v>8</v>
      </c>
      <c r="H104" s="31">
        <f>C104*E104*G104*F104</f>
        <v>377412864</v>
      </c>
    </row>
    <row r="105" spans="2:18" x14ac:dyDescent="0.2">
      <c r="B105" s="29" t="s">
        <v>43</v>
      </c>
      <c r="C105" s="62">
        <v>12</v>
      </c>
      <c r="D105" s="29" t="s">
        <v>13</v>
      </c>
      <c r="E105" s="69">
        <v>1300000</v>
      </c>
      <c r="F105" s="36">
        <v>1</v>
      </c>
      <c r="G105" s="29">
        <v>8</v>
      </c>
      <c r="H105" s="31">
        <f t="shared" ref="H105:H106" si="20">C105*E105*G105*F105</f>
        <v>124800000</v>
      </c>
    </row>
    <row r="106" spans="2:18" x14ac:dyDescent="0.2">
      <c r="B106" s="29" t="s">
        <v>44</v>
      </c>
      <c r="C106" s="62">
        <v>12</v>
      </c>
      <c r="D106" s="29" t="s">
        <v>13</v>
      </c>
      <c r="E106" s="69">
        <v>120000</v>
      </c>
      <c r="F106" s="36">
        <v>1</v>
      </c>
      <c r="G106" s="29">
        <v>8</v>
      </c>
      <c r="H106" s="31">
        <f t="shared" si="20"/>
        <v>11520000</v>
      </c>
    </row>
    <row r="107" spans="2:18" ht="15" x14ac:dyDescent="0.25">
      <c r="B107" s="29" t="s">
        <v>80</v>
      </c>
      <c r="C107" s="69"/>
      <c r="D107" s="29"/>
      <c r="E107" s="69"/>
      <c r="F107" s="29"/>
      <c r="G107" s="29"/>
      <c r="H107" s="30" t="s">
        <v>46</v>
      </c>
      <c r="I107" s="43" t="s">
        <v>501</v>
      </c>
    </row>
    <row r="108" spans="2:18" ht="15" x14ac:dyDescent="0.25">
      <c r="B108" s="39" t="s">
        <v>381</v>
      </c>
      <c r="H108" s="43">
        <f>SUM(H72:H107)-H79-H90-H91-H92-H93-H94-H95-H96-H97-H98-H99</f>
        <v>8303637019.1578941</v>
      </c>
      <c r="I108" s="43">
        <f>H108/12</f>
        <v>691969751.59649122</v>
      </c>
    </row>
    <row r="109" spans="2:18" ht="15" x14ac:dyDescent="0.25">
      <c r="B109" s="39" t="s">
        <v>497</v>
      </c>
      <c r="H109" s="43">
        <f>SUM(H72:H107)</f>
        <v>12605316660.435894</v>
      </c>
    </row>
    <row r="110" spans="2:18" ht="15" x14ac:dyDescent="0.25">
      <c r="B110" s="39" t="s">
        <v>498</v>
      </c>
      <c r="H110" s="43">
        <f>H109-H90-H91-H92-H94-H95-H96-H100</f>
        <v>10510699293.157894</v>
      </c>
      <c r="I110" s="225">
        <v>4</v>
      </c>
      <c r="J110" s="225">
        <v>5</v>
      </c>
      <c r="K110" s="225">
        <v>6</v>
      </c>
      <c r="L110" s="225">
        <v>7</v>
      </c>
      <c r="M110" s="225">
        <v>8</v>
      </c>
      <c r="N110" s="225">
        <v>9</v>
      </c>
      <c r="O110" s="225">
        <v>10</v>
      </c>
      <c r="P110" s="225">
        <v>11</v>
      </c>
      <c r="Q110" s="225">
        <v>12</v>
      </c>
      <c r="R110" s="225">
        <v>13</v>
      </c>
    </row>
    <row r="111" spans="2:18" ht="15" x14ac:dyDescent="0.25">
      <c r="B111" s="39" t="s">
        <v>392</v>
      </c>
      <c r="H111" s="45"/>
      <c r="I111" s="62">
        <v>2981250000</v>
      </c>
      <c r="J111" s="62">
        <v>3160125000</v>
      </c>
      <c r="K111" s="62">
        <v>3349732500.0000005</v>
      </c>
      <c r="L111" s="62">
        <v>3550716450.0000005</v>
      </c>
      <c r="M111" s="62">
        <v>3763759437.0000005</v>
      </c>
      <c r="N111" s="62">
        <v>3989585003.2200007</v>
      </c>
      <c r="O111" s="62">
        <v>4228960103.4132004</v>
      </c>
      <c r="P111" s="62">
        <v>4482697709.6179924</v>
      </c>
      <c r="Q111" s="62">
        <v>4751659572.1950722</v>
      </c>
      <c r="R111" s="62">
        <v>5036759146.5267763</v>
      </c>
    </row>
    <row r="112" spans="2:18" s="4" customFormat="1" ht="409.5" customHeight="1" x14ac:dyDescent="0.2">
      <c r="B112" s="216" t="s">
        <v>1102</v>
      </c>
      <c r="C112" s="45"/>
      <c r="D112" s="45"/>
      <c r="E112" s="45"/>
      <c r="F112" s="45"/>
      <c r="G112" s="45"/>
      <c r="H112" s="45"/>
      <c r="I112" s="287"/>
      <c r="J112" s="2"/>
    </row>
    <row r="113" spans="1:10" ht="15" x14ac:dyDescent="0.25">
      <c r="B113" s="44"/>
      <c r="C113" s="45"/>
      <c r="D113" s="45"/>
      <c r="E113" s="45"/>
      <c r="F113" s="45"/>
      <c r="G113" s="45"/>
      <c r="H113" s="45"/>
      <c r="I113" s="46"/>
    </row>
    <row r="114" spans="1:10" s="4" customFormat="1" ht="14.45" customHeight="1" x14ac:dyDescent="0.2">
      <c r="A114" s="47"/>
      <c r="B114" s="45"/>
      <c r="C114" s="45"/>
      <c r="D114" s="45"/>
      <c r="E114" s="45"/>
      <c r="F114" s="45"/>
      <c r="G114" s="45"/>
      <c r="H114" s="45"/>
    </row>
    <row r="115" spans="1:10" ht="15" hidden="1" x14ac:dyDescent="0.25">
      <c r="B115" s="680" t="str">
        <f>B9</f>
        <v>2.2. Fortalecimiento de la asistencia técnica y extensión agrícola a productores de papa</v>
      </c>
      <c r="C115" s="681"/>
      <c r="D115" s="681"/>
      <c r="E115" s="681"/>
      <c r="F115" s="681"/>
      <c r="G115" s="681"/>
      <c r="H115" s="681"/>
    </row>
    <row r="116" spans="1:10" ht="15" x14ac:dyDescent="0.25">
      <c r="B116" s="687" t="str">
        <f>B10</f>
        <v>2.3.  Fortalecimiento de las capacidades técnicas y empresariales de MiPymes procesadoras  de papa</v>
      </c>
      <c r="C116" s="688"/>
      <c r="D116" s="688"/>
      <c r="E116" s="688"/>
      <c r="F116" s="688"/>
      <c r="G116" s="688"/>
      <c r="H116" s="688"/>
    </row>
    <row r="117" spans="1:10" ht="32.1" customHeight="1" x14ac:dyDescent="0.25">
      <c r="B117" s="683" t="str">
        <f>Portafolio_PA_Papa!E33</f>
        <v>2.3.1. Identificar y seleccionar MiPymes procesadoras de papa a nivel regional, que requieran asistencia técnica y extensión agroindustrial, para el fortalecimiento de sus capacidades empresariales, y para el acondicionamiento y transporte de papa, la fabricación de derivados, y otras, teniendo en cuenta las caracterizaciones a nivel regional de la actividad 8.3.3, y de los avances en I+D+i (proyecto 6.1).</v>
      </c>
      <c r="C117" s="684"/>
      <c r="D117" s="684"/>
      <c r="E117" s="684"/>
      <c r="F117" s="684"/>
      <c r="G117" s="684"/>
      <c r="H117" s="684"/>
    </row>
    <row r="118" spans="1:10" ht="15" x14ac:dyDescent="0.25">
      <c r="B118" s="683" t="str">
        <f>Portafolio_PA_Papa!E34</f>
        <v>2.3.2. Conformar y fortalecer redes colaborativas para los servicios de extensión, consolidando estrategias direccionadas a la cadena de la papa, teniendo en cuenta los desarrollos tecnológicos generados en I+D+i (Proyecto 6.1).</v>
      </c>
      <c r="C118" s="684"/>
      <c r="D118" s="684"/>
      <c r="E118" s="684"/>
      <c r="F118" s="684"/>
      <c r="G118" s="684"/>
      <c r="H118" s="684"/>
    </row>
    <row r="119" spans="1:10" ht="30" customHeight="1" x14ac:dyDescent="0.25">
      <c r="B119" s="683" t="str">
        <f>Portafolio_PA_Papa!E35</f>
        <v>2.3.3. Realizar capacitación, y prestar asistencia técnica y extensión agroindustrial a las MiPymes procesadoras, transportadoras y comercializadoras de papa, en temas de inocuidad, gestión ambiental, aprovechamiento de la papa no comercial y de los residuos del proceso industrial, entre otros, teniendo en cuenta el sistema de Trazabilidad Vegetal (Resolución 329 de 2021) y la reglamentación para la aplicación de las BPM (Decreto 3075 de 1997).</v>
      </c>
      <c r="C119" s="684"/>
      <c r="D119" s="684"/>
      <c r="E119" s="684"/>
      <c r="F119" s="684"/>
      <c r="G119" s="684"/>
      <c r="H119" s="684"/>
    </row>
    <row r="120" spans="1:10" ht="30" customHeight="1" x14ac:dyDescent="0.25">
      <c r="B120" s="683" t="str">
        <f>Portafolio_PA_Papa!E36</f>
        <v>2.3.4. Realizar el acompañamiento y capacitación básica a procesadores en planeación estratégica, gestión empresarial (monitoreo  de costos, rentabilidad y talento humano), indicadores de productividad, formación de talento humano, desarrollo de alianzas comerciales y la adecuada gestión de proveedores de servicios e insumos, que les permita la formulación o el fortalecimiento de su plan de negocios.</v>
      </c>
      <c r="C120" s="684"/>
      <c r="D120" s="684"/>
      <c r="E120" s="684"/>
      <c r="F120" s="684"/>
      <c r="G120" s="684"/>
      <c r="H120" s="684"/>
    </row>
    <row r="121" spans="1:10" ht="30.6" customHeight="1" x14ac:dyDescent="0.25">
      <c r="B121" s="683" t="str">
        <f>Portafolio_PA_Papa!E37</f>
        <v>2.3.5. Conectar la demanda de los procesadores y comercializadores de productos de la cadena de la papa con la asistencia técnica especializada en temas gerenciales, administrativos, de sanidad e inocuidad, procesos industriales que usan la papa como materia prima, aprovechamiento de atributos diferenciales asociados a su calidad, fabricación de nuevos productos, y gestión de la cadena de suministro.</v>
      </c>
      <c r="C121" s="684"/>
      <c r="D121" s="684"/>
      <c r="E121" s="684"/>
      <c r="F121" s="684"/>
      <c r="G121" s="684"/>
      <c r="H121" s="684"/>
    </row>
    <row r="122" spans="1:10" ht="28.5" customHeight="1" x14ac:dyDescent="0.25">
      <c r="B122" s="683" t="str">
        <f>Portafolio_PA_Papa!E38</f>
        <v>2.3.6. Promover la agregación de valor a través de alianzas con empresas certificadoras, en elementos diferenciadores para la papa y sus derivados (empaques, certificaciones BPM, componentes nutricionales, producción orgánica, sellos verdes, denominación de origen, entre otras).</v>
      </c>
      <c r="C122" s="684"/>
      <c r="D122" s="684"/>
      <c r="E122" s="684"/>
      <c r="F122" s="684"/>
      <c r="G122" s="684"/>
      <c r="H122" s="684"/>
    </row>
    <row r="123" spans="1:10" ht="28.5" customHeight="1" x14ac:dyDescent="0.25">
      <c r="B123" s="534"/>
      <c r="C123" s="537"/>
      <c r="D123" s="537"/>
      <c r="E123" s="537"/>
      <c r="F123" s="537"/>
      <c r="G123" s="537"/>
      <c r="H123" s="537"/>
    </row>
    <row r="124" spans="1:10" ht="15" x14ac:dyDescent="0.25">
      <c r="B124" s="544" t="s">
        <v>1128</v>
      </c>
      <c r="C124" s="321"/>
      <c r="D124" s="321"/>
      <c r="E124" s="321"/>
      <c r="F124" s="321"/>
      <c r="G124" s="321"/>
      <c r="H124" s="321"/>
    </row>
    <row r="125" spans="1:10" s="4" customFormat="1" ht="15" x14ac:dyDescent="0.25">
      <c r="A125" s="48"/>
      <c r="B125" s="26" t="s">
        <v>5</v>
      </c>
      <c r="C125" s="26" t="s">
        <v>6</v>
      </c>
      <c r="D125" s="26" t="s">
        <v>7</v>
      </c>
      <c r="E125" s="26" t="s">
        <v>8</v>
      </c>
      <c r="F125" s="26" t="s">
        <v>48</v>
      </c>
      <c r="G125" s="26" t="s">
        <v>10</v>
      </c>
      <c r="H125" s="26" t="s">
        <v>11</v>
      </c>
      <c r="I125" s="37"/>
    </row>
    <row r="126" spans="1:10" s="4" customFormat="1" x14ac:dyDescent="0.2">
      <c r="B126" s="29" t="s">
        <v>12</v>
      </c>
      <c r="C126" s="29">
        <v>20</v>
      </c>
      <c r="D126" s="29" t="s">
        <v>13</v>
      </c>
      <c r="E126" s="30">
        <v>500000</v>
      </c>
      <c r="F126" s="29"/>
      <c r="G126" s="29"/>
      <c r="H126" s="31">
        <f>C126*E126</f>
        <v>10000000</v>
      </c>
      <c r="I126" s="37"/>
    </row>
    <row r="127" spans="1:10" s="4" customFormat="1" x14ac:dyDescent="0.2">
      <c r="B127" s="29" t="s">
        <v>14</v>
      </c>
      <c r="C127" s="29">
        <v>20</v>
      </c>
      <c r="D127" s="29" t="s">
        <v>13</v>
      </c>
      <c r="E127" s="30">
        <v>100000</v>
      </c>
      <c r="F127" s="29"/>
      <c r="G127" s="29"/>
      <c r="H127" s="31">
        <f t="shared" ref="H127:H153" si="21">C127*E127</f>
        <v>2000000</v>
      </c>
      <c r="I127" s="37"/>
    </row>
    <row r="128" spans="1:10" x14ac:dyDescent="0.2">
      <c r="B128" s="29" t="s">
        <v>489</v>
      </c>
      <c r="C128" s="29">
        <v>4</v>
      </c>
      <c r="D128" s="29" t="s">
        <v>71</v>
      </c>
      <c r="E128" s="34">
        <v>14467506</v>
      </c>
      <c r="F128" s="29"/>
      <c r="G128" s="29">
        <v>2</v>
      </c>
      <c r="H128" s="62">
        <f>C128*E128*G128</f>
        <v>115740048</v>
      </c>
      <c r="I128" s="35"/>
      <c r="J128" s="4"/>
    </row>
    <row r="129" spans="1:10" s="4" customFormat="1" x14ac:dyDescent="0.2">
      <c r="A129" s="48"/>
      <c r="B129" s="29" t="s">
        <v>135</v>
      </c>
      <c r="C129" s="29">
        <v>10</v>
      </c>
      <c r="D129" s="29" t="s">
        <v>13</v>
      </c>
      <c r="E129" s="30">
        <v>4120000</v>
      </c>
      <c r="F129" s="29"/>
      <c r="G129" s="29"/>
      <c r="H129" s="31">
        <f t="shared" si="21"/>
        <v>41200000</v>
      </c>
      <c r="I129" s="35"/>
    </row>
    <row r="130" spans="1:10" s="4" customFormat="1" x14ac:dyDescent="0.2">
      <c r="A130" s="48"/>
      <c r="B130" s="29" t="s">
        <v>58</v>
      </c>
      <c r="C130" s="33">
        <v>20</v>
      </c>
      <c r="D130" s="29" t="s">
        <v>13</v>
      </c>
      <c r="E130" s="30">
        <v>1625000</v>
      </c>
      <c r="F130" s="29"/>
      <c r="G130" s="29"/>
      <c r="H130" s="31">
        <f t="shared" si="21"/>
        <v>32500000</v>
      </c>
      <c r="I130" s="49"/>
    </row>
    <row r="131" spans="1:10" s="4" customFormat="1" x14ac:dyDescent="0.2">
      <c r="A131" s="48"/>
      <c r="B131" s="29" t="s">
        <v>59</v>
      </c>
      <c r="C131" s="33">
        <v>20</v>
      </c>
      <c r="D131" s="29" t="s">
        <v>13</v>
      </c>
      <c r="E131" s="30">
        <v>325000</v>
      </c>
      <c r="F131" s="29"/>
      <c r="G131" s="29"/>
      <c r="H131" s="31">
        <f t="shared" si="21"/>
        <v>6500000</v>
      </c>
      <c r="I131" s="49"/>
    </row>
    <row r="132" spans="1:10" x14ac:dyDescent="0.2">
      <c r="B132" s="29" t="s">
        <v>272</v>
      </c>
      <c r="C132" s="33">
        <v>10</v>
      </c>
      <c r="D132" s="29" t="s">
        <v>13</v>
      </c>
      <c r="E132" s="30">
        <v>3000000</v>
      </c>
      <c r="F132" s="29"/>
      <c r="G132" s="29"/>
      <c r="H132" s="31">
        <f t="shared" si="21"/>
        <v>30000000</v>
      </c>
      <c r="I132" s="35"/>
      <c r="J132" s="4"/>
    </row>
    <row r="133" spans="1:10" x14ac:dyDescent="0.2">
      <c r="B133" s="29" t="s">
        <v>421</v>
      </c>
      <c r="C133" s="33">
        <v>10</v>
      </c>
      <c r="D133" s="29" t="s">
        <v>13</v>
      </c>
      <c r="E133" s="30">
        <v>4600000</v>
      </c>
      <c r="F133" s="29"/>
      <c r="G133" s="29"/>
      <c r="H133" s="31">
        <f t="shared" si="21"/>
        <v>46000000</v>
      </c>
      <c r="I133" s="35"/>
      <c r="J133" s="4"/>
    </row>
    <row r="134" spans="1:10" x14ac:dyDescent="0.2">
      <c r="B134" s="29" t="s">
        <v>273</v>
      </c>
      <c r="C134" s="29">
        <v>20</v>
      </c>
      <c r="D134" s="29" t="s">
        <v>71</v>
      </c>
      <c r="E134" s="34">
        <v>1625000</v>
      </c>
      <c r="F134" s="29"/>
      <c r="G134" s="29"/>
      <c r="H134" s="62">
        <f>C134*E134</f>
        <v>32500000</v>
      </c>
      <c r="I134" s="35"/>
      <c r="J134" s="4"/>
    </row>
    <row r="135" spans="1:10" x14ac:dyDescent="0.2">
      <c r="B135" s="29" t="s">
        <v>213</v>
      </c>
      <c r="C135" s="29">
        <v>10</v>
      </c>
      <c r="D135" s="29" t="s">
        <v>13</v>
      </c>
      <c r="E135" s="34">
        <v>12284000</v>
      </c>
      <c r="F135" s="29"/>
      <c r="G135" s="29"/>
      <c r="H135" s="62">
        <f>C135*E135</f>
        <v>122840000</v>
      </c>
      <c r="I135" s="35"/>
      <c r="J135" s="4"/>
    </row>
    <row r="136" spans="1:10" x14ac:dyDescent="0.2">
      <c r="B136" s="29" t="s">
        <v>27</v>
      </c>
      <c r="C136" s="29">
        <v>10</v>
      </c>
      <c r="D136" s="29" t="s">
        <v>13</v>
      </c>
      <c r="E136" s="34">
        <v>2000000</v>
      </c>
      <c r="F136" s="29"/>
      <c r="G136" s="29"/>
      <c r="H136" s="62">
        <f>C136*E136</f>
        <v>20000000</v>
      </c>
      <c r="I136" s="35"/>
      <c r="J136" s="4"/>
    </row>
    <row r="137" spans="1:10" x14ac:dyDescent="0.2">
      <c r="B137" s="29" t="s">
        <v>143</v>
      </c>
      <c r="C137" s="29">
        <v>20</v>
      </c>
      <c r="D137" s="29" t="s">
        <v>13</v>
      </c>
      <c r="E137" s="30">
        <v>23700000</v>
      </c>
      <c r="F137" s="29"/>
      <c r="G137" s="29"/>
      <c r="H137" s="62">
        <f t="shared" ref="H137:H138" si="22">C137*E137</f>
        <v>474000000</v>
      </c>
      <c r="I137" s="32"/>
      <c r="J137" s="4"/>
    </row>
    <row r="138" spans="1:10" x14ac:dyDescent="0.2">
      <c r="B138" s="29" t="s">
        <v>142</v>
      </c>
      <c r="C138" s="29">
        <v>20</v>
      </c>
      <c r="D138" s="29" t="s">
        <v>13</v>
      </c>
      <c r="E138" s="30">
        <v>10000000</v>
      </c>
      <c r="F138" s="29"/>
      <c r="G138" s="29"/>
      <c r="H138" s="62">
        <f t="shared" si="22"/>
        <v>200000000</v>
      </c>
      <c r="I138" s="32"/>
      <c r="J138" s="4"/>
    </row>
    <row r="139" spans="1:10" x14ac:dyDescent="0.2">
      <c r="B139" s="29" t="s">
        <v>136</v>
      </c>
      <c r="C139" s="29">
        <v>20</v>
      </c>
      <c r="D139" s="29" t="s">
        <v>33</v>
      </c>
      <c r="E139" s="30">
        <v>5000000</v>
      </c>
      <c r="F139" s="29"/>
      <c r="G139" s="29"/>
      <c r="H139" s="31">
        <f t="shared" si="21"/>
        <v>100000000</v>
      </c>
      <c r="I139" s="32"/>
      <c r="J139" s="4"/>
    </row>
    <row r="140" spans="1:10" x14ac:dyDescent="0.2">
      <c r="B140" s="29" t="s">
        <v>34</v>
      </c>
      <c r="C140" s="29">
        <v>20</v>
      </c>
      <c r="D140" s="29" t="s">
        <v>31</v>
      </c>
      <c r="E140" s="30">
        <v>1500000</v>
      </c>
      <c r="F140" s="29"/>
      <c r="G140" s="29"/>
      <c r="H140" s="31">
        <f t="shared" si="21"/>
        <v>30000000</v>
      </c>
      <c r="I140" s="32"/>
      <c r="J140" s="4"/>
    </row>
    <row r="141" spans="1:10" x14ac:dyDescent="0.2">
      <c r="B141" s="29" t="s">
        <v>137</v>
      </c>
      <c r="C141" s="29">
        <v>20</v>
      </c>
      <c r="D141" s="29" t="s">
        <v>33</v>
      </c>
      <c r="E141" s="30">
        <v>1000000</v>
      </c>
      <c r="F141" s="29"/>
      <c r="G141" s="29"/>
      <c r="H141" s="31">
        <f t="shared" si="21"/>
        <v>20000000</v>
      </c>
      <c r="I141" s="32"/>
      <c r="J141" s="4"/>
    </row>
    <row r="142" spans="1:10" x14ac:dyDescent="0.2">
      <c r="B142" s="29" t="s">
        <v>30</v>
      </c>
      <c r="C142" s="29">
        <v>20</v>
      </c>
      <c r="D142" s="29" t="s">
        <v>33</v>
      </c>
      <c r="E142" s="30">
        <v>300000</v>
      </c>
      <c r="F142" s="29"/>
      <c r="G142" s="29"/>
      <c r="H142" s="31">
        <f t="shared" si="21"/>
        <v>6000000</v>
      </c>
      <c r="I142" s="32"/>
      <c r="J142" s="4"/>
    </row>
    <row r="143" spans="1:10" x14ac:dyDescent="0.2">
      <c r="B143" s="29" t="s">
        <v>138</v>
      </c>
      <c r="C143" s="29">
        <v>20</v>
      </c>
      <c r="D143" s="29" t="s">
        <v>31</v>
      </c>
      <c r="E143" s="30">
        <v>3000000</v>
      </c>
      <c r="F143" s="29"/>
      <c r="G143" s="29"/>
      <c r="H143" s="31">
        <f t="shared" si="21"/>
        <v>60000000</v>
      </c>
      <c r="I143" s="32"/>
      <c r="J143" s="4"/>
    </row>
    <row r="144" spans="1:10" x14ac:dyDescent="0.2">
      <c r="B144" s="29" t="s">
        <v>139</v>
      </c>
      <c r="C144" s="29">
        <v>20</v>
      </c>
      <c r="D144" s="29" t="s">
        <v>31</v>
      </c>
      <c r="E144" s="30">
        <v>900000</v>
      </c>
      <c r="F144" s="29"/>
      <c r="G144" s="29"/>
      <c r="H144" s="31">
        <f t="shared" si="21"/>
        <v>18000000</v>
      </c>
      <c r="I144" s="32"/>
      <c r="J144" s="4"/>
    </row>
    <row r="145" spans="2:10" x14ac:dyDescent="0.2">
      <c r="B145" s="29" t="s">
        <v>407</v>
      </c>
      <c r="C145" s="29">
        <v>4</v>
      </c>
      <c r="D145" s="29" t="s">
        <v>13</v>
      </c>
      <c r="E145" s="30">
        <v>25000000</v>
      </c>
      <c r="F145" s="29"/>
      <c r="G145" s="29"/>
      <c r="H145" s="31">
        <f t="shared" si="21"/>
        <v>100000000</v>
      </c>
      <c r="I145" s="32"/>
      <c r="J145" s="4"/>
    </row>
    <row r="146" spans="2:10" x14ac:dyDescent="0.2">
      <c r="B146" s="29" t="s">
        <v>393</v>
      </c>
      <c r="C146" s="69">
        <v>2</v>
      </c>
      <c r="D146" s="29" t="s">
        <v>55</v>
      </c>
      <c r="E146" s="69">
        <v>10745859.024</v>
      </c>
      <c r="F146" s="29"/>
      <c r="G146" s="29"/>
      <c r="H146" s="31">
        <v>13432323.779999999</v>
      </c>
      <c r="I146" s="32"/>
      <c r="J146" s="4"/>
    </row>
    <row r="147" spans="2:10" x14ac:dyDescent="0.2">
      <c r="B147" s="29" t="s">
        <v>394</v>
      </c>
      <c r="C147" s="69">
        <v>2</v>
      </c>
      <c r="D147" s="29" t="s">
        <v>55</v>
      </c>
      <c r="E147" s="69">
        <v>31162519.920000002</v>
      </c>
      <c r="F147" s="29"/>
      <c r="G147" s="29"/>
      <c r="H147" s="31">
        <v>23371889.939999998</v>
      </c>
      <c r="I147" s="32"/>
      <c r="J147" s="4"/>
    </row>
    <row r="148" spans="2:10" x14ac:dyDescent="0.2">
      <c r="B148" s="29" t="s">
        <v>395</v>
      </c>
      <c r="C148" s="69">
        <v>2</v>
      </c>
      <c r="D148" s="29" t="s">
        <v>55</v>
      </c>
      <c r="E148" s="69">
        <v>49497312.195</v>
      </c>
      <c r="F148" s="29"/>
      <c r="G148" s="29"/>
      <c r="H148" s="31">
        <v>32998208.130000003</v>
      </c>
      <c r="I148" s="64"/>
      <c r="J148" s="4"/>
    </row>
    <row r="149" spans="2:10" x14ac:dyDescent="0.2">
      <c r="B149" s="29" t="s">
        <v>64</v>
      </c>
      <c r="C149" s="29">
        <v>4</v>
      </c>
      <c r="D149" s="29" t="s">
        <v>55</v>
      </c>
      <c r="E149" s="34">
        <v>43000000</v>
      </c>
      <c r="F149" s="36">
        <v>0.5</v>
      </c>
      <c r="G149" s="29"/>
      <c r="H149" s="62">
        <f>C149*E149*F149</f>
        <v>86000000</v>
      </c>
      <c r="I149" s="32"/>
      <c r="J149" s="4"/>
    </row>
    <row r="150" spans="2:10" x14ac:dyDescent="0.2">
      <c r="B150" s="33" t="s">
        <v>140</v>
      </c>
      <c r="C150" s="33">
        <v>4</v>
      </c>
      <c r="D150" s="33" t="s">
        <v>55</v>
      </c>
      <c r="E150" s="31">
        <v>51438956</v>
      </c>
      <c r="F150" s="63">
        <v>0.5</v>
      </c>
      <c r="G150" s="33"/>
      <c r="H150" s="31">
        <f>C150*E150*F150</f>
        <v>102877912</v>
      </c>
      <c r="I150" s="32"/>
      <c r="J150" s="4"/>
    </row>
    <row r="151" spans="2:10" x14ac:dyDescent="0.2">
      <c r="B151" s="29" t="s">
        <v>408</v>
      </c>
      <c r="C151" s="62">
        <v>3</v>
      </c>
      <c r="D151" s="29" t="s">
        <v>55</v>
      </c>
      <c r="E151" s="34">
        <v>54534409.859999992</v>
      </c>
      <c r="F151" s="29"/>
      <c r="G151" s="29"/>
      <c r="H151" s="31">
        <f t="shared" ref="H151:H152" si="23">C151*E151</f>
        <v>163603229.57999998</v>
      </c>
      <c r="I151" s="35"/>
      <c r="J151" s="4"/>
    </row>
    <row r="152" spans="2:10" x14ac:dyDescent="0.2">
      <c r="B152" s="29" t="s">
        <v>409</v>
      </c>
      <c r="C152" s="62">
        <v>2</v>
      </c>
      <c r="D152" s="29" t="s">
        <v>55</v>
      </c>
      <c r="E152" s="34">
        <v>115493728.455</v>
      </c>
      <c r="F152" s="29"/>
      <c r="G152" s="29"/>
      <c r="H152" s="31">
        <f t="shared" si="23"/>
        <v>230987456.91</v>
      </c>
      <c r="I152" s="35"/>
      <c r="J152" s="4"/>
    </row>
    <row r="153" spans="2:10" x14ac:dyDescent="0.2">
      <c r="B153" s="29" t="s">
        <v>35</v>
      </c>
      <c r="C153" s="29">
        <v>4</v>
      </c>
      <c r="D153" s="29" t="s">
        <v>36</v>
      </c>
      <c r="E153" s="30">
        <v>8963563</v>
      </c>
      <c r="F153" s="36">
        <v>1</v>
      </c>
      <c r="G153" s="29">
        <v>12</v>
      </c>
      <c r="H153" s="31">
        <f t="shared" si="21"/>
        <v>35854252</v>
      </c>
      <c r="I153" s="37"/>
    </row>
    <row r="154" spans="2:10" x14ac:dyDescent="0.2">
      <c r="B154" s="29" t="s">
        <v>78</v>
      </c>
      <c r="C154" s="33">
        <v>8</v>
      </c>
      <c r="D154" s="29" t="s">
        <v>38</v>
      </c>
      <c r="E154" s="30">
        <v>1213122</v>
      </c>
      <c r="F154" s="29"/>
      <c r="G154" s="29"/>
      <c r="H154" s="31">
        <f>C154*E154</f>
        <v>9704976</v>
      </c>
      <c r="I154" s="37"/>
    </row>
    <row r="155" spans="2:10" x14ac:dyDescent="0.2">
      <c r="B155" s="29" t="s">
        <v>79</v>
      </c>
      <c r="C155" s="33">
        <v>4</v>
      </c>
      <c r="D155" s="29" t="s">
        <v>40</v>
      </c>
      <c r="E155" s="30">
        <v>1438122</v>
      </c>
      <c r="F155" s="29"/>
      <c r="G155" s="29"/>
      <c r="H155" s="31">
        <f>C155*E155</f>
        <v>5752488</v>
      </c>
    </row>
    <row r="156" spans="2:10" x14ac:dyDescent="0.2">
      <c r="B156" s="29" t="s">
        <v>41</v>
      </c>
      <c r="C156" s="33">
        <v>10</v>
      </c>
      <c r="D156" s="29" t="s">
        <v>42</v>
      </c>
      <c r="E156" s="30">
        <v>3931384</v>
      </c>
      <c r="F156" s="36">
        <v>1</v>
      </c>
      <c r="G156" s="29">
        <v>8</v>
      </c>
      <c r="H156" s="31">
        <f>C156*E156*G156*F156</f>
        <v>314510720</v>
      </c>
    </row>
    <row r="157" spans="2:10" x14ac:dyDescent="0.2">
      <c r="B157" s="29" t="s">
        <v>43</v>
      </c>
      <c r="C157" s="33">
        <v>10</v>
      </c>
      <c r="D157" s="29" t="s">
        <v>13</v>
      </c>
      <c r="E157" s="30">
        <v>1300000</v>
      </c>
      <c r="F157" s="36">
        <v>1</v>
      </c>
      <c r="G157" s="29">
        <v>8</v>
      </c>
      <c r="H157" s="31">
        <f>C157*E157*G157*F157</f>
        <v>104000000</v>
      </c>
    </row>
    <row r="158" spans="2:10" x14ac:dyDescent="0.2">
      <c r="B158" s="29" t="s">
        <v>44</v>
      </c>
      <c r="C158" s="33">
        <v>10</v>
      </c>
      <c r="D158" s="29" t="s">
        <v>13</v>
      </c>
      <c r="E158" s="30">
        <v>120000</v>
      </c>
      <c r="F158" s="36">
        <v>1</v>
      </c>
      <c r="G158" s="29">
        <v>8</v>
      </c>
      <c r="H158" s="31">
        <f>C158*E158*G158*F158</f>
        <v>9600000</v>
      </c>
    </row>
    <row r="159" spans="2:10" ht="15" x14ac:dyDescent="0.25">
      <c r="B159" s="29" t="s">
        <v>410</v>
      </c>
      <c r="C159" s="29"/>
      <c r="D159" s="29"/>
      <c r="E159" s="29"/>
      <c r="F159" s="29"/>
      <c r="G159" s="29"/>
      <c r="H159" s="31" t="s">
        <v>46</v>
      </c>
      <c r="I159" s="57" t="s">
        <v>501</v>
      </c>
    </row>
    <row r="160" spans="2:10" s="4" customFormat="1" ht="15" x14ac:dyDescent="0.25">
      <c r="B160" s="39" t="s">
        <v>1</v>
      </c>
      <c r="C160" s="41"/>
      <c r="D160" s="41"/>
      <c r="E160" s="42"/>
      <c r="F160" s="42"/>
      <c r="G160" s="41"/>
      <c r="H160" s="57">
        <f>SUM(H126:H159)-H128-H146-H147-H148-H149</f>
        <v>2328431034.4899998</v>
      </c>
      <c r="I160" s="57">
        <f>H160/12</f>
        <v>194035919.54083332</v>
      </c>
      <c r="J160" s="2"/>
    </row>
    <row r="161" spans="1:10" s="4" customFormat="1" ht="15" x14ac:dyDescent="0.25">
      <c r="B161" s="39" t="s">
        <v>499</v>
      </c>
      <c r="C161" s="45"/>
      <c r="D161" s="45"/>
      <c r="E161" s="45"/>
      <c r="F161" s="45"/>
      <c r="G161" s="45"/>
      <c r="H161" s="226">
        <f>SUM(H126:H159)</f>
        <v>2599973504.3400002</v>
      </c>
      <c r="I161" s="2"/>
      <c r="J161" s="2"/>
    </row>
    <row r="162" spans="1:10" s="4" customFormat="1" ht="339.6" customHeight="1" x14ac:dyDescent="0.2">
      <c r="B162" s="229" t="s">
        <v>1125</v>
      </c>
      <c r="C162" s="45"/>
      <c r="D162" s="45"/>
      <c r="E162" s="45"/>
      <c r="F162" s="45"/>
      <c r="G162" s="45"/>
      <c r="H162" s="2"/>
      <c r="I162" s="2"/>
      <c r="J162" s="2"/>
    </row>
    <row r="163" spans="1:10" s="4" customFormat="1" x14ac:dyDescent="0.2">
      <c r="B163" s="229"/>
      <c r="C163" s="45"/>
      <c r="D163" s="45"/>
      <c r="E163" s="45"/>
      <c r="F163" s="45"/>
      <c r="G163" s="45"/>
      <c r="H163" s="2"/>
      <c r="I163" s="2"/>
      <c r="J163" s="2"/>
    </row>
    <row r="164" spans="1:10" s="4" customFormat="1" x14ac:dyDescent="0.2">
      <c r="C164" s="45"/>
      <c r="D164" s="45"/>
      <c r="E164" s="45"/>
      <c r="F164" s="45"/>
      <c r="G164" s="45"/>
      <c r="I164" s="2"/>
      <c r="J164" s="2"/>
    </row>
    <row r="165" spans="1:10" ht="15" x14ac:dyDescent="0.25">
      <c r="B165" s="687" t="str">
        <f>B11</f>
        <v>2.4. Promoción de la integración y las alianzas estratégicas en la cadena de la papa</v>
      </c>
      <c r="C165" s="688"/>
      <c r="D165" s="688"/>
      <c r="E165" s="688"/>
      <c r="F165" s="688"/>
      <c r="G165" s="688"/>
      <c r="H165" s="688"/>
    </row>
    <row r="166" spans="1:10" ht="32.1" customHeight="1" x14ac:dyDescent="0.25">
      <c r="B166" s="683" t="str">
        <f>Portafolio_PA_Papa!E39</f>
        <v xml:space="preserve">2.4.1. Fortalecer la formación y capacitación de los productores, comercializadores y procesadores de papa en sistemas de integración vertical y horizontal y asociación empresarial tales como alianzas estratégicas, integradores de crédito asociativo, esquemas de riesgo compartido, maquilas, franquicias, entre otras. </v>
      </c>
      <c r="C166" s="692"/>
      <c r="D166" s="692"/>
      <c r="E166" s="692"/>
      <c r="F166" s="692"/>
      <c r="G166" s="692"/>
      <c r="H166" s="692"/>
    </row>
    <row r="167" spans="1:10" ht="36.950000000000003" customHeight="1" x14ac:dyDescent="0.25">
      <c r="B167" s="683" t="str">
        <f>Portafolio_PA_Papa!E40</f>
        <v>2.4.2. Realizar acompañamiento comercial y financiero a productores, organizaciones de productores, procesadores y comercializadores, para la suscripción e implementación de acuerdos comerciales, de desarrollo de proveedores y de inversión, fomentando alianzas de mediano y largo plazo que mejoren la estabilidad de la oferta y la competitividad de la cadena.</v>
      </c>
      <c r="C167" s="684"/>
      <c r="D167" s="684"/>
      <c r="E167" s="684"/>
      <c r="F167" s="684"/>
      <c r="G167" s="684"/>
      <c r="H167" s="684"/>
    </row>
    <row r="168" spans="1:10" ht="15" x14ac:dyDescent="0.25">
      <c r="B168" s="683" t="str">
        <f>Portafolio_PA_Papa!E41</f>
        <v>2.4.3. Monitorear la consolidación de las alianzas estratégicas, y acuerdos comerciales y de inversión entre los agentes de la cadena en las regiones.</v>
      </c>
      <c r="C168" s="684"/>
      <c r="D168" s="684"/>
      <c r="E168" s="684"/>
      <c r="F168" s="684"/>
      <c r="G168" s="684"/>
      <c r="H168" s="684"/>
    </row>
    <row r="169" spans="1:10" ht="30.6" customHeight="1" x14ac:dyDescent="0.25">
      <c r="B169" s="683"/>
      <c r="C169" s="684"/>
      <c r="D169" s="684"/>
      <c r="E169" s="684"/>
      <c r="F169" s="684"/>
      <c r="G169" s="684"/>
      <c r="H169" s="684"/>
    </row>
    <row r="170" spans="1:10" ht="15" x14ac:dyDescent="0.25">
      <c r="B170" s="693" t="s">
        <v>1128</v>
      </c>
      <c r="C170" s="694"/>
      <c r="D170" s="694"/>
      <c r="E170" s="694"/>
      <c r="F170" s="694"/>
      <c r="G170" s="694"/>
      <c r="H170" s="694"/>
    </row>
    <row r="171" spans="1:10" s="4" customFormat="1" ht="15" x14ac:dyDescent="0.25">
      <c r="A171" s="48"/>
      <c r="B171" s="26" t="s">
        <v>5</v>
      </c>
      <c r="C171" s="26" t="s">
        <v>6</v>
      </c>
      <c r="D171" s="26" t="s">
        <v>7</v>
      </c>
      <c r="E171" s="26" t="s">
        <v>8</v>
      </c>
      <c r="F171" s="26" t="s">
        <v>48</v>
      </c>
      <c r="G171" s="26" t="s">
        <v>10</v>
      </c>
      <c r="H171" s="26" t="s">
        <v>11</v>
      </c>
      <c r="I171" s="37"/>
    </row>
    <row r="172" spans="1:10" s="4" customFormat="1" x14ac:dyDescent="0.2">
      <c r="B172" s="29" t="s">
        <v>12</v>
      </c>
      <c r="C172" s="29">
        <v>24</v>
      </c>
      <c r="D172" s="29" t="s">
        <v>13</v>
      </c>
      <c r="E172" s="30">
        <v>500000</v>
      </c>
      <c r="F172" s="29"/>
      <c r="G172" s="29"/>
      <c r="H172" s="31">
        <f>C172*E172</f>
        <v>12000000</v>
      </c>
      <c r="I172" s="37"/>
    </row>
    <row r="173" spans="1:10" s="4" customFormat="1" x14ac:dyDescent="0.2">
      <c r="B173" s="29" t="s">
        <v>14</v>
      </c>
      <c r="C173" s="29">
        <v>24</v>
      </c>
      <c r="D173" s="29" t="s">
        <v>13</v>
      </c>
      <c r="E173" s="30">
        <v>100000</v>
      </c>
      <c r="F173" s="29"/>
      <c r="G173" s="29"/>
      <c r="H173" s="31">
        <f t="shared" ref="H173" si="24">C173*E173</f>
        <v>2400000</v>
      </c>
      <c r="I173" s="37"/>
    </row>
    <row r="174" spans="1:10" x14ac:dyDescent="0.2">
      <c r="B174" s="29" t="s">
        <v>489</v>
      </c>
      <c r="C174" s="29">
        <v>4</v>
      </c>
      <c r="D174" s="29" t="s">
        <v>71</v>
      </c>
      <c r="E174" s="34">
        <v>14467506</v>
      </c>
      <c r="F174" s="29"/>
      <c r="G174" s="29">
        <v>2</v>
      </c>
      <c r="H174" s="62">
        <f>C174*E174*G174</f>
        <v>115740048</v>
      </c>
      <c r="I174" s="35"/>
      <c r="J174" s="4"/>
    </row>
    <row r="175" spans="1:10" s="4" customFormat="1" x14ac:dyDescent="0.2">
      <c r="A175" s="48"/>
      <c r="B175" s="29" t="s">
        <v>135</v>
      </c>
      <c r="C175" s="29">
        <v>12</v>
      </c>
      <c r="D175" s="29" t="s">
        <v>13</v>
      </c>
      <c r="E175" s="30">
        <v>4120000</v>
      </c>
      <c r="F175" s="29"/>
      <c r="G175" s="29"/>
      <c r="H175" s="31">
        <f t="shared" ref="H175:H178" si="25">C175*E175</f>
        <v>49440000</v>
      </c>
      <c r="I175" s="35"/>
    </row>
    <row r="176" spans="1:10" s="4" customFormat="1" x14ac:dyDescent="0.2">
      <c r="A176" s="48"/>
      <c r="B176" s="29" t="s">
        <v>58</v>
      </c>
      <c r="C176" s="33">
        <v>24</v>
      </c>
      <c r="D176" s="29" t="s">
        <v>13</v>
      </c>
      <c r="E176" s="30">
        <v>1625000</v>
      </c>
      <c r="F176" s="29"/>
      <c r="G176" s="29"/>
      <c r="H176" s="31">
        <f t="shared" si="25"/>
        <v>39000000</v>
      </c>
      <c r="I176" s="49"/>
    </row>
    <row r="177" spans="1:10" s="4" customFormat="1" x14ac:dyDescent="0.2">
      <c r="A177" s="48"/>
      <c r="B177" s="29" t="s">
        <v>59</v>
      </c>
      <c r="C177" s="33">
        <v>24</v>
      </c>
      <c r="D177" s="29" t="s">
        <v>13</v>
      </c>
      <c r="E177" s="30">
        <v>325000</v>
      </c>
      <c r="F177" s="29"/>
      <c r="G177" s="29"/>
      <c r="H177" s="31">
        <f t="shared" si="25"/>
        <v>7800000</v>
      </c>
      <c r="I177" s="49"/>
    </row>
    <row r="178" spans="1:10" x14ac:dyDescent="0.2">
      <c r="B178" s="29" t="s">
        <v>272</v>
      </c>
      <c r="C178" s="33">
        <v>12</v>
      </c>
      <c r="D178" s="29" t="s">
        <v>13</v>
      </c>
      <c r="E178" s="30">
        <v>3000000</v>
      </c>
      <c r="F178" s="29"/>
      <c r="G178" s="29"/>
      <c r="H178" s="31">
        <f t="shared" si="25"/>
        <v>36000000</v>
      </c>
      <c r="I178" s="35"/>
      <c r="J178" s="4"/>
    </row>
    <row r="179" spans="1:10" x14ac:dyDescent="0.2">
      <c r="B179" s="29" t="s">
        <v>273</v>
      </c>
      <c r="C179" s="29">
        <v>24</v>
      </c>
      <c r="D179" s="29" t="s">
        <v>71</v>
      </c>
      <c r="E179" s="34">
        <v>1625000</v>
      </c>
      <c r="F179" s="29"/>
      <c r="G179" s="29"/>
      <c r="H179" s="62">
        <f>C179*E179</f>
        <v>39000000</v>
      </c>
      <c r="I179" s="35"/>
      <c r="J179" s="4"/>
    </row>
    <row r="180" spans="1:10" x14ac:dyDescent="0.2">
      <c r="B180" s="29" t="s">
        <v>213</v>
      </c>
      <c r="C180" s="29">
        <v>12</v>
      </c>
      <c r="D180" s="29" t="s">
        <v>13</v>
      </c>
      <c r="E180" s="34">
        <v>12284000</v>
      </c>
      <c r="F180" s="29"/>
      <c r="G180" s="29"/>
      <c r="H180" s="62">
        <f>C180*E180</f>
        <v>147408000</v>
      </c>
      <c r="I180" s="35"/>
      <c r="J180" s="4"/>
    </row>
    <row r="181" spans="1:10" x14ac:dyDescent="0.2">
      <c r="B181" s="29" t="s">
        <v>27</v>
      </c>
      <c r="C181" s="29">
        <v>12</v>
      </c>
      <c r="D181" s="29" t="s">
        <v>13</v>
      </c>
      <c r="E181" s="34">
        <v>2000000</v>
      </c>
      <c r="F181" s="29"/>
      <c r="G181" s="29"/>
      <c r="H181" s="62">
        <f>C181*E181</f>
        <v>24000000</v>
      </c>
      <c r="I181" s="35"/>
      <c r="J181" s="4"/>
    </row>
    <row r="182" spans="1:10" x14ac:dyDescent="0.2">
      <c r="B182" s="29" t="s">
        <v>143</v>
      </c>
      <c r="C182" s="29">
        <v>24</v>
      </c>
      <c r="D182" s="29" t="s">
        <v>13</v>
      </c>
      <c r="E182" s="30">
        <v>23700000</v>
      </c>
      <c r="F182" s="29"/>
      <c r="G182" s="29"/>
      <c r="H182" s="62">
        <f t="shared" ref="H182:H189" si="26">C182*E182</f>
        <v>568800000</v>
      </c>
      <c r="I182" s="32"/>
      <c r="J182" s="4"/>
    </row>
    <row r="183" spans="1:10" x14ac:dyDescent="0.2">
      <c r="B183" s="29" t="s">
        <v>142</v>
      </c>
      <c r="C183" s="29">
        <v>24</v>
      </c>
      <c r="D183" s="29" t="s">
        <v>13</v>
      </c>
      <c r="E183" s="30">
        <v>10000000</v>
      </c>
      <c r="F183" s="29"/>
      <c r="G183" s="29"/>
      <c r="H183" s="62">
        <f t="shared" si="26"/>
        <v>240000000</v>
      </c>
      <c r="I183" s="32"/>
      <c r="J183" s="4"/>
    </row>
    <row r="184" spans="1:10" x14ac:dyDescent="0.2">
      <c r="B184" s="29" t="s">
        <v>136</v>
      </c>
      <c r="C184" s="29">
        <v>24</v>
      </c>
      <c r="D184" s="29" t="s">
        <v>33</v>
      </c>
      <c r="E184" s="30">
        <v>5000000</v>
      </c>
      <c r="F184" s="29"/>
      <c r="G184" s="29"/>
      <c r="H184" s="31">
        <f t="shared" si="26"/>
        <v>120000000</v>
      </c>
      <c r="I184" s="32"/>
      <c r="J184" s="4"/>
    </row>
    <row r="185" spans="1:10" x14ac:dyDescent="0.2">
      <c r="B185" s="29" t="s">
        <v>34</v>
      </c>
      <c r="C185" s="29">
        <v>24</v>
      </c>
      <c r="D185" s="29" t="s">
        <v>31</v>
      </c>
      <c r="E185" s="30">
        <v>1500000</v>
      </c>
      <c r="F185" s="29"/>
      <c r="G185" s="29"/>
      <c r="H185" s="31">
        <f t="shared" si="26"/>
        <v>36000000</v>
      </c>
      <c r="I185" s="32"/>
      <c r="J185" s="4"/>
    </row>
    <row r="186" spans="1:10" x14ac:dyDescent="0.2">
      <c r="B186" s="29" t="s">
        <v>137</v>
      </c>
      <c r="C186" s="29">
        <v>24</v>
      </c>
      <c r="D186" s="29" t="s">
        <v>33</v>
      </c>
      <c r="E186" s="30">
        <v>1000000</v>
      </c>
      <c r="F186" s="29"/>
      <c r="G186" s="29"/>
      <c r="H186" s="31">
        <f t="shared" si="26"/>
        <v>24000000</v>
      </c>
      <c r="I186" s="32"/>
      <c r="J186" s="4"/>
    </row>
    <row r="187" spans="1:10" x14ac:dyDescent="0.2">
      <c r="B187" s="29" t="s">
        <v>30</v>
      </c>
      <c r="C187" s="29">
        <v>24</v>
      </c>
      <c r="D187" s="29" t="s">
        <v>33</v>
      </c>
      <c r="E187" s="30">
        <v>300000</v>
      </c>
      <c r="F187" s="29"/>
      <c r="G187" s="29"/>
      <c r="H187" s="31">
        <f t="shared" si="26"/>
        <v>7200000</v>
      </c>
      <c r="I187" s="32"/>
      <c r="J187" s="4"/>
    </row>
    <row r="188" spans="1:10" x14ac:dyDescent="0.2">
      <c r="B188" s="29" t="s">
        <v>407</v>
      </c>
      <c r="C188" s="29">
        <v>4</v>
      </c>
      <c r="D188" s="29" t="s">
        <v>13</v>
      </c>
      <c r="E188" s="30">
        <v>25000000</v>
      </c>
      <c r="F188" s="29"/>
      <c r="G188" s="29"/>
      <c r="H188" s="31">
        <f t="shared" si="26"/>
        <v>100000000</v>
      </c>
      <c r="I188" s="32"/>
      <c r="J188" s="4"/>
    </row>
    <row r="189" spans="1:10" x14ac:dyDescent="0.2">
      <c r="B189" s="29" t="s">
        <v>263</v>
      </c>
      <c r="C189" s="62">
        <v>2</v>
      </c>
      <c r="D189" s="29" t="s">
        <v>55</v>
      </c>
      <c r="E189" s="34">
        <v>15581259.960000001</v>
      </c>
      <c r="F189" s="29"/>
      <c r="G189" s="29"/>
      <c r="H189" s="31">
        <f t="shared" si="26"/>
        <v>31162519.920000002</v>
      </c>
      <c r="I189" s="35"/>
      <c r="J189" s="4"/>
    </row>
    <row r="190" spans="1:10" x14ac:dyDescent="0.2">
      <c r="B190" s="29" t="s">
        <v>408</v>
      </c>
      <c r="C190" s="62">
        <v>3</v>
      </c>
      <c r="D190" s="29" t="s">
        <v>55</v>
      </c>
      <c r="E190" s="34">
        <v>54534409.859999992</v>
      </c>
      <c r="F190" s="29"/>
      <c r="G190" s="29"/>
      <c r="H190" s="31">
        <f>C190*E190</f>
        <v>163603229.57999998</v>
      </c>
      <c r="I190" s="35"/>
      <c r="J190" s="4"/>
    </row>
    <row r="191" spans="1:10" x14ac:dyDescent="0.2">
      <c r="B191" s="29" t="s">
        <v>409</v>
      </c>
      <c r="C191" s="62">
        <v>1</v>
      </c>
      <c r="D191" s="29" t="s">
        <v>55</v>
      </c>
      <c r="E191" s="34">
        <v>115493728.455</v>
      </c>
      <c r="F191" s="29"/>
      <c r="G191" s="29"/>
      <c r="H191" s="31">
        <f>C191*E191</f>
        <v>115493728.455</v>
      </c>
      <c r="I191" s="35"/>
      <c r="J191" s="4"/>
    </row>
    <row r="192" spans="1:10" x14ac:dyDescent="0.2">
      <c r="B192" s="29" t="s">
        <v>411</v>
      </c>
      <c r="C192" s="62">
        <v>2</v>
      </c>
      <c r="D192" s="29" t="s">
        <v>55</v>
      </c>
      <c r="E192" s="34">
        <v>38953149.899999999</v>
      </c>
      <c r="F192" s="29"/>
      <c r="G192" s="29"/>
      <c r="H192" s="31">
        <f t="shared" ref="H192:H193" si="27">C192*E192</f>
        <v>77906299.799999997</v>
      </c>
      <c r="I192" s="35"/>
      <c r="J192" s="4"/>
    </row>
    <row r="193" spans="1:10" x14ac:dyDescent="0.2">
      <c r="B193" s="29" t="s">
        <v>412</v>
      </c>
      <c r="C193" s="62">
        <v>2</v>
      </c>
      <c r="D193" s="29" t="s">
        <v>55</v>
      </c>
      <c r="E193" s="34">
        <v>49497312.195</v>
      </c>
      <c r="F193" s="29"/>
      <c r="G193" s="29"/>
      <c r="H193" s="31">
        <f t="shared" si="27"/>
        <v>98994624.390000001</v>
      </c>
      <c r="I193" s="35"/>
      <c r="J193" s="4"/>
    </row>
    <row r="194" spans="1:10" x14ac:dyDescent="0.2">
      <c r="B194" s="29" t="s">
        <v>35</v>
      </c>
      <c r="C194" s="29">
        <v>4</v>
      </c>
      <c r="D194" s="29" t="s">
        <v>36</v>
      </c>
      <c r="E194" s="30">
        <v>8963563</v>
      </c>
      <c r="F194" s="36">
        <v>1</v>
      </c>
      <c r="G194" s="29">
        <v>12</v>
      </c>
      <c r="H194" s="31">
        <f t="shared" ref="H194" si="28">C194*E194</f>
        <v>35854252</v>
      </c>
      <c r="I194" s="37"/>
    </row>
    <row r="195" spans="1:10" x14ac:dyDescent="0.2">
      <c r="B195" s="29" t="s">
        <v>78</v>
      </c>
      <c r="C195" s="33">
        <v>8</v>
      </c>
      <c r="D195" s="29" t="s">
        <v>38</v>
      </c>
      <c r="E195" s="30">
        <v>1213122</v>
      </c>
      <c r="F195" s="29"/>
      <c r="G195" s="29"/>
      <c r="H195" s="31">
        <f>C195*E195</f>
        <v>9704976</v>
      </c>
      <c r="I195" s="37"/>
    </row>
    <row r="196" spans="1:10" x14ac:dyDescent="0.2">
      <c r="B196" s="29" t="s">
        <v>79</v>
      </c>
      <c r="C196" s="33">
        <v>4</v>
      </c>
      <c r="D196" s="29" t="s">
        <v>40</v>
      </c>
      <c r="E196" s="30">
        <v>1438122</v>
      </c>
      <c r="F196" s="29"/>
      <c r="G196" s="29"/>
      <c r="H196" s="31">
        <f>C196*E196</f>
        <v>5752488</v>
      </c>
    </row>
    <row r="197" spans="1:10" x14ac:dyDescent="0.2">
      <c r="B197" s="29" t="s">
        <v>41</v>
      </c>
      <c r="C197" s="33">
        <v>12</v>
      </c>
      <c r="D197" s="29" t="s">
        <v>42</v>
      </c>
      <c r="E197" s="30">
        <v>3931384</v>
      </c>
      <c r="F197" s="36">
        <v>1</v>
      </c>
      <c r="G197" s="29">
        <v>8</v>
      </c>
      <c r="H197" s="31">
        <f>C197*E197*G197*F197</f>
        <v>377412864</v>
      </c>
    </row>
    <row r="198" spans="1:10" x14ac:dyDescent="0.2">
      <c r="B198" s="29" t="s">
        <v>43</v>
      </c>
      <c r="C198" s="33">
        <v>12</v>
      </c>
      <c r="D198" s="29" t="s">
        <v>13</v>
      </c>
      <c r="E198" s="30">
        <v>1300000</v>
      </c>
      <c r="F198" s="36">
        <v>1</v>
      </c>
      <c r="G198" s="29">
        <v>8</v>
      </c>
      <c r="H198" s="31">
        <f>C198*E198*G198*F198</f>
        <v>124800000</v>
      </c>
    </row>
    <row r="199" spans="1:10" x14ac:dyDescent="0.2">
      <c r="B199" s="29" t="s">
        <v>44</v>
      </c>
      <c r="C199" s="33">
        <v>12</v>
      </c>
      <c r="D199" s="29" t="s">
        <v>13</v>
      </c>
      <c r="E199" s="30">
        <v>120000</v>
      </c>
      <c r="F199" s="36">
        <v>1</v>
      </c>
      <c r="G199" s="29">
        <v>8</v>
      </c>
      <c r="H199" s="31">
        <f>C199*E199*G199*F199</f>
        <v>11520000</v>
      </c>
    </row>
    <row r="200" spans="1:10" ht="15" x14ac:dyDescent="0.25">
      <c r="B200" s="29" t="s">
        <v>410</v>
      </c>
      <c r="C200" s="29"/>
      <c r="D200" s="29"/>
      <c r="E200" s="29"/>
      <c r="F200" s="29"/>
      <c r="G200" s="29"/>
      <c r="H200" s="31" t="s">
        <v>46</v>
      </c>
      <c r="I200" s="43" t="s">
        <v>501</v>
      </c>
    </row>
    <row r="201" spans="1:10" s="4" customFormat="1" ht="15" x14ac:dyDescent="0.25">
      <c r="B201" s="39" t="s">
        <v>1</v>
      </c>
      <c r="C201" s="2"/>
      <c r="D201" s="2"/>
      <c r="E201" s="2"/>
      <c r="F201" s="2"/>
      <c r="G201" s="2"/>
      <c r="H201" s="43">
        <f>SUM(H172:H200)-H189-H190-H192-H191-H193</f>
        <v>2133832627.9999998</v>
      </c>
      <c r="I201" s="43">
        <f>H201/12</f>
        <v>177819385.66666666</v>
      </c>
      <c r="J201" s="2"/>
    </row>
    <row r="202" spans="1:10" s="4" customFormat="1" ht="15" x14ac:dyDescent="0.25">
      <c r="B202" s="39" t="s">
        <v>285</v>
      </c>
      <c r="C202" s="2"/>
      <c r="D202" s="2"/>
      <c r="E202" s="2"/>
      <c r="F202" s="2"/>
      <c r="G202" s="2"/>
      <c r="H202" s="43">
        <f>SUM(H172:H200)</f>
        <v>2620993030.145</v>
      </c>
      <c r="I202" s="2"/>
      <c r="J202" s="2"/>
    </row>
    <row r="203" spans="1:10" s="4" customFormat="1" ht="15" x14ac:dyDescent="0.25">
      <c r="B203" s="39" t="s">
        <v>422</v>
      </c>
      <c r="C203" s="2"/>
      <c r="D203" s="2"/>
      <c r="E203" s="2"/>
      <c r="F203" s="2"/>
      <c r="G203" s="2"/>
      <c r="H203" s="43">
        <f>H201-H191-H193</f>
        <v>1919344275.1549997</v>
      </c>
      <c r="I203" s="2"/>
      <c r="J203" s="2"/>
    </row>
    <row r="204" spans="1:10" s="4" customFormat="1" ht="274.5" customHeight="1" x14ac:dyDescent="0.2">
      <c r="B204" s="229" t="s">
        <v>1103</v>
      </c>
      <c r="C204" s="45"/>
      <c r="D204" s="45"/>
      <c r="E204" s="45"/>
      <c r="F204" s="45"/>
      <c r="G204" s="45"/>
      <c r="H204" s="2"/>
      <c r="I204" s="2"/>
      <c r="J204" s="2"/>
    </row>
    <row r="205" spans="1:10" x14ac:dyDescent="0.2">
      <c r="B205" s="185"/>
      <c r="C205" s="4"/>
      <c r="D205" s="4"/>
      <c r="E205" s="4"/>
      <c r="F205" s="25"/>
      <c r="G205" s="25"/>
    </row>
    <row r="206" spans="1:10" s="4" customFormat="1" ht="14.45" customHeight="1" x14ac:dyDescent="0.2">
      <c r="A206" s="47"/>
      <c r="B206" s="542"/>
      <c r="C206" s="542"/>
      <c r="D206" s="542"/>
      <c r="E206" s="542"/>
      <c r="F206" s="542"/>
      <c r="G206" s="542"/>
      <c r="H206" s="542"/>
    </row>
    <row r="207" spans="1:10" ht="15" hidden="1" x14ac:dyDescent="0.25">
      <c r="B207" s="686" t="str">
        <f>B10</f>
        <v>2.3.  Fortalecimiento de las capacidades técnicas y empresariales de MiPymes procesadoras  de papa</v>
      </c>
      <c r="C207" s="682"/>
      <c r="D207" s="682"/>
      <c r="E207" s="682"/>
      <c r="F207" s="682"/>
      <c r="G207" s="682"/>
      <c r="H207" s="682"/>
    </row>
    <row r="208" spans="1:10" ht="15" x14ac:dyDescent="0.25">
      <c r="B208" s="687" t="str">
        <f>B12</f>
        <v>2.5. Mejora de la capacidad instalada en el almacenamiento y procesamiento agroindustrial de la papa</v>
      </c>
      <c r="C208" s="689"/>
      <c r="D208" s="689"/>
      <c r="E208" s="689"/>
      <c r="F208" s="689"/>
      <c r="G208" s="689"/>
      <c r="H208" s="689"/>
    </row>
    <row r="209" spans="1:10" ht="32.1" customHeight="1" x14ac:dyDescent="0.25">
      <c r="B209" s="683" t="str">
        <f>Portafolio_PA_Papa!E42</f>
        <v>2.5.1. Identificar y seleccionar al interior de las regiones productoras de papa, las locaciones con mejores condiciones de ubicación, infraestructura y logística, respecto a las zonas de producción, transformación y consumo, para la construcción, ampliación y mejora de la infraestructura de almacenamiento y procesamiento de papa, teniendo en cuenta la caracterización regional de la actividad 8.3.3.</v>
      </c>
      <c r="C209" s="692"/>
      <c r="D209" s="692"/>
      <c r="E209" s="692"/>
      <c r="F209" s="692"/>
      <c r="G209" s="692"/>
      <c r="H209" s="692"/>
    </row>
    <row r="210" spans="1:10" ht="36.950000000000003" customHeight="1" x14ac:dyDescent="0.25">
      <c r="B210" s="683" t="str">
        <f>Portafolio_PA_Papa!E43</f>
        <v>2.5.2. Capacitar, orientar y acompañar técnicamente a los productores y procesadores, sobre construcción, mejora y adecuación de la infraestructura de almacenamiento y procesamiento de papa, acorde con su desarrollo y proyección empresarial, teniendo en cuenta los avances en I+D+i (proyecto 6.1)</v>
      </c>
      <c r="C210" s="692"/>
      <c r="D210" s="692"/>
      <c r="E210" s="692"/>
      <c r="F210" s="692"/>
      <c r="G210" s="692"/>
      <c r="H210" s="692"/>
    </row>
    <row r="211" spans="1:10" ht="14.45" customHeight="1" x14ac:dyDescent="0.25">
      <c r="B211" s="683" t="str">
        <f>Portafolio_PA_Papa!E44</f>
        <v>2.5.3. Ampliar y mejorar la infraestructura de almacenamiento y procesamiento de papa, a través de incentivos, instrumentos financieros, alianzas público - privadas, entre otros, teniendo en cuenta los avances del proyecto 2.4. Promoción de la integración y las alianzas estratégicas en la cadena de la papa.</v>
      </c>
      <c r="C211" s="692"/>
      <c r="D211" s="692"/>
      <c r="E211" s="692"/>
      <c r="F211" s="692"/>
      <c r="G211" s="692"/>
      <c r="H211" s="692"/>
    </row>
    <row r="212" spans="1:10" ht="14.45" customHeight="1" x14ac:dyDescent="0.25">
      <c r="B212" s="683" t="str">
        <f>Portafolio_PA_Papa!E45</f>
        <v>2.5.4. Promover la creación de empresas agroindustriales regionales para el procesamiento de papa y fabricación de derivados, brindando acompañamiento técnico y cofinanciación para la formulación y ejecución de planes de negocio.</v>
      </c>
      <c r="C212" s="692"/>
      <c r="D212" s="692"/>
      <c r="E212" s="692"/>
      <c r="F212" s="692"/>
      <c r="G212" s="692"/>
      <c r="H212" s="692"/>
    </row>
    <row r="213" spans="1:10" ht="29.45" customHeight="1" x14ac:dyDescent="0.25">
      <c r="B213" s="683" t="str">
        <f>Portafolio_PA_Papa!E46</f>
        <v>2.5.5. Constituir un banco de proyectos de inversión en la cadena de la papa con enfoque de mercado, que permita identificar y gestionar profesionalmente iniciativas y estímulos a la inversión, así como identificar y convocar, a través de los gremios del sector, de ProColombia y de otras entidades, a inversionistas y empresarios, nacionales o extranjeros, con interés en realizar inversiones en almacenamiento y procesamiento agroindustrial de la papa.</v>
      </c>
      <c r="C213" s="692"/>
      <c r="D213" s="692"/>
      <c r="E213" s="692"/>
      <c r="F213" s="692"/>
      <c r="G213" s="692"/>
      <c r="H213" s="692"/>
    </row>
    <row r="214" spans="1:10" ht="32.1" customHeight="1" x14ac:dyDescent="0.25">
      <c r="B214" s="683" t="str">
        <f>Portafolio_PA_Papa!E47</f>
        <v>2.5.6. Orientar y acompañar a los inversionistas de la cadena de la papa, en los trámites para acceder a incentivos tributarios, de manera que se estimulen las inversiones en almacenamiento y procesamiento agroindustrial de la papa, con beneficios de renta preferencial y exención de otros impuestos.</v>
      </c>
      <c r="C214" s="692"/>
      <c r="D214" s="692"/>
      <c r="E214" s="692"/>
      <c r="F214" s="692"/>
      <c r="G214" s="692"/>
      <c r="H214" s="692"/>
    </row>
    <row r="215" spans="1:10" ht="32.1" customHeight="1" x14ac:dyDescent="0.25">
      <c r="B215" s="534"/>
      <c r="C215" s="547"/>
      <c r="D215" s="547"/>
      <c r="E215" s="547"/>
      <c r="F215" s="547"/>
      <c r="G215" s="547"/>
      <c r="H215" s="547"/>
    </row>
    <row r="216" spans="1:10" ht="14.45" customHeight="1" x14ac:dyDescent="0.25">
      <c r="B216" s="693" t="s">
        <v>1128</v>
      </c>
      <c r="C216" s="694"/>
      <c r="D216" s="694"/>
      <c r="E216" s="694"/>
      <c r="F216" s="694"/>
      <c r="G216" s="694"/>
      <c r="H216" s="694"/>
    </row>
    <row r="217" spans="1:10" s="4" customFormat="1" ht="15" x14ac:dyDescent="0.25">
      <c r="A217" s="48"/>
      <c r="B217" s="26" t="s">
        <v>5</v>
      </c>
      <c r="C217" s="26" t="s">
        <v>6</v>
      </c>
      <c r="D217" s="26" t="s">
        <v>7</v>
      </c>
      <c r="E217" s="26" t="s">
        <v>8</v>
      </c>
      <c r="F217" s="26" t="s">
        <v>48</v>
      </c>
      <c r="G217" s="26" t="s">
        <v>10</v>
      </c>
      <c r="H217" s="26" t="s">
        <v>11</v>
      </c>
      <c r="I217" s="161"/>
    </row>
    <row r="218" spans="1:10" s="4" customFormat="1" x14ac:dyDescent="0.2">
      <c r="B218" s="29" t="s">
        <v>12</v>
      </c>
      <c r="C218" s="29">
        <v>12</v>
      </c>
      <c r="D218" s="29" t="s">
        <v>13</v>
      </c>
      <c r="E218" s="30">
        <v>500000</v>
      </c>
      <c r="F218" s="29"/>
      <c r="G218" s="29"/>
      <c r="H218" s="31">
        <f>C218*E218</f>
        <v>6000000</v>
      </c>
      <c r="I218" s="37"/>
    </row>
    <row r="219" spans="1:10" s="4" customFormat="1" x14ac:dyDescent="0.2">
      <c r="B219" s="29" t="s">
        <v>14</v>
      </c>
      <c r="C219" s="29">
        <v>12</v>
      </c>
      <c r="D219" s="29" t="s">
        <v>13</v>
      </c>
      <c r="E219" s="30">
        <v>100000</v>
      </c>
      <c r="F219" s="29"/>
      <c r="G219" s="29"/>
      <c r="H219" s="31">
        <f t="shared" ref="H219:H230" si="29">C219*E219</f>
        <v>1200000</v>
      </c>
      <c r="I219" s="37"/>
    </row>
    <row r="220" spans="1:10" s="4" customFormat="1" x14ac:dyDescent="0.2">
      <c r="A220" s="48"/>
      <c r="B220" s="29" t="s">
        <v>135</v>
      </c>
      <c r="C220" s="29">
        <v>12</v>
      </c>
      <c r="D220" s="29" t="s">
        <v>13</v>
      </c>
      <c r="E220" s="30">
        <v>4120000</v>
      </c>
      <c r="F220" s="29"/>
      <c r="G220" s="29"/>
      <c r="H220" s="31">
        <f t="shared" si="29"/>
        <v>49440000</v>
      </c>
      <c r="I220" s="35"/>
    </row>
    <row r="221" spans="1:10" s="4" customFormat="1" x14ac:dyDescent="0.2">
      <c r="A221" s="48"/>
      <c r="B221" s="29" t="s">
        <v>58</v>
      </c>
      <c r="C221" s="33">
        <v>12</v>
      </c>
      <c r="D221" s="29" t="s">
        <v>13</v>
      </c>
      <c r="E221" s="30">
        <v>1625000</v>
      </c>
      <c r="F221" s="29"/>
      <c r="G221" s="29"/>
      <c r="H221" s="31">
        <f t="shared" si="29"/>
        <v>19500000</v>
      </c>
      <c r="I221" s="49"/>
    </row>
    <row r="222" spans="1:10" x14ac:dyDescent="0.2">
      <c r="B222" s="29" t="s">
        <v>59</v>
      </c>
      <c r="C222" s="33">
        <v>12</v>
      </c>
      <c r="D222" s="29" t="s">
        <v>13</v>
      </c>
      <c r="E222" s="30">
        <v>325000</v>
      </c>
      <c r="F222" s="29"/>
      <c r="G222" s="29"/>
      <c r="H222" s="31">
        <f t="shared" si="29"/>
        <v>3900000</v>
      </c>
      <c r="I222" s="32"/>
      <c r="J222" s="4"/>
    </row>
    <row r="223" spans="1:10" x14ac:dyDescent="0.2">
      <c r="B223" s="29" t="s">
        <v>50</v>
      </c>
      <c r="C223" s="29">
        <v>2</v>
      </c>
      <c r="D223" s="29" t="s">
        <v>13</v>
      </c>
      <c r="E223" s="30">
        <v>3000000</v>
      </c>
      <c r="F223" s="29"/>
      <c r="G223" s="29"/>
      <c r="H223" s="31">
        <f t="shared" si="29"/>
        <v>6000000</v>
      </c>
      <c r="I223" s="32"/>
      <c r="J223" s="4"/>
    </row>
    <row r="224" spans="1:10" x14ac:dyDescent="0.2">
      <c r="B224" s="29" t="s">
        <v>51</v>
      </c>
      <c r="C224" s="29">
        <v>2</v>
      </c>
      <c r="D224" s="29" t="s">
        <v>52</v>
      </c>
      <c r="E224" s="30">
        <v>5918241</v>
      </c>
      <c r="F224" s="29"/>
      <c r="G224" s="29"/>
      <c r="H224" s="31">
        <f t="shared" si="29"/>
        <v>11836482</v>
      </c>
      <c r="I224" s="32"/>
      <c r="J224" s="4"/>
    </row>
    <row r="225" spans="2:10" x14ac:dyDescent="0.2">
      <c r="B225" s="29" t="s">
        <v>136</v>
      </c>
      <c r="C225" s="29">
        <v>12</v>
      </c>
      <c r="D225" s="29" t="s">
        <v>33</v>
      </c>
      <c r="E225" s="30">
        <v>5000000</v>
      </c>
      <c r="F225" s="29"/>
      <c r="G225" s="29"/>
      <c r="H225" s="31">
        <f t="shared" si="29"/>
        <v>60000000</v>
      </c>
      <c r="I225" s="32"/>
      <c r="J225" s="4"/>
    </row>
    <row r="226" spans="2:10" x14ac:dyDescent="0.2">
      <c r="B226" s="29" t="s">
        <v>34</v>
      </c>
      <c r="C226" s="29">
        <v>12</v>
      </c>
      <c r="D226" s="29" t="s">
        <v>31</v>
      </c>
      <c r="E226" s="30">
        <v>1500000</v>
      </c>
      <c r="F226" s="29"/>
      <c r="G226" s="29"/>
      <c r="H226" s="31">
        <f t="shared" si="29"/>
        <v>18000000</v>
      </c>
      <c r="I226" s="32"/>
      <c r="J226" s="4"/>
    </row>
    <row r="227" spans="2:10" x14ac:dyDescent="0.2">
      <c r="B227" s="29" t="s">
        <v>137</v>
      </c>
      <c r="C227" s="29">
        <v>12</v>
      </c>
      <c r="D227" s="29" t="s">
        <v>33</v>
      </c>
      <c r="E227" s="30">
        <v>1000000</v>
      </c>
      <c r="F227" s="29"/>
      <c r="G227" s="29"/>
      <c r="H227" s="31">
        <f t="shared" si="29"/>
        <v>12000000</v>
      </c>
      <c r="I227" s="32"/>
      <c r="J227" s="4"/>
    </row>
    <row r="228" spans="2:10" x14ac:dyDescent="0.2">
      <c r="B228" s="29" t="s">
        <v>30</v>
      </c>
      <c r="C228" s="29">
        <v>12</v>
      </c>
      <c r="D228" s="29" t="s">
        <v>33</v>
      </c>
      <c r="E228" s="30">
        <v>300000</v>
      </c>
      <c r="F228" s="29"/>
      <c r="G228" s="29"/>
      <c r="H228" s="31">
        <f t="shared" si="29"/>
        <v>3600000</v>
      </c>
      <c r="I228" s="32"/>
      <c r="J228" s="4"/>
    </row>
    <row r="229" spans="2:10" x14ac:dyDescent="0.2">
      <c r="B229" s="29" t="s">
        <v>138</v>
      </c>
      <c r="C229" s="29">
        <v>6</v>
      </c>
      <c r="D229" s="29" t="s">
        <v>31</v>
      </c>
      <c r="E229" s="30">
        <v>3000000</v>
      </c>
      <c r="F229" s="29"/>
      <c r="G229" s="29"/>
      <c r="H229" s="31">
        <f t="shared" si="29"/>
        <v>18000000</v>
      </c>
      <c r="I229" s="32"/>
      <c r="J229" s="4"/>
    </row>
    <row r="230" spans="2:10" x14ac:dyDescent="0.2">
      <c r="B230" s="29" t="s">
        <v>139</v>
      </c>
      <c r="C230" s="29">
        <v>6</v>
      </c>
      <c r="D230" s="29" t="s">
        <v>31</v>
      </c>
      <c r="E230" s="30">
        <v>900000</v>
      </c>
      <c r="F230" s="29"/>
      <c r="G230" s="29"/>
      <c r="H230" s="31">
        <f t="shared" si="29"/>
        <v>5400000</v>
      </c>
      <c r="I230" s="32"/>
      <c r="J230" s="4"/>
    </row>
    <row r="231" spans="2:10" x14ac:dyDescent="0.2">
      <c r="B231" s="33" t="s">
        <v>478</v>
      </c>
      <c r="C231" s="29">
        <f>10*3</f>
        <v>30</v>
      </c>
      <c r="D231" s="33" t="s">
        <v>55</v>
      </c>
      <c r="E231" s="103">
        <v>250000000</v>
      </c>
      <c r="F231" s="227">
        <v>7.4999999999999997E-2</v>
      </c>
      <c r="G231" s="33"/>
      <c r="H231" s="31">
        <f>C231*E231*F231</f>
        <v>562500000</v>
      </c>
      <c r="I231" s="32"/>
      <c r="J231" s="4"/>
    </row>
    <row r="232" spans="2:10" x14ac:dyDescent="0.2">
      <c r="B232" s="33" t="s">
        <v>1104</v>
      </c>
      <c r="C232" s="33">
        <v>6</v>
      </c>
      <c r="D232" s="33" t="s">
        <v>274</v>
      </c>
      <c r="E232" s="103">
        <v>204000000</v>
      </c>
      <c r="F232" s="63">
        <v>0.3</v>
      </c>
      <c r="G232" s="33"/>
      <c r="H232" s="31">
        <f>C232*E232*F232</f>
        <v>367200000</v>
      </c>
      <c r="I232" s="32"/>
      <c r="J232" s="4"/>
    </row>
    <row r="233" spans="2:10" x14ac:dyDescent="0.2">
      <c r="B233" s="33" t="s">
        <v>1105</v>
      </c>
      <c r="C233" s="33">
        <v>8</v>
      </c>
      <c r="D233" s="33" t="s">
        <v>275</v>
      </c>
      <c r="E233" s="103">
        <v>990000000</v>
      </c>
      <c r="F233" s="63">
        <v>0.2</v>
      </c>
      <c r="G233" s="33"/>
      <c r="H233" s="31">
        <f>C233*E233*F233</f>
        <v>1584000000</v>
      </c>
      <c r="I233" s="32"/>
      <c r="J233" s="4"/>
    </row>
    <row r="234" spans="2:10" s="184" customFormat="1" x14ac:dyDescent="0.2">
      <c r="B234" s="33" t="s">
        <v>415</v>
      </c>
      <c r="C234" s="33">
        <v>3</v>
      </c>
      <c r="D234" s="33" t="s">
        <v>55</v>
      </c>
      <c r="E234" s="31">
        <v>62325039.840000004</v>
      </c>
      <c r="F234" s="63"/>
      <c r="G234" s="33"/>
      <c r="H234" s="31">
        <f t="shared" ref="H234:H235" si="30">C234*E234</f>
        <v>186975119.52000001</v>
      </c>
      <c r="I234" s="186"/>
      <c r="J234" s="14"/>
    </row>
    <row r="235" spans="2:10" s="184" customFormat="1" x14ac:dyDescent="0.2">
      <c r="B235" s="33" t="s">
        <v>416</v>
      </c>
      <c r="C235" s="33">
        <v>4</v>
      </c>
      <c r="D235" s="33" t="s">
        <v>55</v>
      </c>
      <c r="E235" s="31">
        <v>98994624.390000001</v>
      </c>
      <c r="F235" s="63"/>
      <c r="G235" s="33"/>
      <c r="H235" s="31">
        <f t="shared" si="30"/>
        <v>395978497.56</v>
      </c>
      <c r="I235" s="186"/>
      <c r="J235" s="14"/>
    </row>
    <row r="236" spans="2:10" x14ac:dyDescent="0.2">
      <c r="B236" s="33" t="s">
        <v>414</v>
      </c>
      <c r="C236" s="33">
        <v>4</v>
      </c>
      <c r="D236" s="33" t="s">
        <v>55</v>
      </c>
      <c r="E236" s="31">
        <v>38953149.899999999</v>
      </c>
      <c r="F236" s="33"/>
      <c r="G236" s="33"/>
      <c r="H236" s="31">
        <f>C236*E236</f>
        <v>155812599.59999999</v>
      </c>
      <c r="I236" s="37"/>
    </row>
    <row r="237" spans="2:10" s="184" customFormat="1" ht="28.5" x14ac:dyDescent="0.2">
      <c r="B237" s="59" t="s">
        <v>528</v>
      </c>
      <c r="C237" s="33">
        <v>2</v>
      </c>
      <c r="D237" s="33" t="s">
        <v>55</v>
      </c>
      <c r="E237" s="31">
        <v>38953149.899999999</v>
      </c>
      <c r="F237" s="63"/>
      <c r="G237" s="33"/>
      <c r="H237" s="31">
        <f>C237*E237</f>
        <v>77906299.799999997</v>
      </c>
      <c r="I237" s="186"/>
      <c r="J237" s="14"/>
    </row>
    <row r="238" spans="2:10" s="184" customFormat="1" x14ac:dyDescent="0.2">
      <c r="B238" s="59" t="s">
        <v>529</v>
      </c>
      <c r="C238" s="33">
        <v>2</v>
      </c>
      <c r="D238" s="33" t="s">
        <v>36</v>
      </c>
      <c r="E238" s="31">
        <v>14467506</v>
      </c>
      <c r="F238" s="63"/>
      <c r="G238" s="33">
        <v>8</v>
      </c>
      <c r="H238" s="31">
        <f>C238*E238*G238</f>
        <v>231480096</v>
      </c>
      <c r="I238" s="186"/>
      <c r="J238" s="14"/>
    </row>
    <row r="239" spans="2:10" x14ac:dyDescent="0.2">
      <c r="B239" s="29" t="s">
        <v>35</v>
      </c>
      <c r="C239" s="29">
        <v>4</v>
      </c>
      <c r="D239" s="29" t="s">
        <v>36</v>
      </c>
      <c r="E239" s="30">
        <v>8963563</v>
      </c>
      <c r="F239" s="36">
        <v>0.5</v>
      </c>
      <c r="G239" s="29">
        <v>12</v>
      </c>
      <c r="H239" s="31">
        <f t="shared" ref="H239:H240" si="31">C239*E239</f>
        <v>35854252</v>
      </c>
      <c r="I239" s="37"/>
    </row>
    <row r="240" spans="2:10" x14ac:dyDescent="0.2">
      <c r="B240" s="29" t="s">
        <v>81</v>
      </c>
      <c r="C240" s="29">
        <v>8</v>
      </c>
      <c r="D240" s="29" t="s">
        <v>38</v>
      </c>
      <c r="E240" s="30">
        <v>1894683</v>
      </c>
      <c r="F240" s="29"/>
      <c r="G240" s="29"/>
      <c r="H240" s="31">
        <f t="shared" si="31"/>
        <v>15157464</v>
      </c>
    </row>
    <row r="241" spans="1:10" x14ac:dyDescent="0.2">
      <c r="B241" s="29" t="s">
        <v>41</v>
      </c>
      <c r="C241" s="33">
        <v>12</v>
      </c>
      <c r="D241" s="29" t="s">
        <v>42</v>
      </c>
      <c r="E241" s="30">
        <v>3931384</v>
      </c>
      <c r="F241" s="36">
        <v>0.5</v>
      </c>
      <c r="G241" s="29">
        <v>8</v>
      </c>
      <c r="H241" s="31">
        <f>C241*E241*G241*F241</f>
        <v>188706432</v>
      </c>
    </row>
    <row r="242" spans="1:10" x14ac:dyDescent="0.2">
      <c r="B242" s="29" t="s">
        <v>43</v>
      </c>
      <c r="C242" s="33">
        <v>12</v>
      </c>
      <c r="D242" s="29" t="s">
        <v>13</v>
      </c>
      <c r="E242" s="30">
        <v>1300000</v>
      </c>
      <c r="F242" s="36">
        <v>0.5</v>
      </c>
      <c r="G242" s="29">
        <v>8</v>
      </c>
      <c r="H242" s="31">
        <f>C242*E242*G242*F242</f>
        <v>62400000</v>
      </c>
    </row>
    <row r="243" spans="1:10" x14ac:dyDescent="0.2">
      <c r="B243" s="29" t="s">
        <v>44</v>
      </c>
      <c r="C243" s="33">
        <v>12</v>
      </c>
      <c r="D243" s="29" t="s">
        <v>13</v>
      </c>
      <c r="E243" s="30">
        <v>120000</v>
      </c>
      <c r="F243" s="36">
        <v>0.5</v>
      </c>
      <c r="G243" s="29">
        <v>8</v>
      </c>
      <c r="H243" s="31">
        <f>C243*E243*G243*F243</f>
        <v>5760000</v>
      </c>
    </row>
    <row r="244" spans="1:10" ht="15" x14ac:dyDescent="0.25">
      <c r="B244" s="29" t="s">
        <v>141</v>
      </c>
      <c r="C244" s="29"/>
      <c r="D244" s="29"/>
      <c r="E244" s="29"/>
      <c r="F244" s="29"/>
      <c r="G244" s="29"/>
      <c r="H244" s="31">
        <f>C244*E244</f>
        <v>0</v>
      </c>
      <c r="I244" s="43" t="s">
        <v>501</v>
      </c>
    </row>
    <row r="245" spans="1:10" s="4" customFormat="1" ht="260.45" hidden="1" customHeight="1" x14ac:dyDescent="0.25">
      <c r="B245" s="39" t="s">
        <v>11</v>
      </c>
      <c r="C245" s="40"/>
      <c r="D245" s="41"/>
      <c r="E245" s="42"/>
      <c r="F245" s="42"/>
      <c r="G245" s="41"/>
      <c r="H245" s="57" t="e">
        <f>SUM(H218:H244)-H232-H233-#REF!</f>
        <v>#REF!</v>
      </c>
      <c r="I245" s="2"/>
      <c r="J245" s="2"/>
    </row>
    <row r="246" spans="1:10" s="4" customFormat="1" ht="15" x14ac:dyDescent="0.25">
      <c r="B246" s="39" t="s">
        <v>11</v>
      </c>
      <c r="C246" s="2"/>
      <c r="D246" s="2"/>
      <c r="E246" s="2"/>
      <c r="F246" s="2"/>
      <c r="G246" s="2"/>
      <c r="H246" s="43">
        <f>SUM(H218:H244)-H231-H232-H233-H234-H235-H236-H237-H238</f>
        <v>522754630.00000012</v>
      </c>
      <c r="I246" s="43">
        <f>H246/12</f>
        <v>43562885.833333343</v>
      </c>
      <c r="J246" s="2"/>
    </row>
    <row r="247" spans="1:10" s="4" customFormat="1" ht="15" x14ac:dyDescent="0.25">
      <c r="B247" s="39" t="s">
        <v>283</v>
      </c>
      <c r="C247" s="2"/>
      <c r="D247" s="2"/>
      <c r="E247" s="2"/>
      <c r="F247" s="2"/>
      <c r="G247" s="2"/>
      <c r="H247" s="43">
        <f>SUM(H218:H244)</f>
        <v>4084607242.48</v>
      </c>
      <c r="I247" s="2"/>
      <c r="J247" s="2"/>
    </row>
    <row r="248" spans="1:10" ht="374.1" customHeight="1" x14ac:dyDescent="0.2">
      <c r="B248" s="216" t="s">
        <v>1106</v>
      </c>
      <c r="C248" s="4"/>
      <c r="D248" s="4"/>
      <c r="E248" s="4"/>
      <c r="F248" s="25"/>
      <c r="G248" s="25"/>
    </row>
    <row r="249" spans="1:10" ht="20.45" customHeight="1" x14ac:dyDescent="0.2">
      <c r="B249" s="215"/>
      <c r="C249" s="4"/>
      <c r="D249" s="4"/>
      <c r="E249" s="4"/>
      <c r="F249" s="25"/>
      <c r="G249" s="25"/>
    </row>
    <row r="250" spans="1:10" s="4" customFormat="1" ht="14.45" customHeight="1" x14ac:dyDescent="0.2">
      <c r="A250" s="47"/>
      <c r="B250" s="2"/>
      <c r="C250" s="2"/>
      <c r="D250" s="2"/>
      <c r="E250" s="2"/>
      <c r="F250" s="2"/>
      <c r="G250" s="2"/>
      <c r="H250" s="2"/>
    </row>
    <row r="251" spans="1:10" ht="15" hidden="1" x14ac:dyDescent="0.25">
      <c r="B251" s="680" t="str">
        <f>B11</f>
        <v>2.4. Promoción de la integración y las alianzas estratégicas en la cadena de la papa</v>
      </c>
      <c r="C251" s="681"/>
      <c r="D251" s="681"/>
      <c r="E251" s="681"/>
      <c r="F251" s="681"/>
      <c r="G251" s="681"/>
      <c r="H251" s="681"/>
    </row>
    <row r="252" spans="1:10" ht="15" x14ac:dyDescent="0.25">
      <c r="B252" s="687" t="str">
        <f>B13</f>
        <v>2.6. Optimización de la oferta de insumos y servicios asociados a la cadena.</v>
      </c>
      <c r="C252" s="688"/>
      <c r="D252" s="688"/>
      <c r="E252" s="688"/>
      <c r="F252" s="688"/>
      <c r="G252" s="688"/>
      <c r="H252" s="688"/>
    </row>
    <row r="253" spans="1:10" ht="32.1" customHeight="1" x14ac:dyDescent="0.25">
      <c r="B253" s="683" t="str">
        <f>Portafolio_PA_Papa!E48</f>
        <v>2.6.1. Identificar a los proveedores de insumos y servicios comerciales, técnicos y logísticos, de las regiones productoras de papa, a partir de la caracterización regional de la actividad 8.3.3, con el fin de que adecuen su oferta con las necesidades de los productores y procesadores de papa.</v>
      </c>
      <c r="C253" s="692"/>
      <c r="D253" s="692"/>
      <c r="E253" s="692"/>
      <c r="F253" s="692"/>
      <c r="G253" s="692"/>
      <c r="H253" s="692"/>
    </row>
    <row r="254" spans="1:10" ht="36.950000000000003" customHeight="1" x14ac:dyDescent="0.25">
      <c r="B254" s="683" t="str">
        <f>Portafolio_PA_Papa!E49</f>
        <v>2.6.2. Promover alianzas estratégicas entre productores y procesadores de papa, con proveedores de insumos y servicios para la cadena, para lograr economías de escala y sinergias que permitan mayor eficiencia y rentabilidad en los procesos, en articulación con la Resolución 101 de 2022 por medio de la cual se reglamenta parcialmente el articulo 19 de la Ley 2183 de 2022, relacionado con las operaciones autorizadas al Fondo para el acceso a los insumos agropecuarios.</v>
      </c>
      <c r="C254" s="692"/>
      <c r="D254" s="692"/>
      <c r="E254" s="692"/>
      <c r="F254" s="692"/>
      <c r="G254" s="692"/>
      <c r="H254" s="692"/>
    </row>
    <row r="255" spans="1:10" ht="32.1" customHeight="1" x14ac:dyDescent="0.25">
      <c r="B255" s="683" t="str">
        <f>Portafolio_PA_Papa!E50</f>
        <v>2.6.3. Capacitar y brindar acompañamiento técnico, comercial y financiero, a MiPymes comercializadoras y adecuadoras de papa, sobre labores de selección, limpieza, clasificación, empaque, almacenamiento, entre otras, para facilitar y mejorar la comercialización de papa, en el marco del  Decreto 3075 de 1997 sobre BPM y los Planes Departamentales de Extensión Agropecuaria - PDEA (Ley 1876 de 2017).</v>
      </c>
      <c r="C255" s="692"/>
      <c r="D255" s="692"/>
      <c r="E255" s="692"/>
      <c r="F255" s="692"/>
      <c r="G255" s="692"/>
      <c r="H255" s="692"/>
    </row>
    <row r="256" spans="1:10" ht="32.1" customHeight="1" x14ac:dyDescent="0.25">
      <c r="B256" s="683" t="str">
        <f>Portafolio_PA_Papa!E51</f>
        <v>2.6.4. Promover la especialización en empaque, embalaje y transporte de papa y sus derivados, a través de acompañamiento técnico y de la divulgación de los instrumentos financieros disponibles a los productores, comercializadores y agroindustriales, conforme con la Resolución 0224 de 2007, por la cual se expide el Reglamento Técnico No. RTC-002 MDR de requisitos mínimos que deben cumplir los empaques de los productos agrícolas para consumo humano que se importen, se produzcan y se comercialicen en el territorio nacional.</v>
      </c>
      <c r="C256" s="692"/>
      <c r="D256" s="692"/>
      <c r="E256" s="692"/>
      <c r="F256" s="692"/>
      <c r="G256" s="692"/>
      <c r="H256" s="692"/>
    </row>
    <row r="257" spans="1:10" ht="36.950000000000003" customHeight="1" x14ac:dyDescent="0.25">
      <c r="B257" s="683" t="str">
        <f>Portafolio_PA_Papa!E52</f>
        <v>2.6.5. Fomentar la creación y fortalecimiento de empresas especializadas proveedoras de bienes y servicios para la cadena de la papa (insumos, labores de poscosecha, maquinaria agrícola, agricultura de precisión, logística, etc.), a través de acompañamiento técnico y de la divulgación de los instrumentos financieros disponibles, tales como la Ley 2186 del 2022 que fortalece el financiamiento de los pequeños y medianos productores agropecuarios.</v>
      </c>
      <c r="C257" s="692"/>
      <c r="D257" s="692"/>
      <c r="E257" s="692"/>
      <c r="F257" s="692"/>
      <c r="G257" s="692"/>
      <c r="H257" s="692"/>
    </row>
    <row r="258" spans="1:10" ht="27" customHeight="1" x14ac:dyDescent="0.25">
      <c r="B258" s="534"/>
      <c r="C258" s="547"/>
      <c r="D258" s="547"/>
      <c r="E258" s="547"/>
      <c r="F258" s="547"/>
      <c r="G258" s="547"/>
      <c r="H258" s="547"/>
    </row>
    <row r="259" spans="1:10" ht="15" x14ac:dyDescent="0.25">
      <c r="B259" s="693" t="s">
        <v>1128</v>
      </c>
      <c r="C259" s="694"/>
      <c r="D259" s="694"/>
      <c r="E259" s="694"/>
      <c r="F259" s="694"/>
      <c r="G259" s="694"/>
      <c r="H259" s="694"/>
    </row>
    <row r="260" spans="1:10" s="4" customFormat="1" ht="15" x14ac:dyDescent="0.25">
      <c r="A260" s="48"/>
      <c r="B260" s="26" t="s">
        <v>5</v>
      </c>
      <c r="C260" s="26" t="s">
        <v>6</v>
      </c>
      <c r="D260" s="26" t="s">
        <v>7</v>
      </c>
      <c r="E260" s="26" t="s">
        <v>8</v>
      </c>
      <c r="F260" s="26" t="s">
        <v>48</v>
      </c>
      <c r="G260" s="26" t="s">
        <v>10</v>
      </c>
      <c r="H260" s="26" t="s">
        <v>11</v>
      </c>
      <c r="I260" s="37"/>
    </row>
    <row r="261" spans="1:10" s="4" customFormat="1" x14ac:dyDescent="0.2">
      <c r="B261" s="29" t="s">
        <v>12</v>
      </c>
      <c r="C261" s="29">
        <v>12</v>
      </c>
      <c r="D261" s="29" t="s">
        <v>13</v>
      </c>
      <c r="E261" s="30">
        <v>500000</v>
      </c>
      <c r="F261" s="29"/>
      <c r="G261" s="29"/>
      <c r="H261" s="31">
        <f>C261*E261</f>
        <v>6000000</v>
      </c>
      <c r="I261" s="231"/>
    </row>
    <row r="262" spans="1:10" s="4" customFormat="1" x14ac:dyDescent="0.2">
      <c r="B262" s="29" t="s">
        <v>14</v>
      </c>
      <c r="C262" s="29">
        <v>12</v>
      </c>
      <c r="D262" s="29" t="s">
        <v>13</v>
      </c>
      <c r="E262" s="30">
        <v>100000</v>
      </c>
      <c r="F262" s="29"/>
      <c r="G262" s="29"/>
      <c r="H262" s="31">
        <f t="shared" ref="H262:H263" si="32">C262*E262</f>
        <v>1200000</v>
      </c>
      <c r="I262" s="37"/>
    </row>
    <row r="263" spans="1:10" s="4" customFormat="1" x14ac:dyDescent="0.2">
      <c r="A263" s="48"/>
      <c r="B263" s="29" t="s">
        <v>135</v>
      </c>
      <c r="C263" s="29">
        <v>24</v>
      </c>
      <c r="D263" s="29" t="s">
        <v>13</v>
      </c>
      <c r="E263" s="30">
        <v>4120000</v>
      </c>
      <c r="F263" s="29"/>
      <c r="G263" s="29"/>
      <c r="H263" s="31">
        <f t="shared" si="32"/>
        <v>98880000</v>
      </c>
      <c r="I263" s="35"/>
    </row>
    <row r="264" spans="1:10" s="4" customFormat="1" x14ac:dyDescent="0.2">
      <c r="A264" s="48"/>
      <c r="B264" s="29" t="s">
        <v>58</v>
      </c>
      <c r="C264" s="33">
        <v>12</v>
      </c>
      <c r="D264" s="29" t="s">
        <v>13</v>
      </c>
      <c r="E264" s="30">
        <v>1625000</v>
      </c>
      <c r="F264" s="29"/>
      <c r="G264" s="29"/>
      <c r="H264" s="31">
        <f>C264*E264</f>
        <v>19500000</v>
      </c>
      <c r="I264" s="49"/>
    </row>
    <row r="265" spans="1:10" s="4" customFormat="1" x14ac:dyDescent="0.2">
      <c r="B265" s="29" t="s">
        <v>59</v>
      </c>
      <c r="C265" s="33">
        <v>12</v>
      </c>
      <c r="D265" s="29" t="s">
        <v>13</v>
      </c>
      <c r="E265" s="30">
        <v>325000</v>
      </c>
      <c r="F265" s="29"/>
      <c r="G265" s="29"/>
      <c r="H265" s="31">
        <f>C265*E265</f>
        <v>3900000</v>
      </c>
      <c r="I265" s="37"/>
    </row>
    <row r="266" spans="1:10" s="4" customFormat="1" x14ac:dyDescent="0.2">
      <c r="B266" s="29" t="s">
        <v>142</v>
      </c>
      <c r="C266" s="29">
        <v>12</v>
      </c>
      <c r="D266" s="29" t="s">
        <v>13</v>
      </c>
      <c r="E266" s="30">
        <v>10000000</v>
      </c>
      <c r="F266" s="29"/>
      <c r="G266" s="29"/>
      <c r="H266" s="31">
        <f t="shared" ref="H266:H280" si="33">C266*E266</f>
        <v>120000000</v>
      </c>
      <c r="I266" s="37"/>
    </row>
    <row r="267" spans="1:10" x14ac:dyDescent="0.2">
      <c r="B267" s="29" t="s">
        <v>143</v>
      </c>
      <c r="C267" s="29">
        <v>12</v>
      </c>
      <c r="D267" s="29" t="s">
        <v>13</v>
      </c>
      <c r="E267" s="30">
        <v>23700000</v>
      </c>
      <c r="F267" s="29"/>
      <c r="G267" s="29"/>
      <c r="H267" s="31">
        <f t="shared" si="33"/>
        <v>284400000</v>
      </c>
      <c r="I267" s="37"/>
    </row>
    <row r="268" spans="1:10" x14ac:dyDescent="0.2">
      <c r="B268" s="50" t="s">
        <v>144</v>
      </c>
      <c r="C268" s="33">
        <v>4</v>
      </c>
      <c r="D268" s="29" t="s">
        <v>63</v>
      </c>
      <c r="E268" s="34">
        <v>25000000</v>
      </c>
      <c r="F268" s="29"/>
      <c r="G268" s="29"/>
      <c r="H268" s="31">
        <f t="shared" si="33"/>
        <v>100000000</v>
      </c>
      <c r="I268" s="37"/>
    </row>
    <row r="269" spans="1:10" x14ac:dyDescent="0.2">
      <c r="B269" s="50" t="s">
        <v>146</v>
      </c>
      <c r="C269" s="33">
        <v>2</v>
      </c>
      <c r="D269" s="29" t="s">
        <v>61</v>
      </c>
      <c r="E269" s="34">
        <v>46000000</v>
      </c>
      <c r="F269" s="29"/>
      <c r="G269" s="29"/>
      <c r="H269" s="31">
        <f t="shared" si="33"/>
        <v>92000000</v>
      </c>
      <c r="I269" s="32"/>
      <c r="J269" s="4"/>
    </row>
    <row r="270" spans="1:10" x14ac:dyDescent="0.2">
      <c r="B270" s="29" t="s">
        <v>136</v>
      </c>
      <c r="C270" s="29">
        <v>12</v>
      </c>
      <c r="D270" s="29" t="s">
        <v>33</v>
      </c>
      <c r="E270" s="30">
        <v>5000000</v>
      </c>
      <c r="F270" s="29"/>
      <c r="G270" s="29"/>
      <c r="H270" s="31">
        <f t="shared" si="33"/>
        <v>60000000</v>
      </c>
      <c r="I270" s="32"/>
      <c r="J270" s="4"/>
    </row>
    <row r="271" spans="1:10" x14ac:dyDescent="0.2">
      <c r="B271" s="29" t="s">
        <v>34</v>
      </c>
      <c r="C271" s="29">
        <v>12</v>
      </c>
      <c r="D271" s="29" t="s">
        <v>31</v>
      </c>
      <c r="E271" s="30">
        <v>1500000</v>
      </c>
      <c r="F271" s="29"/>
      <c r="G271" s="29"/>
      <c r="H271" s="31">
        <f t="shared" si="33"/>
        <v>18000000</v>
      </c>
      <c r="I271" s="32"/>
      <c r="J271" s="4"/>
    </row>
    <row r="272" spans="1:10" x14ac:dyDescent="0.2">
      <c r="B272" s="29" t="s">
        <v>137</v>
      </c>
      <c r="C272" s="29">
        <v>12</v>
      </c>
      <c r="D272" s="29" t="s">
        <v>33</v>
      </c>
      <c r="E272" s="30">
        <v>1000000</v>
      </c>
      <c r="F272" s="29"/>
      <c r="G272" s="29"/>
      <c r="H272" s="31">
        <f t="shared" si="33"/>
        <v>12000000</v>
      </c>
      <c r="I272" s="32"/>
      <c r="J272" s="4"/>
    </row>
    <row r="273" spans="2:10" x14ac:dyDescent="0.2">
      <c r="B273" s="29" t="s">
        <v>30</v>
      </c>
      <c r="C273" s="29">
        <v>12</v>
      </c>
      <c r="D273" s="29" t="s">
        <v>33</v>
      </c>
      <c r="E273" s="30">
        <v>300000</v>
      </c>
      <c r="F273" s="29"/>
      <c r="G273" s="29"/>
      <c r="H273" s="31">
        <f t="shared" si="33"/>
        <v>3600000</v>
      </c>
      <c r="I273" s="32"/>
      <c r="J273" s="4"/>
    </row>
    <row r="274" spans="2:10" x14ac:dyDescent="0.2">
      <c r="B274" s="50" t="s">
        <v>480</v>
      </c>
      <c r="C274" s="33">
        <v>15</v>
      </c>
      <c r="D274" s="29" t="s">
        <v>479</v>
      </c>
      <c r="E274" s="34">
        <v>400000000</v>
      </c>
      <c r="F274" s="282">
        <v>7.4999999999999997E-2</v>
      </c>
      <c r="G274" s="29"/>
      <c r="H274" s="31">
        <f>C274*E274*F274</f>
        <v>450000000</v>
      </c>
      <c r="I274" s="32"/>
      <c r="J274" s="4"/>
    </row>
    <row r="275" spans="2:10" x14ac:dyDescent="0.2">
      <c r="B275" s="29" t="s">
        <v>276</v>
      </c>
      <c r="C275" s="29">
        <v>2</v>
      </c>
      <c r="D275" s="29" t="s">
        <v>55</v>
      </c>
      <c r="E275" s="30">
        <v>13432323.779999999</v>
      </c>
      <c r="F275" s="29"/>
      <c r="G275" s="29"/>
      <c r="H275" s="31">
        <f t="shared" si="33"/>
        <v>26864647.559999999</v>
      </c>
      <c r="I275" s="32"/>
      <c r="J275" s="4"/>
    </row>
    <row r="276" spans="2:10" x14ac:dyDescent="0.2">
      <c r="B276" s="29" t="s">
        <v>277</v>
      </c>
      <c r="C276" s="29">
        <v>2</v>
      </c>
      <c r="D276" s="29" t="s">
        <v>55</v>
      </c>
      <c r="E276" s="30">
        <v>23371889.939999998</v>
      </c>
      <c r="F276" s="29"/>
      <c r="G276" s="29"/>
      <c r="H276" s="31">
        <f t="shared" si="33"/>
        <v>46743779.879999995</v>
      </c>
      <c r="I276" s="32"/>
      <c r="J276" s="4"/>
    </row>
    <row r="277" spans="2:10" x14ac:dyDescent="0.2">
      <c r="B277" s="29" t="s">
        <v>278</v>
      </c>
      <c r="C277" s="29">
        <v>2</v>
      </c>
      <c r="D277" s="29" t="s">
        <v>55</v>
      </c>
      <c r="E277" s="30">
        <v>32998208.130000003</v>
      </c>
      <c r="F277" s="29"/>
      <c r="G277" s="29"/>
      <c r="H277" s="31">
        <f t="shared" si="33"/>
        <v>65996416.260000005</v>
      </c>
      <c r="I277" s="32"/>
      <c r="J277" s="4"/>
    </row>
    <row r="278" spans="2:10" x14ac:dyDescent="0.2">
      <c r="B278" s="29" t="s">
        <v>481</v>
      </c>
      <c r="C278" s="29">
        <f>2*12</f>
        <v>24</v>
      </c>
      <c r="D278" s="29" t="s">
        <v>55</v>
      </c>
      <c r="E278" s="30">
        <v>38953149.899999999</v>
      </c>
      <c r="F278" s="29"/>
      <c r="G278" s="29"/>
      <c r="H278" s="31">
        <f>C278*E278</f>
        <v>934875597.5999999</v>
      </c>
      <c r="I278" s="37"/>
    </row>
    <row r="279" spans="2:10" x14ac:dyDescent="0.2">
      <c r="B279" s="29" t="s">
        <v>35</v>
      </c>
      <c r="C279" s="29">
        <v>4</v>
      </c>
      <c r="D279" s="29" t="s">
        <v>36</v>
      </c>
      <c r="E279" s="30">
        <v>8963563</v>
      </c>
      <c r="F279" s="36">
        <v>0.5</v>
      </c>
      <c r="G279" s="29">
        <v>12</v>
      </c>
      <c r="H279" s="31">
        <f t="shared" si="33"/>
        <v>35854252</v>
      </c>
      <c r="I279" s="37"/>
    </row>
    <row r="280" spans="2:10" x14ac:dyDescent="0.2">
      <c r="B280" s="29" t="s">
        <v>81</v>
      </c>
      <c r="C280" s="29">
        <v>8</v>
      </c>
      <c r="D280" s="29" t="s">
        <v>38</v>
      </c>
      <c r="E280" s="30">
        <v>1894683</v>
      </c>
      <c r="F280" s="29"/>
      <c r="G280" s="29"/>
      <c r="H280" s="31">
        <f t="shared" si="33"/>
        <v>15157464</v>
      </c>
    </row>
    <row r="281" spans="2:10" x14ac:dyDescent="0.2">
      <c r="B281" s="29" t="s">
        <v>41</v>
      </c>
      <c r="C281" s="33">
        <v>12</v>
      </c>
      <c r="D281" s="29" t="s">
        <v>42</v>
      </c>
      <c r="E281" s="30">
        <v>3931384</v>
      </c>
      <c r="F281" s="36">
        <v>0.5</v>
      </c>
      <c r="G281" s="29">
        <v>8</v>
      </c>
      <c r="H281" s="31">
        <f>C281*E281*G281*F281</f>
        <v>188706432</v>
      </c>
    </row>
    <row r="282" spans="2:10" x14ac:dyDescent="0.2">
      <c r="B282" s="29" t="s">
        <v>43</v>
      </c>
      <c r="C282" s="33">
        <v>12</v>
      </c>
      <c r="D282" s="29" t="s">
        <v>13</v>
      </c>
      <c r="E282" s="30">
        <v>1300000</v>
      </c>
      <c r="F282" s="36">
        <v>0.5</v>
      </c>
      <c r="G282" s="29">
        <v>8</v>
      </c>
      <c r="H282" s="31">
        <f>C282*E282*G282*F282</f>
        <v>62400000</v>
      </c>
    </row>
    <row r="283" spans="2:10" x14ac:dyDescent="0.2">
      <c r="B283" s="29" t="s">
        <v>44</v>
      </c>
      <c r="C283" s="33">
        <v>12</v>
      </c>
      <c r="D283" s="29" t="s">
        <v>13</v>
      </c>
      <c r="E283" s="30">
        <v>120000</v>
      </c>
      <c r="F283" s="36">
        <v>0.5</v>
      </c>
      <c r="G283" s="29">
        <v>8</v>
      </c>
      <c r="H283" s="31">
        <f>C283*E283*G283*F283</f>
        <v>5760000</v>
      </c>
    </row>
    <row r="284" spans="2:10" ht="15" x14ac:dyDescent="0.25">
      <c r="B284" s="29" t="s">
        <v>67</v>
      </c>
      <c r="C284" s="29"/>
      <c r="D284" s="29"/>
      <c r="E284" s="29"/>
      <c r="F284" s="29"/>
      <c r="G284" s="29"/>
      <c r="H284" s="31">
        <f>C284*E284</f>
        <v>0</v>
      </c>
      <c r="I284" s="57" t="s">
        <v>501</v>
      </c>
    </row>
    <row r="285" spans="2:10" ht="15" x14ac:dyDescent="0.25">
      <c r="B285" s="39" t="s">
        <v>1</v>
      </c>
      <c r="C285" s="41"/>
      <c r="D285" s="41"/>
      <c r="E285" s="42"/>
      <c r="F285" s="42"/>
      <c r="G285" s="41"/>
      <c r="H285" s="57">
        <f>SUM(H261:H284)-H274-H275-H276-H277-H278</f>
        <v>1127358148.0000002</v>
      </c>
      <c r="I285" s="57">
        <f>H285/12</f>
        <v>93946512.333333358</v>
      </c>
    </row>
    <row r="286" spans="2:10" ht="15" x14ac:dyDescent="0.25">
      <c r="B286" s="179" t="s">
        <v>284</v>
      </c>
      <c r="C286" s="180"/>
      <c r="D286" s="180"/>
      <c r="E286" s="181"/>
      <c r="F286" s="181"/>
      <c r="G286" s="180"/>
      <c r="H286" s="191">
        <f>SUM(H261:H284)</f>
        <v>2651838589.3000002</v>
      </c>
    </row>
    <row r="287" spans="2:10" ht="298.5" customHeight="1" x14ac:dyDescent="0.2">
      <c r="B287" s="215" t="s">
        <v>1107</v>
      </c>
      <c r="C287" s="4"/>
      <c r="D287" s="4"/>
      <c r="E287" s="4"/>
      <c r="F287" s="25"/>
      <c r="G287" s="25"/>
    </row>
    <row r="288" spans="2:10" x14ac:dyDescent="0.2">
      <c r="B288" s="219"/>
    </row>
  </sheetData>
  <sheetProtection algorithmName="SHA-512" hashValue="puC53Hx/Q1h921flnS3gu7/x8Mg0fYgBoI1wERRiHKZvcG0IxJxRuLjitxW9MShzPn6qNaSQsJ6VinsfBtGb4Q==" saltValue="MSmq3kLLDM1JT7K+zYqDJw==" spinCount="100000" sheet="1" objects="1" scenarios="1"/>
  <mergeCells count="47">
    <mergeCell ref="B255:H255"/>
    <mergeCell ref="B256:H256"/>
    <mergeCell ref="B257:H257"/>
    <mergeCell ref="B259:H259"/>
    <mergeCell ref="B213:H213"/>
    <mergeCell ref="B214:H214"/>
    <mergeCell ref="B216:H216"/>
    <mergeCell ref="B253:H253"/>
    <mergeCell ref="B254:H254"/>
    <mergeCell ref="B252:H252"/>
    <mergeCell ref="B170:H170"/>
    <mergeCell ref="B209:H209"/>
    <mergeCell ref="B210:H210"/>
    <mergeCell ref="B211:H211"/>
    <mergeCell ref="B212:H212"/>
    <mergeCell ref="B169:H169"/>
    <mergeCell ref="B118:H118"/>
    <mergeCell ref="B119:H119"/>
    <mergeCell ref="B120:H120"/>
    <mergeCell ref="B121:H121"/>
    <mergeCell ref="B122:H122"/>
    <mergeCell ref="B68:H68"/>
    <mergeCell ref="B117:H117"/>
    <mergeCell ref="B166:H166"/>
    <mergeCell ref="B167:H167"/>
    <mergeCell ref="B168:H168"/>
    <mergeCell ref="B63:H63"/>
    <mergeCell ref="B64:H64"/>
    <mergeCell ref="B65:H65"/>
    <mergeCell ref="B66:H66"/>
    <mergeCell ref="B67:H67"/>
    <mergeCell ref="B17:H18"/>
    <mergeCell ref="B115:H115"/>
    <mergeCell ref="B207:H207"/>
    <mergeCell ref="B251:H251"/>
    <mergeCell ref="B58:H59"/>
    <mergeCell ref="B116:H116"/>
    <mergeCell ref="B165:H165"/>
    <mergeCell ref="B208:H208"/>
    <mergeCell ref="B19:H19"/>
    <mergeCell ref="B20:H20"/>
    <mergeCell ref="B21:H21"/>
    <mergeCell ref="B22:H22"/>
    <mergeCell ref="B23:H23"/>
    <mergeCell ref="B60:H60"/>
    <mergeCell ref="B61:H61"/>
    <mergeCell ref="B62:H62"/>
  </mergeCells>
  <pageMargins left="0.7" right="0.7" top="0.75" bottom="0.75" header="0.3" footer="0.3"/>
  <pageSetup orientation="portrait" r:id="rId1"/>
  <ignoredErrors>
    <ignoredError sqref="B58"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Papa</Categoría_x0020_POP1>
    <VariationsItemGroupID xmlns="http://schemas.microsoft.com/sharepoint/v3">9be053a0-ab1d-43b5-84ca-09a6b6900e0c</VariationsItemGroupID>
    <Categoría_x0020_POP xmlns="a7912b74-821a-4119-aad9-e1c9b233eb5e">Plan de accion</Categoría_x0020_POP>
  </documentManagement>
</p:properties>
</file>

<file path=customXml/itemProps1.xml><?xml version="1.0" encoding="utf-8"?>
<ds:datastoreItem xmlns:ds="http://schemas.openxmlformats.org/officeDocument/2006/customXml" ds:itemID="{2B138797-1594-4217-AC97-730486A71550}"/>
</file>

<file path=customXml/itemProps2.xml><?xml version="1.0" encoding="utf-8"?>
<ds:datastoreItem xmlns:ds="http://schemas.openxmlformats.org/officeDocument/2006/customXml" ds:itemID="{8374454B-7FCC-4DA2-98A9-BB4BA8205266}"/>
</file>

<file path=customXml/itemProps3.xml><?xml version="1.0" encoding="utf-8"?>
<ds:datastoreItem xmlns:ds="http://schemas.openxmlformats.org/officeDocument/2006/customXml" ds:itemID="{DAC1EE08-F75A-4EBE-8252-748902CF77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Instructivo</vt:lpstr>
      <vt:lpstr>Directrices  Generales </vt:lpstr>
      <vt:lpstr>Categoria Costos Papa</vt:lpstr>
      <vt:lpstr>Portafolio_PA_Papa</vt:lpstr>
      <vt:lpstr>Estimación anualizada </vt:lpstr>
      <vt:lpstr>Estimación por período</vt:lpstr>
      <vt:lpstr>Fuentes</vt:lpstr>
      <vt:lpstr>P1 </vt:lpstr>
      <vt:lpstr>P2</vt:lpstr>
      <vt:lpstr>P3</vt:lpstr>
      <vt:lpstr>P4</vt:lpstr>
      <vt:lpstr>P5</vt:lpstr>
      <vt:lpstr>P6</vt:lpstr>
      <vt:lpstr>P7</vt:lpstr>
      <vt:lpstr>P8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2. Estimación costos</dc:title>
  <dc:creator>Jannia Gómez</dc:creator>
  <cp:lastModifiedBy>Alejandro Flórez Vanegas</cp:lastModifiedBy>
  <cp:lastPrinted>2022-05-10T18:06:13Z</cp:lastPrinted>
  <dcterms:created xsi:type="dcterms:W3CDTF">2022-05-03T14:38:38Z</dcterms:created>
  <dcterms:modified xsi:type="dcterms:W3CDTF">2022-06-30T14:20:05Z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